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mport to ExpiryEdge" sheetId="4" state="visible" r:id="rId4"/>
    <sheet xmlns:r="http://schemas.openxmlformats.org/officeDocument/2006/relationships" name="Lists" sheetId="5" state="visible" r:id="rId5"/>
    <sheet xmlns:r="http://schemas.openxmlformats.org/officeDocument/2006/relationships" name="_calc" sheetId="6" state="hidden" r:id="rId6"/>
  </sheets>
  <definedNames>
    <definedName name="_xlnm.Print_Area" localSheetId="0">'Start here'!$A$1:$C$51</definedName>
    <definedName name="_xlnm.Print_Area" localSheetId="1">OFFSET('Checks'!$A$1,0,0,MAX(4,COUNTA('Checks'!$A$1:$A$503)),17)</definedName>
    <definedName name="_xlnm.Print_Titles" localSheetId="1">'Checks'!$3:$3</definedName>
    <definedName name="_xlnm.Print_Area" localSheetId="2">'Dashboard'!$A$1:$H$27</definedName>
    <definedName name="_xlnm.Print_Area" localSheetId="3">OFFSET('Import to ExpiryEdge'!$A$1,0,0,MAX(2,COUNTIF('Import to ExpiryEdge'!$A$1:$A$501,"?*")),11)</definedName>
    <definedName name="_xlnm.Print_Titles" localSheetId="3">'Import to ExpiryEdge'!$1:$1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A24"/>
      <sz val="10"/>
    </font>
    <font>
      <name val="Arial"/>
      <b val="1"/>
      <color rgb="001F2A24"/>
      <sz val="10"/>
    </font>
    <font>
      <name val="Arial"/>
      <color rgb="005F675C"/>
      <sz val="9"/>
    </font>
    <font>
      <name val="Arial"/>
      <b val="1"/>
      <color rgb="001F2A24"/>
      <sz val="15"/>
    </font>
    <font>
      <name val="Arial"/>
      <b val="1"/>
      <color rgb="001F2A24"/>
      <sz val="16"/>
    </font>
    <font>
      <name val="Arial"/>
      <b val="1"/>
      <color rgb="001F2A24"/>
      <sz val="12"/>
    </font>
    <font>
      <name val="Arial"/>
      <b val="1"/>
      <color rgb="00B03A21"/>
      <sz val="10"/>
    </font>
    <font>
      <name val="Arial"/>
      <b val="1"/>
      <color rgb="001F2A24"/>
      <sz val="11"/>
    </font>
    <font>
      <name val="Arial"/>
      <b val="1"/>
      <color rgb="008A5A13"/>
      <sz val="10"/>
    </font>
    <font>
      <name val="Arial"/>
      <b val="1"/>
      <color rgb="0017693A"/>
      <sz val="10"/>
    </font>
    <font>
      <name val="Arial"/>
      <color rgb="005F675C"/>
      <sz val="10"/>
    </font>
    <font>
      <name val="Arial"/>
      <b val="1"/>
      <color rgb="001F2A24"/>
      <sz val="20"/>
    </font>
    <font>
      <name val="Arial"/>
      <color rgb="00434B45"/>
      <sz val="11"/>
    </font>
    <font>
      <name val="Arial"/>
      <b val="1"/>
      <color rgb="001F2A24"/>
      <sz val="13"/>
    </font>
    <font>
      <name val="Arial"/>
      <color rgb="00434B45"/>
      <sz val="10"/>
    </font>
    <font>
      <name val="Arial"/>
      <color rgb="000E6B4F"/>
      <sz val="9"/>
      <u val="single"/>
    </font>
  </fonts>
  <fills count="9">
    <fill>
      <patternFill/>
    </fill>
    <fill>
      <patternFill patternType="gray125"/>
    </fill>
    <fill>
      <patternFill patternType="solid">
        <fgColor rgb="000E6B4F"/>
        <bgColor rgb="000E6B4F"/>
      </patternFill>
    </fill>
    <fill>
      <patternFill patternType="solid">
        <fgColor rgb="0035584B"/>
        <bgColor rgb="0035584B"/>
      </patternFill>
    </fill>
    <fill>
      <patternFill patternType="solid">
        <fgColor rgb="00F1F4EF"/>
        <bgColor rgb="00F1F4EF"/>
      </patternFill>
    </fill>
    <fill>
      <patternFill patternType="solid">
        <fgColor rgb="00F8DFD8"/>
        <bgColor rgb="00F8DFD8"/>
      </patternFill>
    </fill>
    <fill>
      <patternFill patternType="solid">
        <fgColor rgb="00FCEFD4"/>
        <bgColor rgb="00FCEFD4"/>
      </patternFill>
    </fill>
    <fill>
      <patternFill patternType="solid">
        <fgColor rgb="00FEF7E7"/>
        <bgColor rgb="00FEF7E7"/>
      </patternFill>
    </fill>
    <fill>
      <patternFill patternType="solid">
        <fgColor rgb="00D8F0DC"/>
        <bgColor rgb="00D8F0DC"/>
      </patternFill>
    </fill>
  </fills>
  <borders count="4">
    <border>
      <left/>
      <right/>
      <top/>
      <bottom/>
      <diagonal/>
    </border>
    <border>
      <left style="thin">
        <color rgb="00E0E2DA"/>
      </left>
      <right style="thin">
        <color rgb="00E0E2DA"/>
      </right>
      <top style="thin">
        <color rgb="00E0E2DA"/>
      </top>
      <bottom style="thin">
        <color rgb="00E0E2DA"/>
      </bottom>
    </border>
    <border>
      <bottom style="hair">
        <color rgb="00E0E2DA"/>
      </bottom>
    </border>
    <border>
      <bottom style="thin">
        <color rgb="00E0E2DA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4" fillId="0" borderId="0" pivotButton="0" quotePrefix="0" xfId="0"/>
    <xf numFmtId="0" fontId="15" fillId="0" borderId="0" pivotButton="0" quotePrefix="0" xfId="0"/>
    <xf numFmtId="0" fontId="3" fillId="0" borderId="0" applyAlignment="1" pivotButton="0" quotePrefix="0" xfId="0">
      <alignment vertical="top" wrapText="1"/>
    </xf>
    <xf numFmtId="0" fontId="16" fillId="0" borderId="0" applyAlignment="1" pivotButton="0" quotePrefix="0" xfId="0">
      <alignment vertical="top" wrapText="1"/>
    </xf>
    <xf numFmtId="0" fontId="8" fillId="5" borderId="0" pivotButton="0" quotePrefix="0" xfId="0"/>
    <xf numFmtId="0" fontId="16" fillId="0" borderId="0" pivotButton="0" quotePrefix="0" xfId="0"/>
    <xf numFmtId="0" fontId="10" fillId="6" borderId="0" pivotButton="0" quotePrefix="0" xfId="0"/>
    <xf numFmtId="0" fontId="10" fillId="7" borderId="0" pivotButton="0" quotePrefix="0" xfId="0"/>
    <xf numFmtId="0" fontId="11" fillId="8" borderId="0" pivotButton="0" quotePrefix="0" xfId="0"/>
    <xf numFmtId="0" fontId="1" fillId="3" borderId="0" pivotButton="0" quotePrefix="0" xfId="0"/>
    <xf numFmtId="0" fontId="1" fillId="2" borderId="0" pivotButton="0" quotePrefix="0" xfId="0"/>
    <xf numFmtId="0" fontId="3" fillId="0" borderId="3" applyAlignment="1" pivotButton="0" quotePrefix="0" xfId="0">
      <alignment vertical="top" wrapText="1"/>
    </xf>
    <xf numFmtId="0" fontId="16" fillId="0" borderId="3" applyAlignment="1" pivotButton="0" quotePrefix="0" xfId="0">
      <alignment vertical="top" wrapText="1"/>
    </xf>
    <xf numFmtId="0" fontId="3" fillId="4" borderId="3" applyAlignment="1" pivotButton="0" quotePrefix="0" xfId="0">
      <alignment vertical="top" wrapText="1"/>
    </xf>
    <xf numFmtId="0" fontId="17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2" fillId="0" borderId="2" pivotButton="0" quotePrefix="0" xfId="0"/>
    <xf numFmtId="165" fontId="2" fillId="0" borderId="2" applyAlignment="1" pivotButton="0" quotePrefix="0" xfId="0">
      <alignment horizontal="left"/>
    </xf>
    <xf numFmtId="1" fontId="2" fillId="0" borderId="2" applyAlignment="1" pivotButton="0" quotePrefix="0" xfId="0">
      <alignment horizontal="right"/>
    </xf>
    <xf numFmtId="165" fontId="2" fillId="4" borderId="2" applyAlignment="1" pivotButton="0" quotePrefix="0" xfId="0">
      <alignment horizontal="left"/>
    </xf>
    <xf numFmtId="1" fontId="2" fillId="4" borderId="2" applyAlignment="1" pivotButton="0" quotePrefix="0" xfId="0">
      <alignment horizontal="right"/>
    </xf>
    <xf numFmtId="0" fontId="3" fillId="4" borderId="2" pivotButton="0" quotePrefix="0" xfId="0"/>
    <xf numFmtId="0" fontId="6" fillId="0" borderId="0" pivotButton="0" quotePrefix="0" xfId="0"/>
    <xf numFmtId="165" fontId="4" fillId="0" borderId="0" applyAlignment="1" pivotButton="0" quotePrefix="0" xfId="0">
      <alignment horizontal="left"/>
    </xf>
    <xf numFmtId="0" fontId="7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8" fillId="5" borderId="3" pivotButton="0" quotePrefix="0" xfId="0"/>
    <xf numFmtId="1" fontId="9" fillId="0" borderId="3" pivotButton="0" quotePrefix="0" xfId="0"/>
    <xf numFmtId="0" fontId="10" fillId="6" borderId="3" pivotButton="0" quotePrefix="0" xfId="0"/>
    <xf numFmtId="0" fontId="10" fillId="7" borderId="3" pivotButton="0" quotePrefix="0" xfId="0"/>
    <xf numFmtId="0" fontId="11" fillId="8" borderId="3" pivotButton="0" quotePrefix="0" xfId="0"/>
    <xf numFmtId="0" fontId="3" fillId="0" borderId="3" pivotButton="0" quotePrefix="0" xfId="0"/>
    <xf numFmtId="0" fontId="12" fillId="0" borderId="3" applyAlignment="1" pivotButton="0" quotePrefix="0" xfId="0">
      <alignment horizontal="center"/>
    </xf>
    <xf numFmtId="0" fontId="2" fillId="0" borderId="3" pivotButton="0" quotePrefix="0" xfId="0"/>
    <xf numFmtId="165" fontId="2" fillId="0" borderId="3" applyAlignment="1" pivotButton="0" quotePrefix="0" xfId="0">
      <alignment horizontal="left"/>
    </xf>
    <xf numFmtId="1" fontId="2" fillId="0" borderId="3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b val="1"/>
        <color rgb="00B03A21"/>
      </font>
      <fill>
        <patternFill patternType="solid">
          <fgColor rgb="00F8DFD8"/>
          <bgColor rgb="00F8DFD8"/>
        </patternFill>
      </fill>
    </dxf>
    <dxf>
      <font>
        <b val="1"/>
        <color rgb="008A5A13"/>
      </font>
      <fill>
        <patternFill patternType="solid">
          <fgColor rgb="00FCEFD4"/>
          <bgColor rgb="00FCEFD4"/>
        </patternFill>
      </fill>
    </dxf>
    <dxf>
      <font>
        <color rgb="008A5A13"/>
      </font>
      <fill>
        <patternFill patternType="solid">
          <fgColor rgb="00FEF7E7"/>
          <bgColor rgb="00FEF7E7"/>
        </patternFill>
      </fill>
    </dxf>
    <dxf>
      <font>
        <color rgb="0017693A"/>
      </font>
      <fill>
        <patternFill patternType="solid">
          <fgColor rgb="00D8F0DC"/>
          <bgColor rgb="00D8F0DC"/>
        </patternFill>
      </fill>
    </dxf>
    <dxf>
      <font>
        <i val="1"/>
        <color rgb="007A8178"/>
      </font>
    </dxf>
    <dxf>
      <fill>
        <patternFill patternType="solid">
          <fgColor rgb="00F7F8F4"/>
          <bgColor rgb="00F7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ExpiryEdge</author>
  </authors>
  <commentList>
    <comment ref="A3" authorId="0" shapeId="0">
      <text>
        <t>Full name as it appears on the right to work evidence. (Required for import.)</t>
      </text>
    </comment>
    <comment ref="B3" authorId="0" shapeId="0">
      <text>
        <t>Role or department.</t>
      </text>
    </comment>
    <comment ref="C3" authorId="0" shapeId="0">
      <text>
        <t>First day of work. The check must be done before this.</t>
      </text>
    </comment>
    <comment ref="D3" authorId="0" shapeId="0">
      <text>
        <t>Manual document check, Home Office online check (share code) or a digital verification service provider.</t>
      </text>
    </comment>
    <comment ref="E3" authorId="0" shapeId="0">
      <text>
        <t>For example "UK passport", "Online check: share code" or "eVisa". Expired BRP cards are not acceptable proof.</t>
      </text>
    </comment>
    <comment ref="F3" authorId="0" shapeId="0">
      <text>
        <t>The date you did the check (it appears on the online check result). (Required for import.)</t>
      </text>
    </comment>
    <comment ref="G3" authorId="0" shapeId="0">
      <text>
        <t>Who carried out the check.</t>
      </text>
    </comment>
    <comment ref="H3" authorId="0" shapeId="0">
      <text>
        <t>End date of time-limited permission to work, from the check result. Leave blank if there is no time limit: no follow-up check is needed.</t>
      </text>
    </comment>
    <comment ref="I3" authorId="0" shapeId="0">
      <text>
        <t>How many days before the date you want to start acting. Leave blank for 30.</t>
      </text>
    </comment>
    <comment ref="J3" authorId="0" shapeId="0">
      <text>
        <t>Calculated. Permission end date minus lead time: do the follow-up check before this.</t>
      </text>
    </comment>
    <comment ref="K3" authorId="0" shapeId="0">
      <text>
        <t>Calculated. Days until the date; negative once it has passed.</t>
      </text>
    </comment>
    <comment ref="L3" authorId="0" shapeId="0">
      <text>
        <t>Calculated. Expired, Due ≤30 days, Due ≤90 days or OK.</t>
      </text>
    </comment>
    <comment ref="M3" authorId="0" shapeId="0">
      <text>
        <t>When employment ended, once it has.</t>
      </text>
    </comment>
    <comment ref="N3" authorId="0" shapeId="0">
      <text>
        <t>Calculated. Leaving date plus two years. The Home Office guide asks you to keep copies for the length of employment and two years afterwards.</t>
      </text>
    </comment>
    <comment ref="O3" authorId="0" shapeId="0">
      <text>
        <t>Who should be reminded. Becomes notification_email on import.</t>
      </text>
    </comment>
    <comment ref="P3" authorId="0" shapeId="0">
      <text>
        <t>Link to the dated copy or online check result in your HR system.</t>
      </text>
    </comment>
    <comment ref="Q3" authorId="0" shapeId="0">
      <text>
        <t>Anything the next person needs to know.</t>
      </text>
    </comment>
  </commentList>
</comments>
</file>

<file path=xl/comments/comment2.xml><?xml version="1.0" encoding="utf-8"?>
<comments xmlns="http://schemas.openxmlformats.org/spreadsheetml/2006/main">
  <authors>
    <author>ExpiryEdge</author>
  </authors>
  <commentList>
    <comment ref="A1" authorId="0" shapeId="0">
      <text>
        <t>This sheet fills itself from the tracker. Only rows with a name and a date appear. In ExpiryEdge, go to Bulk Import and upload this .xlsx (choose this sheet), or save this sheet as CSV first. Required columns: name, expiry_date, type.</t>
      </text>
    </comment>
  </commentList>
</comments>
</file>

<file path=xl/tables/table1.xml><?xml version="1.0" encoding="utf-8"?>
<table xmlns="http://schemas.openxmlformats.org/spreadsheetml/2006/main" id="1" name="tblChecks" displayName="tblChecks" ref="A3:Q503" headerRowCount="1">
  <autoFilter ref="A3:Q503"/>
  <tableColumns count="17">
    <tableColumn id="1" name="Employee"/>
    <tableColumn id="2" name="Job title"/>
    <tableColumn id="3" name="Start date"/>
    <tableColumn id="4" name="Check type"/>
    <tableColumn id="5" name="Evidence seen"/>
    <tableColumn id="6" name="Check date"/>
    <tableColumn id="7" name="Checked by"/>
    <tableColumn id="8" name="Permission ends"/>
    <tableColumn id="9" name="Lead time (days)"/>
    <tableColumn id="10" name="Follow-up check by"/>
    <tableColumn id="11" name="Days left"/>
    <tableColumn id="12" name="Status"/>
    <tableColumn id="13" name="Leaving date"/>
    <tableColumn id="14" name="Keep records until"/>
    <tableColumn id="15" name="HR contact email"/>
    <tableColumn id="16" name="Copy of check"/>
    <tableColumn id="17" name="Notes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piryedge.com/templates/right-to-work-check-track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6B4F"/>
    <outlinePr summaryBelow="1" summaryRight="1"/>
    <pageSetUpPr fitToPage="1"/>
  </sheetPr>
  <dimension ref="B2:C5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96" customWidth="1" min="3" max="3"/>
  </cols>
  <sheetData>
    <row r="2">
      <c r="B2" s="1" t="inlineStr">
        <is>
          <t>Right to work check tracker (UK)</t>
        </is>
      </c>
    </row>
    <row r="3">
      <c r="B3" s="2" t="inlineStr">
        <is>
          <t>Every employee's right to work check, with a follow-up-by date for time-limited permission and the date you can delete the records.</t>
        </is>
      </c>
    </row>
    <row r="4">
      <c r="B4" s="3" t="inlineStr">
        <is>
          <t>Free template · October 2026 edition · works in Excel, Google Sheets and LibreOffice</t>
        </is>
      </c>
    </row>
    <row r="6">
      <c r="B6" s="4" t="inlineStr">
        <is>
          <t>How to use it</t>
        </is>
      </c>
    </row>
    <row r="7" ht="18" customHeight="1">
      <c r="B7" s="5" t="inlineStr">
        <is>
          <t>1. Clear the examples</t>
        </is>
      </c>
      <c r="C7" s="6" t="inlineStr">
        <is>
          <t>Rows on the "Checks" sheet that start with "Example –" are samples. Delete them, or type over them.</t>
        </is>
      </c>
    </row>
    <row r="8" ht="33" customHeight="1">
      <c r="B8" s="5" t="inlineStr">
        <is>
          <t>2. Add your own rows</t>
        </is>
      </c>
      <c r="C8" s="6" t="inlineStr">
        <is>
          <t>Type in the white columns. The date is the one that matters: copy it from the document itself. Shaded columns calculate the days left, the status and the date to act by.</t>
        </is>
      </c>
    </row>
    <row r="9" ht="33" customHeight="1">
      <c r="B9" s="5" t="inlineStr">
        <is>
          <t>3. Check it weekly</t>
        </is>
      </c>
      <c r="C9" s="6" t="inlineStr">
        <is>
          <t>Open the Dashboard sheet: it counts what has expired or is due soon and lists the next 10 dates. Filter the status column to see only what needs action.</t>
        </is>
      </c>
    </row>
    <row r="11">
      <c r="B11" s="4" t="inlineStr">
        <is>
          <t>Colour key</t>
        </is>
      </c>
    </row>
    <row r="12">
      <c r="B12" s="7" t="inlineStr">
        <is>
          <t>Expired</t>
        </is>
      </c>
      <c r="C12" s="8" t="inlineStr">
        <is>
          <t>The date has passed.</t>
        </is>
      </c>
    </row>
    <row r="13">
      <c r="B13" s="9" t="inlineStr">
        <is>
          <t>Due ≤30 days</t>
        </is>
      </c>
      <c r="C13" s="8" t="inlineStr">
        <is>
          <t>Due within 30 days. Act now.</t>
        </is>
      </c>
    </row>
    <row r="14">
      <c r="B14" s="10" t="inlineStr">
        <is>
          <t>Due ≤90 days</t>
        </is>
      </c>
      <c r="C14" s="8" t="inlineStr">
        <is>
          <t>Due within 90 days. Plan it.</t>
        </is>
      </c>
    </row>
    <row r="15">
      <c r="B15" s="11" t="inlineStr">
        <is>
          <t>OK</t>
        </is>
      </c>
      <c r="C15" s="8" t="inlineStr">
        <is>
          <t>More than 90 days away.</t>
        </is>
      </c>
    </row>
    <row r="16">
      <c r="B16" s="12" t="inlineStr">
        <is>
          <t>Calculated column</t>
        </is>
      </c>
      <c r="C16" s="8" t="inlineStr">
        <is>
          <t>Dark header and shaded cells: filled in by formula, no need to type.</t>
        </is>
      </c>
    </row>
    <row r="17">
      <c r="B17" s="13" t="inlineStr">
        <is>
          <t>Your input</t>
        </is>
      </c>
      <c r="C17" s="8" t="inlineStr">
        <is>
          <t>Green header: type here. Hover a header to see what it expects.</t>
        </is>
      </c>
    </row>
    <row r="19">
      <c r="B19" s="4" t="inlineStr">
        <is>
          <t>Columns on "Checks"</t>
        </is>
      </c>
    </row>
    <row r="20">
      <c r="B20" s="13" t="inlineStr">
        <is>
          <t>Column</t>
        </is>
      </c>
      <c r="C20" s="13" t="inlineStr">
        <is>
          <t>What to enter</t>
        </is>
      </c>
    </row>
    <row r="21" ht="18" customHeight="1">
      <c r="B21" s="14" t="inlineStr">
        <is>
          <t>Employee *</t>
        </is>
      </c>
      <c r="C21" s="15" t="inlineStr">
        <is>
          <t>Full name as it appears on the right to work evidence.</t>
        </is>
      </c>
    </row>
    <row r="22" ht="18" customHeight="1">
      <c r="B22" s="14" t="inlineStr">
        <is>
          <t>Job title</t>
        </is>
      </c>
      <c r="C22" s="15" t="inlineStr">
        <is>
          <t>Role or department.</t>
        </is>
      </c>
    </row>
    <row r="23" ht="18" customHeight="1">
      <c r="B23" s="14" t="inlineStr">
        <is>
          <t>Start date</t>
        </is>
      </c>
      <c r="C23" s="15" t="inlineStr">
        <is>
          <t>First day of work. The check must be done before this.</t>
        </is>
      </c>
    </row>
    <row r="24" ht="33" customHeight="1">
      <c r="B24" s="14" t="inlineStr">
        <is>
          <t>Check type</t>
        </is>
      </c>
      <c r="C24" s="15" t="inlineStr">
        <is>
          <t>Manual document check, Home Office online check (share code) or a digital verification service provider.</t>
        </is>
      </c>
    </row>
    <row r="25" ht="33" customHeight="1">
      <c r="B25" s="14" t="inlineStr">
        <is>
          <t>Evidence seen</t>
        </is>
      </c>
      <c r="C25" s="15" t="inlineStr">
        <is>
          <t>For example "UK passport", "Online check: share code" or "eVisa". Expired BRP cards are not acceptable proof.</t>
        </is>
      </c>
    </row>
    <row r="26" ht="18" customHeight="1">
      <c r="B26" s="14" t="inlineStr">
        <is>
          <t>Check date *</t>
        </is>
      </c>
      <c r="C26" s="15" t="inlineStr">
        <is>
          <t>The date you did the check (it appears on the online check result).</t>
        </is>
      </c>
    </row>
    <row r="27" ht="18" customHeight="1">
      <c r="B27" s="14" t="inlineStr">
        <is>
          <t>Checked by</t>
        </is>
      </c>
      <c r="C27" s="15" t="inlineStr">
        <is>
          <t>Who carried out the check.</t>
        </is>
      </c>
    </row>
    <row r="28" ht="33" customHeight="1">
      <c r="B28" s="14" t="inlineStr">
        <is>
          <t>Permission ends</t>
        </is>
      </c>
      <c r="C28" s="15" t="inlineStr">
        <is>
          <t>End date of time-limited permission to work, from the check result. Leave blank if there is no time limit: no follow-up check is needed.</t>
        </is>
      </c>
    </row>
    <row r="29" ht="18" customHeight="1">
      <c r="B29" s="14" t="inlineStr">
        <is>
          <t>Lead time (days)</t>
        </is>
      </c>
      <c r="C29" s="15" t="inlineStr">
        <is>
          <t>How many days before the date you want to start acting. Leave blank for 30.</t>
        </is>
      </c>
    </row>
    <row r="30" ht="18" customHeight="1">
      <c r="B30" s="16" t="inlineStr">
        <is>
          <t>Follow-up check by</t>
        </is>
      </c>
      <c r="C30" s="15" t="inlineStr">
        <is>
          <t>Calculated. Permission end date minus lead time: do the follow-up check before this.</t>
        </is>
      </c>
    </row>
    <row r="31" ht="18" customHeight="1">
      <c r="B31" s="16" t="inlineStr">
        <is>
          <t>Days left</t>
        </is>
      </c>
      <c r="C31" s="15" t="inlineStr">
        <is>
          <t>Calculated. Days until the date; negative once it has passed.</t>
        </is>
      </c>
    </row>
    <row r="32" ht="18" customHeight="1">
      <c r="B32" s="16" t="inlineStr">
        <is>
          <t>Status</t>
        </is>
      </c>
      <c r="C32" s="15" t="inlineStr">
        <is>
          <t>Calculated. Expired, Due ≤30 days, Due ≤90 days or OK.</t>
        </is>
      </c>
    </row>
    <row r="33" ht="18" customHeight="1">
      <c r="B33" s="14" t="inlineStr">
        <is>
          <t>Leaving date</t>
        </is>
      </c>
      <c r="C33" s="15" t="inlineStr">
        <is>
          <t>When employment ended, once it has.</t>
        </is>
      </c>
    </row>
    <row r="34" ht="33" customHeight="1">
      <c r="B34" s="16" t="inlineStr">
        <is>
          <t>Keep records until</t>
        </is>
      </c>
      <c r="C34" s="15" t="inlineStr">
        <is>
          <t>Calculated. Leaving date plus two years. The Home Office guide asks you to keep copies for the length of employment and two years afterwards.</t>
        </is>
      </c>
    </row>
    <row r="35" ht="18" customHeight="1">
      <c r="B35" s="14" t="inlineStr">
        <is>
          <t>HR contact email</t>
        </is>
      </c>
      <c r="C35" s="15" t="inlineStr">
        <is>
          <t>Who should be reminded. Becomes notification_email on import.</t>
        </is>
      </c>
    </row>
    <row r="36" ht="18" customHeight="1">
      <c r="B36" s="14" t="inlineStr">
        <is>
          <t>Copy of check</t>
        </is>
      </c>
      <c r="C36" s="15" t="inlineStr">
        <is>
          <t>Link to the dated copy or online check result in your HR system.</t>
        </is>
      </c>
    </row>
    <row r="37" ht="18" customHeight="1">
      <c r="B37" s="14" t="inlineStr">
        <is>
          <t>Notes</t>
        </is>
      </c>
      <c r="C37" s="15" t="inlineStr">
        <is>
          <t>Anything the next person needs to know.</t>
        </is>
      </c>
    </row>
    <row r="38">
      <c r="B38" s="3" t="inlineStr">
        <is>
          <t>* needed for the import sheet.</t>
        </is>
      </c>
    </row>
    <row r="40">
      <c r="B40" s="4" t="inlineStr">
        <is>
          <t>Other sheets</t>
        </is>
      </c>
    </row>
    <row r="41" ht="18" customHeight="1">
      <c r="B41" s="5" t="inlineStr">
        <is>
          <t>Dashboard</t>
        </is>
      </c>
      <c r="C41" s="6" t="inlineStr">
        <is>
          <t>Counts by status and the next 10 dates, always as of today.</t>
        </is>
      </c>
    </row>
    <row r="42" ht="48" customHeight="1">
      <c r="B42" s="5" t="inlineStr">
        <is>
          <t>Import to ExpiryEdge</t>
        </is>
      </c>
      <c r="C42" s="6" t="inlineStr">
        <is>
          <t>The same rows laid out in the ExpiryEdge bulk-import columns (name, expiry_date, type, ...). If you ever move this list into ExpiryEdge, upload this file in Bulk Import and pick this sheet, or save the sheet as CSV. It fills itself; you never need to edit it.</t>
        </is>
      </c>
    </row>
    <row r="43" ht="18" customHeight="1">
      <c r="B43" s="5" t="inlineStr">
        <is>
          <t>Lists</t>
        </is>
      </c>
      <c r="C43" s="6" t="inlineStr">
        <is>
          <t>The options behind the dropdowns. Add your own there.</t>
        </is>
      </c>
    </row>
    <row r="45">
      <c r="B45" s="4" t="inlineStr">
        <is>
          <t>Good to know</t>
        </is>
      </c>
    </row>
    <row r="46">
      <c r="B46" s="8" t="inlineStr">
        <is>
          <t>·  Formulas are filled down for 500 rows. Need more? Copy the last row down.</t>
        </is>
      </c>
    </row>
    <row r="47">
      <c r="B47" s="8" t="inlineStr">
        <is>
          <t>·  Dates must be real dates, not text. If a status says "Check date", retype that date.</t>
        </is>
      </c>
    </row>
    <row r="48">
      <c r="B48" s="8" t="inlineStr">
        <is>
          <t>·  The file only changes when someone opens it. It cannot send reminders on its own.</t>
        </is>
      </c>
    </row>
    <row r="49">
      <c r="B49" s="8" t="inlineStr">
        <is>
          <t>·  This is a free template, not legal advice. Check dates and requirements against the official source for your situation.</t>
        </is>
      </c>
    </row>
    <row r="51">
      <c r="B51" s="17" t="inlineStr">
        <is>
          <t>Made by ExpiryEdge · expiryedge.com</t>
        </is>
      </c>
    </row>
  </sheetData>
  <hyperlinks>
    <hyperlink xmlns:r="http://schemas.openxmlformats.org/officeDocument/2006/relationships" ref="B51" r:id="rId1"/>
  </hyperlinks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7CD9AE"/>
    <outlinePr summaryBelow="1" summaryRight="1"/>
    <pageSetUpPr fitToPage="1"/>
  </sheetPr>
  <dimension ref="A1:Q503"/>
  <sheetViews>
    <sheetView showGridLines="0" tabSelected="0" zoomScale="10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13" customWidth="1" min="3" max="3"/>
    <col width="26" customWidth="1" min="4" max="4"/>
    <col width="24" customWidth="1" min="5" max="5"/>
    <col width="13" customWidth="1" min="6" max="6"/>
    <col width="16" customWidth="1" min="7" max="7"/>
    <col width="13" customWidth="1" min="8" max="8"/>
    <col width="11" customWidth="1" min="9" max="9"/>
    <col width="13" customWidth="1" min="10" max="10"/>
    <col width="10" customWidth="1" min="11" max="11"/>
    <col width="14" customWidth="1" min="12" max="12"/>
    <col width="13" customWidth="1" min="13" max="13"/>
    <col width="14" customWidth="1" min="14" max="14"/>
    <col width="26" customWidth="1" min="15" max="15"/>
    <col width="26" customWidth="1" min="16" max="16"/>
    <col width="36" customWidth="1" min="17" max="17"/>
  </cols>
  <sheetData>
    <row r="1" ht="24" customHeight="1">
      <c r="A1" s="18" t="inlineStr">
        <is>
          <t>Right to work checks</t>
        </is>
      </c>
    </row>
    <row r="2" ht="16" customHeight="1">
      <c r="A2" s="3" t="inlineStr">
        <is>
          <t>Type in the white columns. Shaded columns are calculated, so leave them alone. Rows starting "Example –" are samples: delete them (or type over them) when you add your own.</t>
        </is>
      </c>
    </row>
    <row r="3" ht="32" customHeight="1">
      <c r="A3" s="19" t="inlineStr">
        <is>
          <t>Employee</t>
        </is>
      </c>
      <c r="B3" s="19" t="inlineStr">
        <is>
          <t>Job title</t>
        </is>
      </c>
      <c r="C3" s="19" t="inlineStr">
        <is>
          <t>Start date</t>
        </is>
      </c>
      <c r="D3" s="19" t="inlineStr">
        <is>
          <t>Check type</t>
        </is>
      </c>
      <c r="E3" s="19" t="inlineStr">
        <is>
          <t>Evidence seen</t>
        </is>
      </c>
      <c r="F3" s="19" t="inlineStr">
        <is>
          <t>Check date</t>
        </is>
      </c>
      <c r="G3" s="19" t="inlineStr">
        <is>
          <t>Checked by</t>
        </is>
      </c>
      <c r="H3" s="19" t="inlineStr">
        <is>
          <t>Permission ends</t>
        </is>
      </c>
      <c r="I3" s="19" t="inlineStr">
        <is>
          <t>Lead time (days)</t>
        </is>
      </c>
      <c r="J3" s="20" t="inlineStr">
        <is>
          <t>Follow-up check by</t>
        </is>
      </c>
      <c r="K3" s="20" t="inlineStr">
        <is>
          <t>Days left</t>
        </is>
      </c>
      <c r="L3" s="20" t="inlineStr">
        <is>
          <t>Status</t>
        </is>
      </c>
      <c r="M3" s="19" t="inlineStr">
        <is>
          <t>Leaving date</t>
        </is>
      </c>
      <c r="N3" s="20" t="inlineStr">
        <is>
          <t>Keep records until</t>
        </is>
      </c>
      <c r="O3" s="19" t="inlineStr">
        <is>
          <t>HR contact email</t>
        </is>
      </c>
      <c r="P3" s="19" t="inlineStr">
        <is>
          <t>Copy of check</t>
        </is>
      </c>
      <c r="Q3" s="19" t="inlineStr">
        <is>
          <t>Notes</t>
        </is>
      </c>
    </row>
    <row r="4">
      <c r="A4" s="21" t="inlineStr">
        <is>
          <t>Example – Sam Placeholder</t>
        </is>
      </c>
      <c r="B4" s="21" t="inlineStr">
        <is>
          <t>Care assistant</t>
        </is>
      </c>
      <c r="C4" s="22" t="n">
        <v>45964</v>
      </c>
      <c r="D4" s="21" t="inlineStr">
        <is>
          <t>Home Office online check (share code)</t>
        </is>
      </c>
      <c r="E4" s="21" t="inlineStr">
        <is>
          <t>Online check: share code</t>
        </is>
      </c>
      <c r="F4" s="22" t="n">
        <v>45958</v>
      </c>
      <c r="G4" s="21" t="inlineStr">
        <is>
          <t>HR team</t>
        </is>
      </c>
      <c r="H4" s="22" t="n">
        <v>46356</v>
      </c>
      <c r="I4" s="23" t="n">
        <v>60</v>
      </c>
      <c r="J4" s="24">
        <f>IF(ISNUMBER(H4),H4-IF(ISNUMBER(I4),I4,30),"")</f>
        <v/>
      </c>
      <c r="K4" s="25">
        <f>IF(H4="","",IF(ISNUMBER(H4),H4-TODAY(),"Check date"))</f>
        <v/>
      </c>
      <c r="L4" s="26">
        <f>IF(K4="","",IF(ISNUMBER(K4),IF(K4&lt;0,"Expired",IF(K4&lt;=30,"Due ≤30 days",IF(K4&lt;=90,"Due ≤90 days","OK"))),"Check date"))</f>
        <v/>
      </c>
      <c r="M4" s="22" t="n"/>
      <c r="N4" s="24">
        <f>IF(ISNUMBER(M4),DATE(YEAR(M4)+2,MONTH(M4),DAY(M4)),"")</f>
        <v/>
      </c>
      <c r="O4" s="21" t="n"/>
      <c r="P4" s="21" t="n"/>
      <c r="Q4" s="21" t="n"/>
    </row>
    <row r="5">
      <c r="A5" s="21" t="inlineStr">
        <is>
          <t>Example – Alex Sample</t>
        </is>
      </c>
      <c r="B5" s="21" t="inlineStr">
        <is>
          <t>Warehouse operative</t>
        </is>
      </c>
      <c r="C5" s="22" t="n">
        <v>45334</v>
      </c>
      <c r="D5" s="21" t="inlineStr">
        <is>
          <t>Manual document check</t>
        </is>
      </c>
      <c r="E5" s="21" t="inlineStr">
        <is>
          <t>UK passport</t>
        </is>
      </c>
      <c r="F5" s="22" t="n">
        <v>45327</v>
      </c>
      <c r="G5" s="21" t="inlineStr">
        <is>
          <t>HR team</t>
        </is>
      </c>
      <c r="H5" s="22" t="n"/>
      <c r="I5" s="23" t="n"/>
      <c r="J5" s="24">
        <f>IF(ISNUMBER(H5),H5-IF(ISNUMBER(I5),I5,30),"")</f>
        <v/>
      </c>
      <c r="K5" s="25">
        <f>IF(H5="","",IF(ISNUMBER(H5),H5-TODAY(),"Check date"))</f>
        <v/>
      </c>
      <c r="L5" s="26">
        <f>IF(K5="","",IF(ISNUMBER(K5),IF(K5&lt;0,"Expired",IF(K5&lt;=30,"Due ≤30 days",IF(K5&lt;=90,"Due ≤90 days","OK"))),"Check date"))</f>
        <v/>
      </c>
      <c r="M5" s="22" t="n"/>
      <c r="N5" s="24">
        <f>IF(ISNUMBER(M5),DATE(YEAR(M5)+2,MONTH(M5),DAY(M5)),"")</f>
        <v/>
      </c>
      <c r="O5" s="21" t="n"/>
      <c r="P5" s="21" t="n"/>
      <c r="Q5" s="21" t="n"/>
    </row>
    <row r="6">
      <c r="A6" s="21" t="inlineStr">
        <is>
          <t>Example – Jo Example</t>
        </is>
      </c>
      <c r="B6" s="21" t="inlineStr">
        <is>
          <t>Software developer</t>
        </is>
      </c>
      <c r="C6" s="22" t="n">
        <v>46027</v>
      </c>
      <c r="D6" s="21" t="inlineStr">
        <is>
          <t>Home Office online check (share code)</t>
        </is>
      </c>
      <c r="E6" s="21" t="inlineStr">
        <is>
          <t>eVisa (online check)</t>
        </is>
      </c>
      <c r="F6" s="22" t="n">
        <v>46006</v>
      </c>
      <c r="G6" s="21" t="inlineStr">
        <is>
          <t>HR team</t>
        </is>
      </c>
      <c r="H6" s="22" t="n">
        <v>46613</v>
      </c>
      <c r="I6" s="23" t="n">
        <v>90</v>
      </c>
      <c r="J6" s="24">
        <f>IF(ISNUMBER(H6),H6-IF(ISNUMBER(I6),I6,30),"")</f>
        <v/>
      </c>
      <c r="K6" s="25">
        <f>IF(H6="","",IF(ISNUMBER(H6),H6-TODAY(),"Check date"))</f>
        <v/>
      </c>
      <c r="L6" s="26">
        <f>IF(K6="","",IF(ISNUMBER(K6),IF(K6&lt;0,"Expired",IF(K6&lt;=30,"Due ≤30 days",IF(K6&lt;=90,"Due ≤90 days","OK"))),"Check date"))</f>
        <v/>
      </c>
      <c r="M6" s="22" t="n"/>
      <c r="N6" s="24">
        <f>IF(ISNUMBER(M6),DATE(YEAR(M6)+2,MONTH(M6),DAY(M6)),"")</f>
        <v/>
      </c>
      <c r="O6" s="21" t="n"/>
      <c r="P6" s="21" t="n"/>
      <c r="Q6" s="21" t="n"/>
    </row>
    <row r="7">
      <c r="A7" s="21" t="inlineStr">
        <is>
          <t>Example – Chris Demo</t>
        </is>
      </c>
      <c r="B7" s="21" t="inlineStr">
        <is>
          <t>Chef</t>
        </is>
      </c>
      <c r="C7" s="22" t="n">
        <v>45078</v>
      </c>
      <c r="D7" s="21" t="inlineStr">
        <is>
          <t>Manual document check</t>
        </is>
      </c>
      <c r="E7" s="21" t="inlineStr">
        <is>
          <t>Irish passport</t>
        </is>
      </c>
      <c r="F7" s="22" t="n">
        <v>45071</v>
      </c>
      <c r="G7" s="21" t="inlineStr">
        <is>
          <t>Head chef</t>
        </is>
      </c>
      <c r="H7" s="22" t="n"/>
      <c r="I7" s="23" t="n"/>
      <c r="J7" s="24">
        <f>IF(ISNUMBER(H7),H7-IF(ISNUMBER(I7),I7,30),"")</f>
        <v/>
      </c>
      <c r="K7" s="25">
        <f>IF(H7="","",IF(ISNUMBER(H7),H7-TODAY(),"Check date"))</f>
        <v/>
      </c>
      <c r="L7" s="26">
        <f>IF(K7="","",IF(ISNUMBER(K7),IF(K7&lt;0,"Expired",IF(K7&lt;=30,"Due ≤30 days",IF(K7&lt;=90,"Due ≤90 days","OK"))),"Check date"))</f>
        <v/>
      </c>
      <c r="M7" s="22" t="n"/>
      <c r="N7" s="24">
        <f>IF(ISNUMBER(M7),DATE(YEAR(M7)+2,MONTH(M7),DAY(M7)),"")</f>
        <v/>
      </c>
      <c r="O7" s="21" t="n"/>
      <c r="P7" s="21" t="n"/>
      <c r="Q7" s="21" t="n"/>
    </row>
    <row r="8">
      <c r="A8" s="21" t="inlineStr">
        <is>
          <t>Example – Pat Sample</t>
        </is>
      </c>
      <c r="B8" s="21" t="inlineStr">
        <is>
          <t>Cleaner</t>
        </is>
      </c>
      <c r="C8" s="22" t="n">
        <v>45726</v>
      </c>
      <c r="D8" s="21" t="inlineStr">
        <is>
          <t>Home Office online check (share code)</t>
        </is>
      </c>
      <c r="E8" s="21" t="inlineStr">
        <is>
          <t>Online check: share code</t>
        </is>
      </c>
      <c r="F8" s="22" t="n">
        <v>45719</v>
      </c>
      <c r="G8" s="21" t="inlineStr">
        <is>
          <t>HR team</t>
        </is>
      </c>
      <c r="H8" s="22" t="n">
        <v>46315</v>
      </c>
      <c r="I8" s="23" t="n">
        <v>30</v>
      </c>
      <c r="J8" s="24">
        <f>IF(ISNUMBER(H8),H8-IF(ISNUMBER(I8),I8,30),"")</f>
        <v/>
      </c>
      <c r="K8" s="25">
        <f>IF(H8="","",IF(ISNUMBER(H8),H8-TODAY(),"Check date"))</f>
        <v/>
      </c>
      <c r="L8" s="26">
        <f>IF(K8="","",IF(ISNUMBER(K8),IF(K8&lt;0,"Expired",IF(K8&lt;=30,"Due ≤30 days",IF(K8&lt;=90,"Due ≤90 days","OK"))),"Check date"))</f>
        <v/>
      </c>
      <c r="M8" s="22" t="n"/>
      <c r="N8" s="24">
        <f>IF(ISNUMBER(M8),DATE(YEAR(M8)+2,MONTH(M8),DAY(M8)),"")</f>
        <v/>
      </c>
      <c r="O8" s="21" t="n"/>
      <c r="P8" s="21" t="n"/>
      <c r="Q8" s="21" t="n"/>
    </row>
    <row r="9">
      <c r="A9" s="21" t="n"/>
      <c r="B9" s="21" t="n"/>
      <c r="C9" s="22" t="n"/>
      <c r="D9" s="21" t="n"/>
      <c r="E9" s="21" t="n"/>
      <c r="F9" s="22" t="n"/>
      <c r="G9" s="21" t="n"/>
      <c r="H9" s="22" t="n"/>
      <c r="I9" s="23" t="n"/>
      <c r="J9" s="24">
        <f>IF(ISNUMBER(H9),H9-IF(ISNUMBER(I9),I9,30),"")</f>
        <v/>
      </c>
      <c r="K9" s="25">
        <f>IF(H9="","",IF(ISNUMBER(H9),H9-TODAY(),"Check date"))</f>
        <v/>
      </c>
      <c r="L9" s="26">
        <f>IF(K9="","",IF(ISNUMBER(K9),IF(K9&lt;0,"Expired",IF(K9&lt;=30,"Due ≤30 days",IF(K9&lt;=90,"Due ≤90 days","OK"))),"Check date"))</f>
        <v/>
      </c>
      <c r="M9" s="22" t="n"/>
      <c r="N9" s="24">
        <f>IF(ISNUMBER(M9),DATE(YEAR(M9)+2,MONTH(M9),DAY(M9)),"")</f>
        <v/>
      </c>
      <c r="O9" s="21" t="n"/>
      <c r="P9" s="21" t="n"/>
      <c r="Q9" s="21" t="n"/>
    </row>
    <row r="10">
      <c r="A10" s="21" t="n"/>
      <c r="B10" s="21" t="n"/>
      <c r="C10" s="22" t="n"/>
      <c r="D10" s="21" t="n"/>
      <c r="E10" s="21" t="n"/>
      <c r="F10" s="22" t="n"/>
      <c r="G10" s="21" t="n"/>
      <c r="H10" s="22" t="n"/>
      <c r="I10" s="23" t="n"/>
      <c r="J10" s="24">
        <f>IF(ISNUMBER(H10),H10-IF(ISNUMBER(I10),I10,30),"")</f>
        <v/>
      </c>
      <c r="K10" s="25">
        <f>IF(H10="","",IF(ISNUMBER(H10),H10-TODAY(),"Check date"))</f>
        <v/>
      </c>
      <c r="L10" s="26">
        <f>IF(K10="","",IF(ISNUMBER(K10),IF(K10&lt;0,"Expired",IF(K10&lt;=30,"Due ≤30 days",IF(K10&lt;=90,"Due ≤90 days","OK"))),"Check date"))</f>
        <v/>
      </c>
      <c r="M10" s="22" t="n"/>
      <c r="N10" s="24">
        <f>IF(ISNUMBER(M10),DATE(YEAR(M10)+2,MONTH(M10),DAY(M10)),"")</f>
        <v/>
      </c>
      <c r="O10" s="21" t="n"/>
      <c r="P10" s="21" t="n"/>
      <c r="Q10" s="21" t="n"/>
    </row>
    <row r="11">
      <c r="A11" s="21" t="n"/>
      <c r="B11" s="21" t="n"/>
      <c r="C11" s="22" t="n"/>
      <c r="D11" s="21" t="n"/>
      <c r="E11" s="21" t="n"/>
      <c r="F11" s="22" t="n"/>
      <c r="G11" s="21" t="n"/>
      <c r="H11" s="22" t="n"/>
      <c r="I11" s="23" t="n"/>
      <c r="J11" s="24">
        <f>IF(ISNUMBER(H11),H11-IF(ISNUMBER(I11),I11,30),"")</f>
        <v/>
      </c>
      <c r="K11" s="25">
        <f>IF(H11="","",IF(ISNUMBER(H11),H11-TODAY(),"Check date"))</f>
        <v/>
      </c>
      <c r="L11" s="26">
        <f>IF(K11="","",IF(ISNUMBER(K11),IF(K11&lt;0,"Expired",IF(K11&lt;=30,"Due ≤30 days",IF(K11&lt;=90,"Due ≤90 days","OK"))),"Check date"))</f>
        <v/>
      </c>
      <c r="M11" s="22" t="n"/>
      <c r="N11" s="24">
        <f>IF(ISNUMBER(M11),DATE(YEAR(M11)+2,MONTH(M11),DAY(M11)),"")</f>
        <v/>
      </c>
      <c r="O11" s="21" t="n"/>
      <c r="P11" s="21" t="n"/>
      <c r="Q11" s="21" t="n"/>
    </row>
    <row r="12">
      <c r="A12" s="21" t="n"/>
      <c r="B12" s="21" t="n"/>
      <c r="C12" s="22" t="n"/>
      <c r="D12" s="21" t="n"/>
      <c r="E12" s="21" t="n"/>
      <c r="F12" s="22" t="n"/>
      <c r="G12" s="21" t="n"/>
      <c r="H12" s="22" t="n"/>
      <c r="I12" s="23" t="n"/>
      <c r="J12" s="24">
        <f>IF(ISNUMBER(H12),H12-IF(ISNUMBER(I12),I12,30),"")</f>
        <v/>
      </c>
      <c r="K12" s="25">
        <f>IF(H12="","",IF(ISNUMBER(H12),H12-TODAY(),"Check date"))</f>
        <v/>
      </c>
      <c r="L12" s="26">
        <f>IF(K12="","",IF(ISNUMBER(K12),IF(K12&lt;0,"Expired",IF(K12&lt;=30,"Due ≤30 days",IF(K12&lt;=90,"Due ≤90 days","OK"))),"Check date"))</f>
        <v/>
      </c>
      <c r="M12" s="22" t="n"/>
      <c r="N12" s="24">
        <f>IF(ISNUMBER(M12),DATE(YEAR(M12)+2,MONTH(M12),DAY(M12)),"")</f>
        <v/>
      </c>
      <c r="O12" s="21" t="n"/>
      <c r="P12" s="21" t="n"/>
      <c r="Q12" s="21" t="n"/>
    </row>
    <row r="13">
      <c r="A13" s="21" t="n"/>
      <c r="B13" s="21" t="n"/>
      <c r="C13" s="22" t="n"/>
      <c r="D13" s="21" t="n"/>
      <c r="E13" s="21" t="n"/>
      <c r="F13" s="22" t="n"/>
      <c r="G13" s="21" t="n"/>
      <c r="H13" s="22" t="n"/>
      <c r="I13" s="23" t="n"/>
      <c r="J13" s="24">
        <f>IF(ISNUMBER(H13),H13-IF(ISNUMBER(I13),I13,30),"")</f>
        <v/>
      </c>
      <c r="K13" s="25">
        <f>IF(H13="","",IF(ISNUMBER(H13),H13-TODAY(),"Check date"))</f>
        <v/>
      </c>
      <c r="L13" s="26">
        <f>IF(K13="","",IF(ISNUMBER(K13),IF(K13&lt;0,"Expired",IF(K13&lt;=30,"Due ≤30 days",IF(K13&lt;=90,"Due ≤90 days","OK"))),"Check date"))</f>
        <v/>
      </c>
      <c r="M13" s="22" t="n"/>
      <c r="N13" s="24">
        <f>IF(ISNUMBER(M13),DATE(YEAR(M13)+2,MONTH(M13),DAY(M13)),"")</f>
        <v/>
      </c>
      <c r="O13" s="21" t="n"/>
      <c r="P13" s="21" t="n"/>
      <c r="Q13" s="21" t="n"/>
    </row>
    <row r="14">
      <c r="A14" s="21" t="n"/>
      <c r="B14" s="21" t="n"/>
      <c r="C14" s="22" t="n"/>
      <c r="D14" s="21" t="n"/>
      <c r="E14" s="21" t="n"/>
      <c r="F14" s="22" t="n"/>
      <c r="G14" s="21" t="n"/>
      <c r="H14" s="22" t="n"/>
      <c r="I14" s="23" t="n"/>
      <c r="J14" s="24">
        <f>IF(ISNUMBER(H14),H14-IF(ISNUMBER(I14),I14,30),"")</f>
        <v/>
      </c>
      <c r="K14" s="25">
        <f>IF(H14="","",IF(ISNUMBER(H14),H14-TODAY(),"Check date"))</f>
        <v/>
      </c>
      <c r="L14" s="26">
        <f>IF(K14="","",IF(ISNUMBER(K14),IF(K14&lt;0,"Expired",IF(K14&lt;=30,"Due ≤30 days",IF(K14&lt;=90,"Due ≤90 days","OK"))),"Check date"))</f>
        <v/>
      </c>
      <c r="M14" s="22" t="n"/>
      <c r="N14" s="24">
        <f>IF(ISNUMBER(M14),DATE(YEAR(M14)+2,MONTH(M14),DAY(M14)),"")</f>
        <v/>
      </c>
      <c r="O14" s="21" t="n"/>
      <c r="P14" s="21" t="n"/>
      <c r="Q14" s="21" t="n"/>
    </row>
    <row r="15">
      <c r="A15" s="21" t="n"/>
      <c r="B15" s="21" t="n"/>
      <c r="C15" s="22" t="n"/>
      <c r="D15" s="21" t="n"/>
      <c r="E15" s="21" t="n"/>
      <c r="F15" s="22" t="n"/>
      <c r="G15" s="21" t="n"/>
      <c r="H15" s="22" t="n"/>
      <c r="I15" s="23" t="n"/>
      <c r="J15" s="24">
        <f>IF(ISNUMBER(H15),H15-IF(ISNUMBER(I15),I15,30),"")</f>
        <v/>
      </c>
      <c r="K15" s="25">
        <f>IF(H15="","",IF(ISNUMBER(H15),H15-TODAY(),"Check date"))</f>
        <v/>
      </c>
      <c r="L15" s="26">
        <f>IF(K15="","",IF(ISNUMBER(K15),IF(K15&lt;0,"Expired",IF(K15&lt;=30,"Due ≤30 days",IF(K15&lt;=90,"Due ≤90 days","OK"))),"Check date"))</f>
        <v/>
      </c>
      <c r="M15" s="22" t="n"/>
      <c r="N15" s="24">
        <f>IF(ISNUMBER(M15),DATE(YEAR(M15)+2,MONTH(M15),DAY(M15)),"")</f>
        <v/>
      </c>
      <c r="O15" s="21" t="n"/>
      <c r="P15" s="21" t="n"/>
      <c r="Q15" s="21" t="n"/>
    </row>
    <row r="16">
      <c r="A16" s="21" t="n"/>
      <c r="B16" s="21" t="n"/>
      <c r="C16" s="22" t="n"/>
      <c r="D16" s="21" t="n"/>
      <c r="E16" s="21" t="n"/>
      <c r="F16" s="22" t="n"/>
      <c r="G16" s="21" t="n"/>
      <c r="H16" s="22" t="n"/>
      <c r="I16" s="23" t="n"/>
      <c r="J16" s="24">
        <f>IF(ISNUMBER(H16),H16-IF(ISNUMBER(I16),I16,30),"")</f>
        <v/>
      </c>
      <c r="K16" s="25">
        <f>IF(H16="","",IF(ISNUMBER(H16),H16-TODAY(),"Check date"))</f>
        <v/>
      </c>
      <c r="L16" s="26">
        <f>IF(K16="","",IF(ISNUMBER(K16),IF(K16&lt;0,"Expired",IF(K16&lt;=30,"Due ≤30 days",IF(K16&lt;=90,"Due ≤90 days","OK"))),"Check date"))</f>
        <v/>
      </c>
      <c r="M16" s="22" t="n"/>
      <c r="N16" s="24">
        <f>IF(ISNUMBER(M16),DATE(YEAR(M16)+2,MONTH(M16),DAY(M16)),"")</f>
        <v/>
      </c>
      <c r="O16" s="21" t="n"/>
      <c r="P16" s="21" t="n"/>
      <c r="Q16" s="21" t="n"/>
    </row>
    <row r="17">
      <c r="A17" s="21" t="n"/>
      <c r="B17" s="21" t="n"/>
      <c r="C17" s="22" t="n"/>
      <c r="D17" s="21" t="n"/>
      <c r="E17" s="21" t="n"/>
      <c r="F17" s="22" t="n"/>
      <c r="G17" s="21" t="n"/>
      <c r="H17" s="22" t="n"/>
      <c r="I17" s="23" t="n"/>
      <c r="J17" s="24">
        <f>IF(ISNUMBER(H17),H17-IF(ISNUMBER(I17),I17,30),"")</f>
        <v/>
      </c>
      <c r="K17" s="25">
        <f>IF(H17="","",IF(ISNUMBER(H17),H17-TODAY(),"Check date"))</f>
        <v/>
      </c>
      <c r="L17" s="26">
        <f>IF(K17="","",IF(ISNUMBER(K17),IF(K17&lt;0,"Expired",IF(K17&lt;=30,"Due ≤30 days",IF(K17&lt;=90,"Due ≤90 days","OK"))),"Check date"))</f>
        <v/>
      </c>
      <c r="M17" s="22" t="n"/>
      <c r="N17" s="24">
        <f>IF(ISNUMBER(M17),DATE(YEAR(M17)+2,MONTH(M17),DAY(M17)),"")</f>
        <v/>
      </c>
      <c r="O17" s="21" t="n"/>
      <c r="P17" s="21" t="n"/>
      <c r="Q17" s="21" t="n"/>
    </row>
    <row r="18">
      <c r="A18" s="21" t="n"/>
      <c r="B18" s="21" t="n"/>
      <c r="C18" s="22" t="n"/>
      <c r="D18" s="21" t="n"/>
      <c r="E18" s="21" t="n"/>
      <c r="F18" s="22" t="n"/>
      <c r="G18" s="21" t="n"/>
      <c r="H18" s="22" t="n"/>
      <c r="I18" s="23" t="n"/>
      <c r="J18" s="24">
        <f>IF(ISNUMBER(H18),H18-IF(ISNUMBER(I18),I18,30),"")</f>
        <v/>
      </c>
      <c r="K18" s="25">
        <f>IF(H18="","",IF(ISNUMBER(H18),H18-TODAY(),"Check date"))</f>
        <v/>
      </c>
      <c r="L18" s="26">
        <f>IF(K18="","",IF(ISNUMBER(K18),IF(K18&lt;0,"Expired",IF(K18&lt;=30,"Due ≤30 days",IF(K18&lt;=90,"Due ≤90 days","OK"))),"Check date"))</f>
        <v/>
      </c>
      <c r="M18" s="22" t="n"/>
      <c r="N18" s="24">
        <f>IF(ISNUMBER(M18),DATE(YEAR(M18)+2,MONTH(M18),DAY(M18)),"")</f>
        <v/>
      </c>
      <c r="O18" s="21" t="n"/>
      <c r="P18" s="21" t="n"/>
      <c r="Q18" s="21" t="n"/>
    </row>
    <row r="19">
      <c r="A19" s="21" t="n"/>
      <c r="B19" s="21" t="n"/>
      <c r="C19" s="22" t="n"/>
      <c r="D19" s="21" t="n"/>
      <c r="E19" s="21" t="n"/>
      <c r="F19" s="22" t="n"/>
      <c r="G19" s="21" t="n"/>
      <c r="H19" s="22" t="n"/>
      <c r="I19" s="23" t="n"/>
      <c r="J19" s="24">
        <f>IF(ISNUMBER(H19),H19-IF(ISNUMBER(I19),I19,30),"")</f>
        <v/>
      </c>
      <c r="K19" s="25">
        <f>IF(H19="","",IF(ISNUMBER(H19),H19-TODAY(),"Check date"))</f>
        <v/>
      </c>
      <c r="L19" s="26">
        <f>IF(K19="","",IF(ISNUMBER(K19),IF(K19&lt;0,"Expired",IF(K19&lt;=30,"Due ≤30 days",IF(K19&lt;=90,"Due ≤90 days","OK"))),"Check date"))</f>
        <v/>
      </c>
      <c r="M19" s="22" t="n"/>
      <c r="N19" s="24">
        <f>IF(ISNUMBER(M19),DATE(YEAR(M19)+2,MONTH(M19),DAY(M19)),"")</f>
        <v/>
      </c>
      <c r="O19" s="21" t="n"/>
      <c r="P19" s="21" t="n"/>
      <c r="Q19" s="21" t="n"/>
    </row>
    <row r="20">
      <c r="A20" s="21" t="n"/>
      <c r="B20" s="21" t="n"/>
      <c r="C20" s="22" t="n"/>
      <c r="D20" s="21" t="n"/>
      <c r="E20" s="21" t="n"/>
      <c r="F20" s="22" t="n"/>
      <c r="G20" s="21" t="n"/>
      <c r="H20" s="22" t="n"/>
      <c r="I20" s="23" t="n"/>
      <c r="J20" s="24">
        <f>IF(ISNUMBER(H20),H20-IF(ISNUMBER(I20),I20,30),"")</f>
        <v/>
      </c>
      <c r="K20" s="25">
        <f>IF(H20="","",IF(ISNUMBER(H20),H20-TODAY(),"Check date"))</f>
        <v/>
      </c>
      <c r="L20" s="26">
        <f>IF(K20="","",IF(ISNUMBER(K20),IF(K20&lt;0,"Expired",IF(K20&lt;=30,"Due ≤30 days",IF(K20&lt;=90,"Due ≤90 days","OK"))),"Check date"))</f>
        <v/>
      </c>
      <c r="M20" s="22" t="n"/>
      <c r="N20" s="24">
        <f>IF(ISNUMBER(M20),DATE(YEAR(M20)+2,MONTH(M20),DAY(M20)),"")</f>
        <v/>
      </c>
      <c r="O20" s="21" t="n"/>
      <c r="P20" s="21" t="n"/>
      <c r="Q20" s="21" t="n"/>
    </row>
    <row r="21">
      <c r="A21" s="21" t="n"/>
      <c r="B21" s="21" t="n"/>
      <c r="C21" s="22" t="n"/>
      <c r="D21" s="21" t="n"/>
      <c r="E21" s="21" t="n"/>
      <c r="F21" s="22" t="n"/>
      <c r="G21" s="21" t="n"/>
      <c r="H21" s="22" t="n"/>
      <c r="I21" s="23" t="n"/>
      <c r="J21" s="24">
        <f>IF(ISNUMBER(H21),H21-IF(ISNUMBER(I21),I21,30),"")</f>
        <v/>
      </c>
      <c r="K21" s="25">
        <f>IF(H21="","",IF(ISNUMBER(H21),H21-TODAY(),"Check date"))</f>
        <v/>
      </c>
      <c r="L21" s="26">
        <f>IF(K21="","",IF(ISNUMBER(K21),IF(K21&lt;0,"Expired",IF(K21&lt;=30,"Due ≤30 days",IF(K21&lt;=90,"Due ≤90 days","OK"))),"Check date"))</f>
        <v/>
      </c>
      <c r="M21" s="22" t="n"/>
      <c r="N21" s="24">
        <f>IF(ISNUMBER(M21),DATE(YEAR(M21)+2,MONTH(M21),DAY(M21)),"")</f>
        <v/>
      </c>
      <c r="O21" s="21" t="n"/>
      <c r="P21" s="21" t="n"/>
      <c r="Q21" s="21" t="n"/>
    </row>
    <row r="22">
      <c r="A22" s="21" t="n"/>
      <c r="B22" s="21" t="n"/>
      <c r="C22" s="22" t="n"/>
      <c r="D22" s="21" t="n"/>
      <c r="E22" s="21" t="n"/>
      <c r="F22" s="22" t="n"/>
      <c r="G22" s="21" t="n"/>
      <c r="H22" s="22" t="n"/>
      <c r="I22" s="23" t="n"/>
      <c r="J22" s="24">
        <f>IF(ISNUMBER(H22),H22-IF(ISNUMBER(I22),I22,30),"")</f>
        <v/>
      </c>
      <c r="K22" s="25">
        <f>IF(H22="","",IF(ISNUMBER(H22),H22-TODAY(),"Check date"))</f>
        <v/>
      </c>
      <c r="L22" s="26">
        <f>IF(K22="","",IF(ISNUMBER(K22),IF(K22&lt;0,"Expired",IF(K22&lt;=30,"Due ≤30 days",IF(K22&lt;=90,"Due ≤90 days","OK"))),"Check date"))</f>
        <v/>
      </c>
      <c r="M22" s="22" t="n"/>
      <c r="N22" s="24">
        <f>IF(ISNUMBER(M22),DATE(YEAR(M22)+2,MONTH(M22),DAY(M22)),"")</f>
        <v/>
      </c>
      <c r="O22" s="21" t="n"/>
      <c r="P22" s="21" t="n"/>
      <c r="Q22" s="21" t="n"/>
    </row>
    <row r="23">
      <c r="A23" s="21" t="n"/>
      <c r="B23" s="21" t="n"/>
      <c r="C23" s="22" t="n"/>
      <c r="D23" s="21" t="n"/>
      <c r="E23" s="21" t="n"/>
      <c r="F23" s="22" t="n"/>
      <c r="G23" s="21" t="n"/>
      <c r="H23" s="22" t="n"/>
      <c r="I23" s="23" t="n"/>
      <c r="J23" s="24">
        <f>IF(ISNUMBER(H23),H23-IF(ISNUMBER(I23),I23,30),"")</f>
        <v/>
      </c>
      <c r="K23" s="25">
        <f>IF(H23="","",IF(ISNUMBER(H23),H23-TODAY(),"Check date"))</f>
        <v/>
      </c>
      <c r="L23" s="26">
        <f>IF(K23="","",IF(ISNUMBER(K23),IF(K23&lt;0,"Expired",IF(K23&lt;=30,"Due ≤30 days",IF(K23&lt;=90,"Due ≤90 days","OK"))),"Check date"))</f>
        <v/>
      </c>
      <c r="M23" s="22" t="n"/>
      <c r="N23" s="24">
        <f>IF(ISNUMBER(M23),DATE(YEAR(M23)+2,MONTH(M23),DAY(M23)),"")</f>
        <v/>
      </c>
      <c r="O23" s="21" t="n"/>
      <c r="P23" s="21" t="n"/>
      <c r="Q23" s="21" t="n"/>
    </row>
    <row r="24">
      <c r="A24" s="21" t="n"/>
      <c r="B24" s="21" t="n"/>
      <c r="C24" s="22" t="n"/>
      <c r="D24" s="21" t="n"/>
      <c r="E24" s="21" t="n"/>
      <c r="F24" s="22" t="n"/>
      <c r="G24" s="21" t="n"/>
      <c r="H24" s="22" t="n"/>
      <c r="I24" s="23" t="n"/>
      <c r="J24" s="24">
        <f>IF(ISNUMBER(H24),H24-IF(ISNUMBER(I24),I24,30),"")</f>
        <v/>
      </c>
      <c r="K24" s="25">
        <f>IF(H24="","",IF(ISNUMBER(H24),H24-TODAY(),"Check date"))</f>
        <v/>
      </c>
      <c r="L24" s="26">
        <f>IF(K24="","",IF(ISNUMBER(K24),IF(K24&lt;0,"Expired",IF(K24&lt;=30,"Due ≤30 days",IF(K24&lt;=90,"Due ≤90 days","OK"))),"Check date"))</f>
        <v/>
      </c>
      <c r="M24" s="22" t="n"/>
      <c r="N24" s="24">
        <f>IF(ISNUMBER(M24),DATE(YEAR(M24)+2,MONTH(M24),DAY(M24)),"")</f>
        <v/>
      </c>
      <c r="O24" s="21" t="n"/>
      <c r="P24" s="21" t="n"/>
      <c r="Q24" s="21" t="n"/>
    </row>
    <row r="25">
      <c r="A25" s="21" t="n"/>
      <c r="B25" s="21" t="n"/>
      <c r="C25" s="22" t="n"/>
      <c r="D25" s="21" t="n"/>
      <c r="E25" s="21" t="n"/>
      <c r="F25" s="22" t="n"/>
      <c r="G25" s="21" t="n"/>
      <c r="H25" s="22" t="n"/>
      <c r="I25" s="23" t="n"/>
      <c r="J25" s="24">
        <f>IF(ISNUMBER(H25),H25-IF(ISNUMBER(I25),I25,30),"")</f>
        <v/>
      </c>
      <c r="K25" s="25">
        <f>IF(H25="","",IF(ISNUMBER(H25),H25-TODAY(),"Check date"))</f>
        <v/>
      </c>
      <c r="L25" s="26">
        <f>IF(K25="","",IF(ISNUMBER(K25),IF(K25&lt;0,"Expired",IF(K25&lt;=30,"Due ≤30 days",IF(K25&lt;=90,"Due ≤90 days","OK"))),"Check date"))</f>
        <v/>
      </c>
      <c r="M25" s="22" t="n"/>
      <c r="N25" s="24">
        <f>IF(ISNUMBER(M25),DATE(YEAR(M25)+2,MONTH(M25),DAY(M25)),"")</f>
        <v/>
      </c>
      <c r="O25" s="21" t="n"/>
      <c r="P25" s="21" t="n"/>
      <c r="Q25" s="21" t="n"/>
    </row>
    <row r="26">
      <c r="A26" s="21" t="n"/>
      <c r="B26" s="21" t="n"/>
      <c r="C26" s="22" t="n"/>
      <c r="D26" s="21" t="n"/>
      <c r="E26" s="21" t="n"/>
      <c r="F26" s="22" t="n"/>
      <c r="G26" s="21" t="n"/>
      <c r="H26" s="22" t="n"/>
      <c r="I26" s="23" t="n"/>
      <c r="J26" s="24">
        <f>IF(ISNUMBER(H26),H26-IF(ISNUMBER(I26),I26,30),"")</f>
        <v/>
      </c>
      <c r="K26" s="25">
        <f>IF(H26="","",IF(ISNUMBER(H26),H26-TODAY(),"Check date"))</f>
        <v/>
      </c>
      <c r="L26" s="26">
        <f>IF(K26="","",IF(ISNUMBER(K26),IF(K26&lt;0,"Expired",IF(K26&lt;=30,"Due ≤30 days",IF(K26&lt;=90,"Due ≤90 days","OK"))),"Check date"))</f>
        <v/>
      </c>
      <c r="M26" s="22" t="n"/>
      <c r="N26" s="24">
        <f>IF(ISNUMBER(M26),DATE(YEAR(M26)+2,MONTH(M26),DAY(M26)),"")</f>
        <v/>
      </c>
      <c r="O26" s="21" t="n"/>
      <c r="P26" s="21" t="n"/>
      <c r="Q26" s="21" t="n"/>
    </row>
    <row r="27">
      <c r="A27" s="21" t="n"/>
      <c r="B27" s="21" t="n"/>
      <c r="C27" s="22" t="n"/>
      <c r="D27" s="21" t="n"/>
      <c r="E27" s="21" t="n"/>
      <c r="F27" s="22" t="n"/>
      <c r="G27" s="21" t="n"/>
      <c r="H27" s="22" t="n"/>
      <c r="I27" s="23" t="n"/>
      <c r="J27" s="24">
        <f>IF(ISNUMBER(H27),H27-IF(ISNUMBER(I27),I27,30),"")</f>
        <v/>
      </c>
      <c r="K27" s="25">
        <f>IF(H27="","",IF(ISNUMBER(H27),H27-TODAY(),"Check date"))</f>
        <v/>
      </c>
      <c r="L27" s="26">
        <f>IF(K27="","",IF(ISNUMBER(K27),IF(K27&lt;0,"Expired",IF(K27&lt;=30,"Due ≤30 days",IF(K27&lt;=90,"Due ≤90 days","OK"))),"Check date"))</f>
        <v/>
      </c>
      <c r="M27" s="22" t="n"/>
      <c r="N27" s="24">
        <f>IF(ISNUMBER(M27),DATE(YEAR(M27)+2,MONTH(M27),DAY(M27)),"")</f>
        <v/>
      </c>
      <c r="O27" s="21" t="n"/>
      <c r="P27" s="21" t="n"/>
      <c r="Q27" s="21" t="n"/>
    </row>
    <row r="28">
      <c r="A28" s="21" t="n"/>
      <c r="B28" s="21" t="n"/>
      <c r="C28" s="22" t="n"/>
      <c r="D28" s="21" t="n"/>
      <c r="E28" s="21" t="n"/>
      <c r="F28" s="22" t="n"/>
      <c r="G28" s="21" t="n"/>
      <c r="H28" s="22" t="n"/>
      <c r="I28" s="23" t="n"/>
      <c r="J28" s="24">
        <f>IF(ISNUMBER(H28),H28-IF(ISNUMBER(I28),I28,30),"")</f>
        <v/>
      </c>
      <c r="K28" s="25">
        <f>IF(H28="","",IF(ISNUMBER(H28),H28-TODAY(),"Check date"))</f>
        <v/>
      </c>
      <c r="L28" s="26">
        <f>IF(K28="","",IF(ISNUMBER(K28),IF(K28&lt;0,"Expired",IF(K28&lt;=30,"Due ≤30 days",IF(K28&lt;=90,"Due ≤90 days","OK"))),"Check date"))</f>
        <v/>
      </c>
      <c r="M28" s="22" t="n"/>
      <c r="N28" s="24">
        <f>IF(ISNUMBER(M28),DATE(YEAR(M28)+2,MONTH(M28),DAY(M28)),"")</f>
        <v/>
      </c>
      <c r="O28" s="21" t="n"/>
      <c r="P28" s="21" t="n"/>
      <c r="Q28" s="21" t="n"/>
    </row>
    <row r="29">
      <c r="A29" s="21" t="n"/>
      <c r="B29" s="21" t="n"/>
      <c r="C29" s="22" t="n"/>
      <c r="D29" s="21" t="n"/>
      <c r="E29" s="21" t="n"/>
      <c r="F29" s="22" t="n"/>
      <c r="G29" s="21" t="n"/>
      <c r="H29" s="22" t="n"/>
      <c r="I29" s="23" t="n"/>
      <c r="J29" s="24">
        <f>IF(ISNUMBER(H29),H29-IF(ISNUMBER(I29),I29,30),"")</f>
        <v/>
      </c>
      <c r="K29" s="25">
        <f>IF(H29="","",IF(ISNUMBER(H29),H29-TODAY(),"Check date"))</f>
        <v/>
      </c>
      <c r="L29" s="26">
        <f>IF(K29="","",IF(ISNUMBER(K29),IF(K29&lt;0,"Expired",IF(K29&lt;=30,"Due ≤30 days",IF(K29&lt;=90,"Due ≤90 days","OK"))),"Check date"))</f>
        <v/>
      </c>
      <c r="M29" s="22" t="n"/>
      <c r="N29" s="24">
        <f>IF(ISNUMBER(M29),DATE(YEAR(M29)+2,MONTH(M29),DAY(M29)),"")</f>
        <v/>
      </c>
      <c r="O29" s="21" t="n"/>
      <c r="P29" s="21" t="n"/>
      <c r="Q29" s="21" t="n"/>
    </row>
    <row r="30">
      <c r="A30" s="21" t="n"/>
      <c r="B30" s="21" t="n"/>
      <c r="C30" s="22" t="n"/>
      <c r="D30" s="21" t="n"/>
      <c r="E30" s="21" t="n"/>
      <c r="F30" s="22" t="n"/>
      <c r="G30" s="21" t="n"/>
      <c r="H30" s="22" t="n"/>
      <c r="I30" s="23" t="n"/>
      <c r="J30" s="24">
        <f>IF(ISNUMBER(H30),H30-IF(ISNUMBER(I30),I30,30),"")</f>
        <v/>
      </c>
      <c r="K30" s="25">
        <f>IF(H30="","",IF(ISNUMBER(H30),H30-TODAY(),"Check date"))</f>
        <v/>
      </c>
      <c r="L30" s="26">
        <f>IF(K30="","",IF(ISNUMBER(K30),IF(K30&lt;0,"Expired",IF(K30&lt;=30,"Due ≤30 days",IF(K30&lt;=90,"Due ≤90 days","OK"))),"Check date"))</f>
        <v/>
      </c>
      <c r="M30" s="22" t="n"/>
      <c r="N30" s="24">
        <f>IF(ISNUMBER(M30),DATE(YEAR(M30)+2,MONTH(M30),DAY(M30)),"")</f>
        <v/>
      </c>
      <c r="O30" s="21" t="n"/>
      <c r="P30" s="21" t="n"/>
      <c r="Q30" s="21" t="n"/>
    </row>
    <row r="31">
      <c r="A31" s="21" t="n"/>
      <c r="B31" s="21" t="n"/>
      <c r="C31" s="22" t="n"/>
      <c r="D31" s="21" t="n"/>
      <c r="E31" s="21" t="n"/>
      <c r="F31" s="22" t="n"/>
      <c r="G31" s="21" t="n"/>
      <c r="H31" s="22" t="n"/>
      <c r="I31" s="23" t="n"/>
      <c r="J31" s="24">
        <f>IF(ISNUMBER(H31),H31-IF(ISNUMBER(I31),I31,30),"")</f>
        <v/>
      </c>
      <c r="K31" s="25">
        <f>IF(H31="","",IF(ISNUMBER(H31),H31-TODAY(),"Check date"))</f>
        <v/>
      </c>
      <c r="L31" s="26">
        <f>IF(K31="","",IF(ISNUMBER(K31),IF(K31&lt;0,"Expired",IF(K31&lt;=30,"Due ≤30 days",IF(K31&lt;=90,"Due ≤90 days","OK"))),"Check date"))</f>
        <v/>
      </c>
      <c r="M31" s="22" t="n"/>
      <c r="N31" s="24">
        <f>IF(ISNUMBER(M31),DATE(YEAR(M31)+2,MONTH(M31),DAY(M31)),"")</f>
        <v/>
      </c>
      <c r="O31" s="21" t="n"/>
      <c r="P31" s="21" t="n"/>
      <c r="Q31" s="21" t="n"/>
    </row>
    <row r="32">
      <c r="A32" s="21" t="n"/>
      <c r="B32" s="21" t="n"/>
      <c r="C32" s="22" t="n"/>
      <c r="D32" s="21" t="n"/>
      <c r="E32" s="21" t="n"/>
      <c r="F32" s="22" t="n"/>
      <c r="G32" s="21" t="n"/>
      <c r="H32" s="22" t="n"/>
      <c r="I32" s="23" t="n"/>
      <c r="J32" s="24">
        <f>IF(ISNUMBER(H32),H32-IF(ISNUMBER(I32),I32,30),"")</f>
        <v/>
      </c>
      <c r="K32" s="25">
        <f>IF(H32="","",IF(ISNUMBER(H32),H32-TODAY(),"Check date"))</f>
        <v/>
      </c>
      <c r="L32" s="26">
        <f>IF(K32="","",IF(ISNUMBER(K32),IF(K32&lt;0,"Expired",IF(K32&lt;=30,"Due ≤30 days",IF(K32&lt;=90,"Due ≤90 days","OK"))),"Check date"))</f>
        <v/>
      </c>
      <c r="M32" s="22" t="n"/>
      <c r="N32" s="24">
        <f>IF(ISNUMBER(M32),DATE(YEAR(M32)+2,MONTH(M32),DAY(M32)),"")</f>
        <v/>
      </c>
      <c r="O32" s="21" t="n"/>
      <c r="P32" s="21" t="n"/>
      <c r="Q32" s="21" t="n"/>
    </row>
    <row r="33">
      <c r="A33" s="21" t="n"/>
      <c r="B33" s="21" t="n"/>
      <c r="C33" s="22" t="n"/>
      <c r="D33" s="21" t="n"/>
      <c r="E33" s="21" t="n"/>
      <c r="F33" s="22" t="n"/>
      <c r="G33" s="21" t="n"/>
      <c r="H33" s="22" t="n"/>
      <c r="I33" s="23" t="n"/>
      <c r="J33" s="24">
        <f>IF(ISNUMBER(H33),H33-IF(ISNUMBER(I33),I33,30),"")</f>
        <v/>
      </c>
      <c r="K33" s="25">
        <f>IF(H33="","",IF(ISNUMBER(H33),H33-TODAY(),"Check date"))</f>
        <v/>
      </c>
      <c r="L33" s="26">
        <f>IF(K33="","",IF(ISNUMBER(K33),IF(K33&lt;0,"Expired",IF(K33&lt;=30,"Due ≤30 days",IF(K33&lt;=90,"Due ≤90 days","OK"))),"Check date"))</f>
        <v/>
      </c>
      <c r="M33" s="22" t="n"/>
      <c r="N33" s="24">
        <f>IF(ISNUMBER(M33),DATE(YEAR(M33)+2,MONTH(M33),DAY(M33)),"")</f>
        <v/>
      </c>
      <c r="O33" s="21" t="n"/>
      <c r="P33" s="21" t="n"/>
      <c r="Q33" s="21" t="n"/>
    </row>
    <row r="34">
      <c r="A34" s="21" t="n"/>
      <c r="B34" s="21" t="n"/>
      <c r="C34" s="22" t="n"/>
      <c r="D34" s="21" t="n"/>
      <c r="E34" s="21" t="n"/>
      <c r="F34" s="22" t="n"/>
      <c r="G34" s="21" t="n"/>
      <c r="H34" s="22" t="n"/>
      <c r="I34" s="23" t="n"/>
      <c r="J34" s="24">
        <f>IF(ISNUMBER(H34),H34-IF(ISNUMBER(I34),I34,30),"")</f>
        <v/>
      </c>
      <c r="K34" s="25">
        <f>IF(H34="","",IF(ISNUMBER(H34),H34-TODAY(),"Check date"))</f>
        <v/>
      </c>
      <c r="L34" s="26">
        <f>IF(K34="","",IF(ISNUMBER(K34),IF(K34&lt;0,"Expired",IF(K34&lt;=30,"Due ≤30 days",IF(K34&lt;=90,"Due ≤90 days","OK"))),"Check date"))</f>
        <v/>
      </c>
      <c r="M34" s="22" t="n"/>
      <c r="N34" s="24">
        <f>IF(ISNUMBER(M34),DATE(YEAR(M34)+2,MONTH(M34),DAY(M34)),"")</f>
        <v/>
      </c>
      <c r="O34" s="21" t="n"/>
      <c r="P34" s="21" t="n"/>
      <c r="Q34" s="21" t="n"/>
    </row>
    <row r="35">
      <c r="A35" s="21" t="n"/>
      <c r="B35" s="21" t="n"/>
      <c r="C35" s="22" t="n"/>
      <c r="D35" s="21" t="n"/>
      <c r="E35" s="21" t="n"/>
      <c r="F35" s="22" t="n"/>
      <c r="G35" s="21" t="n"/>
      <c r="H35" s="22" t="n"/>
      <c r="I35" s="23" t="n"/>
      <c r="J35" s="24">
        <f>IF(ISNUMBER(H35),H35-IF(ISNUMBER(I35),I35,30),"")</f>
        <v/>
      </c>
      <c r="K35" s="25">
        <f>IF(H35="","",IF(ISNUMBER(H35),H35-TODAY(),"Check date"))</f>
        <v/>
      </c>
      <c r="L35" s="26">
        <f>IF(K35="","",IF(ISNUMBER(K35),IF(K35&lt;0,"Expired",IF(K35&lt;=30,"Due ≤30 days",IF(K35&lt;=90,"Due ≤90 days","OK"))),"Check date"))</f>
        <v/>
      </c>
      <c r="M35" s="22" t="n"/>
      <c r="N35" s="24">
        <f>IF(ISNUMBER(M35),DATE(YEAR(M35)+2,MONTH(M35),DAY(M35)),"")</f>
        <v/>
      </c>
      <c r="O35" s="21" t="n"/>
      <c r="P35" s="21" t="n"/>
      <c r="Q35" s="21" t="n"/>
    </row>
    <row r="36">
      <c r="A36" s="21" t="n"/>
      <c r="B36" s="21" t="n"/>
      <c r="C36" s="22" t="n"/>
      <c r="D36" s="21" t="n"/>
      <c r="E36" s="21" t="n"/>
      <c r="F36" s="22" t="n"/>
      <c r="G36" s="21" t="n"/>
      <c r="H36" s="22" t="n"/>
      <c r="I36" s="23" t="n"/>
      <c r="J36" s="24">
        <f>IF(ISNUMBER(H36),H36-IF(ISNUMBER(I36),I36,30),"")</f>
        <v/>
      </c>
      <c r="K36" s="25">
        <f>IF(H36="","",IF(ISNUMBER(H36),H36-TODAY(),"Check date"))</f>
        <v/>
      </c>
      <c r="L36" s="26">
        <f>IF(K36="","",IF(ISNUMBER(K36),IF(K36&lt;0,"Expired",IF(K36&lt;=30,"Due ≤30 days",IF(K36&lt;=90,"Due ≤90 days","OK"))),"Check date"))</f>
        <v/>
      </c>
      <c r="M36" s="22" t="n"/>
      <c r="N36" s="24">
        <f>IF(ISNUMBER(M36),DATE(YEAR(M36)+2,MONTH(M36),DAY(M36)),"")</f>
        <v/>
      </c>
      <c r="O36" s="21" t="n"/>
      <c r="P36" s="21" t="n"/>
      <c r="Q36" s="21" t="n"/>
    </row>
    <row r="37">
      <c r="A37" s="21" t="n"/>
      <c r="B37" s="21" t="n"/>
      <c r="C37" s="22" t="n"/>
      <c r="D37" s="21" t="n"/>
      <c r="E37" s="21" t="n"/>
      <c r="F37" s="22" t="n"/>
      <c r="G37" s="21" t="n"/>
      <c r="H37" s="22" t="n"/>
      <c r="I37" s="23" t="n"/>
      <c r="J37" s="24">
        <f>IF(ISNUMBER(H37),H37-IF(ISNUMBER(I37),I37,30),"")</f>
        <v/>
      </c>
      <c r="K37" s="25">
        <f>IF(H37="","",IF(ISNUMBER(H37),H37-TODAY(),"Check date"))</f>
        <v/>
      </c>
      <c r="L37" s="26">
        <f>IF(K37="","",IF(ISNUMBER(K37),IF(K37&lt;0,"Expired",IF(K37&lt;=30,"Due ≤30 days",IF(K37&lt;=90,"Due ≤90 days","OK"))),"Check date"))</f>
        <v/>
      </c>
      <c r="M37" s="22" t="n"/>
      <c r="N37" s="24">
        <f>IF(ISNUMBER(M37),DATE(YEAR(M37)+2,MONTH(M37),DAY(M37)),"")</f>
        <v/>
      </c>
      <c r="O37" s="21" t="n"/>
      <c r="P37" s="21" t="n"/>
      <c r="Q37" s="21" t="n"/>
    </row>
    <row r="38">
      <c r="A38" s="21" t="n"/>
      <c r="B38" s="21" t="n"/>
      <c r="C38" s="22" t="n"/>
      <c r="D38" s="21" t="n"/>
      <c r="E38" s="21" t="n"/>
      <c r="F38" s="22" t="n"/>
      <c r="G38" s="21" t="n"/>
      <c r="H38" s="22" t="n"/>
      <c r="I38" s="23" t="n"/>
      <c r="J38" s="24">
        <f>IF(ISNUMBER(H38),H38-IF(ISNUMBER(I38),I38,30),"")</f>
        <v/>
      </c>
      <c r="K38" s="25">
        <f>IF(H38="","",IF(ISNUMBER(H38),H38-TODAY(),"Check date"))</f>
        <v/>
      </c>
      <c r="L38" s="26">
        <f>IF(K38="","",IF(ISNUMBER(K38),IF(K38&lt;0,"Expired",IF(K38&lt;=30,"Due ≤30 days",IF(K38&lt;=90,"Due ≤90 days","OK"))),"Check date"))</f>
        <v/>
      </c>
      <c r="M38" s="22" t="n"/>
      <c r="N38" s="24">
        <f>IF(ISNUMBER(M38),DATE(YEAR(M38)+2,MONTH(M38),DAY(M38)),"")</f>
        <v/>
      </c>
      <c r="O38" s="21" t="n"/>
      <c r="P38" s="21" t="n"/>
      <c r="Q38" s="21" t="n"/>
    </row>
    <row r="39">
      <c r="A39" s="21" t="n"/>
      <c r="B39" s="21" t="n"/>
      <c r="C39" s="22" t="n"/>
      <c r="D39" s="21" t="n"/>
      <c r="E39" s="21" t="n"/>
      <c r="F39" s="22" t="n"/>
      <c r="G39" s="21" t="n"/>
      <c r="H39" s="22" t="n"/>
      <c r="I39" s="23" t="n"/>
      <c r="J39" s="24">
        <f>IF(ISNUMBER(H39),H39-IF(ISNUMBER(I39),I39,30),"")</f>
        <v/>
      </c>
      <c r="K39" s="25">
        <f>IF(H39="","",IF(ISNUMBER(H39),H39-TODAY(),"Check date"))</f>
        <v/>
      </c>
      <c r="L39" s="26">
        <f>IF(K39="","",IF(ISNUMBER(K39),IF(K39&lt;0,"Expired",IF(K39&lt;=30,"Due ≤30 days",IF(K39&lt;=90,"Due ≤90 days","OK"))),"Check date"))</f>
        <v/>
      </c>
      <c r="M39" s="22" t="n"/>
      <c r="N39" s="24">
        <f>IF(ISNUMBER(M39),DATE(YEAR(M39)+2,MONTH(M39),DAY(M39)),"")</f>
        <v/>
      </c>
      <c r="O39" s="21" t="n"/>
      <c r="P39" s="21" t="n"/>
      <c r="Q39" s="21" t="n"/>
    </row>
    <row r="40">
      <c r="A40" s="21" t="n"/>
      <c r="B40" s="21" t="n"/>
      <c r="C40" s="22" t="n"/>
      <c r="D40" s="21" t="n"/>
      <c r="E40" s="21" t="n"/>
      <c r="F40" s="22" t="n"/>
      <c r="G40" s="21" t="n"/>
      <c r="H40" s="22" t="n"/>
      <c r="I40" s="23" t="n"/>
      <c r="J40" s="24">
        <f>IF(ISNUMBER(H40),H40-IF(ISNUMBER(I40),I40,30),"")</f>
        <v/>
      </c>
      <c r="K40" s="25">
        <f>IF(H40="","",IF(ISNUMBER(H40),H40-TODAY(),"Check date"))</f>
        <v/>
      </c>
      <c r="L40" s="26">
        <f>IF(K40="","",IF(ISNUMBER(K40),IF(K40&lt;0,"Expired",IF(K40&lt;=30,"Due ≤30 days",IF(K40&lt;=90,"Due ≤90 days","OK"))),"Check date"))</f>
        <v/>
      </c>
      <c r="M40" s="22" t="n"/>
      <c r="N40" s="24">
        <f>IF(ISNUMBER(M40),DATE(YEAR(M40)+2,MONTH(M40),DAY(M40)),"")</f>
        <v/>
      </c>
      <c r="O40" s="21" t="n"/>
      <c r="P40" s="21" t="n"/>
      <c r="Q40" s="21" t="n"/>
    </row>
    <row r="41">
      <c r="A41" s="21" t="n"/>
      <c r="B41" s="21" t="n"/>
      <c r="C41" s="22" t="n"/>
      <c r="D41" s="21" t="n"/>
      <c r="E41" s="21" t="n"/>
      <c r="F41" s="22" t="n"/>
      <c r="G41" s="21" t="n"/>
      <c r="H41" s="22" t="n"/>
      <c r="I41" s="23" t="n"/>
      <c r="J41" s="24">
        <f>IF(ISNUMBER(H41),H41-IF(ISNUMBER(I41),I41,30),"")</f>
        <v/>
      </c>
      <c r="K41" s="25">
        <f>IF(H41="","",IF(ISNUMBER(H41),H41-TODAY(),"Check date"))</f>
        <v/>
      </c>
      <c r="L41" s="26">
        <f>IF(K41="","",IF(ISNUMBER(K41),IF(K41&lt;0,"Expired",IF(K41&lt;=30,"Due ≤30 days",IF(K41&lt;=90,"Due ≤90 days","OK"))),"Check date"))</f>
        <v/>
      </c>
      <c r="M41" s="22" t="n"/>
      <c r="N41" s="24">
        <f>IF(ISNUMBER(M41),DATE(YEAR(M41)+2,MONTH(M41),DAY(M41)),"")</f>
        <v/>
      </c>
      <c r="O41" s="21" t="n"/>
      <c r="P41" s="21" t="n"/>
      <c r="Q41" s="21" t="n"/>
    </row>
    <row r="42">
      <c r="A42" s="21" t="n"/>
      <c r="B42" s="21" t="n"/>
      <c r="C42" s="22" t="n"/>
      <c r="D42" s="21" t="n"/>
      <c r="E42" s="21" t="n"/>
      <c r="F42" s="22" t="n"/>
      <c r="G42" s="21" t="n"/>
      <c r="H42" s="22" t="n"/>
      <c r="I42" s="23" t="n"/>
      <c r="J42" s="24">
        <f>IF(ISNUMBER(H42),H42-IF(ISNUMBER(I42),I42,30),"")</f>
        <v/>
      </c>
      <c r="K42" s="25">
        <f>IF(H42="","",IF(ISNUMBER(H42),H42-TODAY(),"Check date"))</f>
        <v/>
      </c>
      <c r="L42" s="26">
        <f>IF(K42="","",IF(ISNUMBER(K42),IF(K42&lt;0,"Expired",IF(K42&lt;=30,"Due ≤30 days",IF(K42&lt;=90,"Due ≤90 days","OK"))),"Check date"))</f>
        <v/>
      </c>
      <c r="M42" s="22" t="n"/>
      <c r="N42" s="24">
        <f>IF(ISNUMBER(M42),DATE(YEAR(M42)+2,MONTH(M42),DAY(M42)),"")</f>
        <v/>
      </c>
      <c r="O42" s="21" t="n"/>
      <c r="P42" s="21" t="n"/>
      <c r="Q42" s="21" t="n"/>
    </row>
    <row r="43">
      <c r="A43" s="21" t="n"/>
      <c r="B43" s="21" t="n"/>
      <c r="C43" s="22" t="n"/>
      <c r="D43" s="21" t="n"/>
      <c r="E43" s="21" t="n"/>
      <c r="F43" s="22" t="n"/>
      <c r="G43" s="21" t="n"/>
      <c r="H43" s="22" t="n"/>
      <c r="I43" s="23" t="n"/>
      <c r="J43" s="24">
        <f>IF(ISNUMBER(H43),H43-IF(ISNUMBER(I43),I43,30),"")</f>
        <v/>
      </c>
      <c r="K43" s="25">
        <f>IF(H43="","",IF(ISNUMBER(H43),H43-TODAY(),"Check date"))</f>
        <v/>
      </c>
      <c r="L43" s="26">
        <f>IF(K43="","",IF(ISNUMBER(K43),IF(K43&lt;0,"Expired",IF(K43&lt;=30,"Due ≤30 days",IF(K43&lt;=90,"Due ≤90 days","OK"))),"Check date"))</f>
        <v/>
      </c>
      <c r="M43" s="22" t="n"/>
      <c r="N43" s="24">
        <f>IF(ISNUMBER(M43),DATE(YEAR(M43)+2,MONTH(M43),DAY(M43)),"")</f>
        <v/>
      </c>
      <c r="O43" s="21" t="n"/>
      <c r="P43" s="21" t="n"/>
      <c r="Q43" s="21" t="n"/>
    </row>
    <row r="44">
      <c r="A44" s="21" t="n"/>
      <c r="B44" s="21" t="n"/>
      <c r="C44" s="22" t="n"/>
      <c r="D44" s="21" t="n"/>
      <c r="E44" s="21" t="n"/>
      <c r="F44" s="22" t="n"/>
      <c r="G44" s="21" t="n"/>
      <c r="H44" s="22" t="n"/>
      <c r="I44" s="23" t="n"/>
      <c r="J44" s="24">
        <f>IF(ISNUMBER(H44),H44-IF(ISNUMBER(I44),I44,30),"")</f>
        <v/>
      </c>
      <c r="K44" s="25">
        <f>IF(H44="","",IF(ISNUMBER(H44),H44-TODAY(),"Check date"))</f>
        <v/>
      </c>
      <c r="L44" s="26">
        <f>IF(K44="","",IF(ISNUMBER(K44),IF(K44&lt;0,"Expired",IF(K44&lt;=30,"Due ≤30 days",IF(K44&lt;=90,"Due ≤90 days","OK"))),"Check date"))</f>
        <v/>
      </c>
      <c r="M44" s="22" t="n"/>
      <c r="N44" s="24">
        <f>IF(ISNUMBER(M44),DATE(YEAR(M44)+2,MONTH(M44),DAY(M44)),"")</f>
        <v/>
      </c>
      <c r="O44" s="21" t="n"/>
      <c r="P44" s="21" t="n"/>
      <c r="Q44" s="21" t="n"/>
    </row>
    <row r="45">
      <c r="A45" s="21" t="n"/>
      <c r="B45" s="21" t="n"/>
      <c r="C45" s="22" t="n"/>
      <c r="D45" s="21" t="n"/>
      <c r="E45" s="21" t="n"/>
      <c r="F45" s="22" t="n"/>
      <c r="G45" s="21" t="n"/>
      <c r="H45" s="22" t="n"/>
      <c r="I45" s="23" t="n"/>
      <c r="J45" s="24">
        <f>IF(ISNUMBER(H45),H45-IF(ISNUMBER(I45),I45,30),"")</f>
        <v/>
      </c>
      <c r="K45" s="25">
        <f>IF(H45="","",IF(ISNUMBER(H45),H45-TODAY(),"Check date"))</f>
        <v/>
      </c>
      <c r="L45" s="26">
        <f>IF(K45="","",IF(ISNUMBER(K45),IF(K45&lt;0,"Expired",IF(K45&lt;=30,"Due ≤30 days",IF(K45&lt;=90,"Due ≤90 days","OK"))),"Check date"))</f>
        <v/>
      </c>
      <c r="M45" s="22" t="n"/>
      <c r="N45" s="24">
        <f>IF(ISNUMBER(M45),DATE(YEAR(M45)+2,MONTH(M45),DAY(M45)),"")</f>
        <v/>
      </c>
      <c r="O45" s="21" t="n"/>
      <c r="P45" s="21" t="n"/>
      <c r="Q45" s="21" t="n"/>
    </row>
    <row r="46">
      <c r="A46" s="21" t="n"/>
      <c r="B46" s="21" t="n"/>
      <c r="C46" s="22" t="n"/>
      <c r="D46" s="21" t="n"/>
      <c r="E46" s="21" t="n"/>
      <c r="F46" s="22" t="n"/>
      <c r="G46" s="21" t="n"/>
      <c r="H46" s="22" t="n"/>
      <c r="I46" s="23" t="n"/>
      <c r="J46" s="24">
        <f>IF(ISNUMBER(H46),H46-IF(ISNUMBER(I46),I46,30),"")</f>
        <v/>
      </c>
      <c r="K46" s="25">
        <f>IF(H46="","",IF(ISNUMBER(H46),H46-TODAY(),"Check date"))</f>
        <v/>
      </c>
      <c r="L46" s="26">
        <f>IF(K46="","",IF(ISNUMBER(K46),IF(K46&lt;0,"Expired",IF(K46&lt;=30,"Due ≤30 days",IF(K46&lt;=90,"Due ≤90 days","OK"))),"Check date"))</f>
        <v/>
      </c>
      <c r="M46" s="22" t="n"/>
      <c r="N46" s="24">
        <f>IF(ISNUMBER(M46),DATE(YEAR(M46)+2,MONTH(M46),DAY(M46)),"")</f>
        <v/>
      </c>
      <c r="O46" s="21" t="n"/>
      <c r="P46" s="21" t="n"/>
      <c r="Q46" s="21" t="n"/>
    </row>
    <row r="47">
      <c r="A47" s="21" t="n"/>
      <c r="B47" s="21" t="n"/>
      <c r="C47" s="22" t="n"/>
      <c r="D47" s="21" t="n"/>
      <c r="E47" s="21" t="n"/>
      <c r="F47" s="22" t="n"/>
      <c r="G47" s="21" t="n"/>
      <c r="H47" s="22" t="n"/>
      <c r="I47" s="23" t="n"/>
      <c r="J47" s="24">
        <f>IF(ISNUMBER(H47),H47-IF(ISNUMBER(I47),I47,30),"")</f>
        <v/>
      </c>
      <c r="K47" s="25">
        <f>IF(H47="","",IF(ISNUMBER(H47),H47-TODAY(),"Check date"))</f>
        <v/>
      </c>
      <c r="L47" s="26">
        <f>IF(K47="","",IF(ISNUMBER(K47),IF(K47&lt;0,"Expired",IF(K47&lt;=30,"Due ≤30 days",IF(K47&lt;=90,"Due ≤90 days","OK"))),"Check date"))</f>
        <v/>
      </c>
      <c r="M47" s="22" t="n"/>
      <c r="N47" s="24">
        <f>IF(ISNUMBER(M47),DATE(YEAR(M47)+2,MONTH(M47),DAY(M47)),"")</f>
        <v/>
      </c>
      <c r="O47" s="21" t="n"/>
      <c r="P47" s="21" t="n"/>
      <c r="Q47" s="21" t="n"/>
    </row>
    <row r="48">
      <c r="A48" s="21" t="n"/>
      <c r="B48" s="21" t="n"/>
      <c r="C48" s="22" t="n"/>
      <c r="D48" s="21" t="n"/>
      <c r="E48" s="21" t="n"/>
      <c r="F48" s="22" t="n"/>
      <c r="G48" s="21" t="n"/>
      <c r="H48" s="22" t="n"/>
      <c r="I48" s="23" t="n"/>
      <c r="J48" s="24">
        <f>IF(ISNUMBER(H48),H48-IF(ISNUMBER(I48),I48,30),"")</f>
        <v/>
      </c>
      <c r="K48" s="25">
        <f>IF(H48="","",IF(ISNUMBER(H48),H48-TODAY(),"Check date"))</f>
        <v/>
      </c>
      <c r="L48" s="26">
        <f>IF(K48="","",IF(ISNUMBER(K48),IF(K48&lt;0,"Expired",IF(K48&lt;=30,"Due ≤30 days",IF(K48&lt;=90,"Due ≤90 days","OK"))),"Check date"))</f>
        <v/>
      </c>
      <c r="M48" s="22" t="n"/>
      <c r="N48" s="24">
        <f>IF(ISNUMBER(M48),DATE(YEAR(M48)+2,MONTH(M48),DAY(M48)),"")</f>
        <v/>
      </c>
      <c r="O48" s="21" t="n"/>
      <c r="P48" s="21" t="n"/>
      <c r="Q48" s="21" t="n"/>
    </row>
    <row r="49">
      <c r="A49" s="21" t="n"/>
      <c r="B49" s="21" t="n"/>
      <c r="C49" s="22" t="n"/>
      <c r="D49" s="21" t="n"/>
      <c r="E49" s="21" t="n"/>
      <c r="F49" s="22" t="n"/>
      <c r="G49" s="21" t="n"/>
      <c r="H49" s="22" t="n"/>
      <c r="I49" s="23" t="n"/>
      <c r="J49" s="24">
        <f>IF(ISNUMBER(H49),H49-IF(ISNUMBER(I49),I49,30),"")</f>
        <v/>
      </c>
      <c r="K49" s="25">
        <f>IF(H49="","",IF(ISNUMBER(H49),H49-TODAY(),"Check date"))</f>
        <v/>
      </c>
      <c r="L49" s="26">
        <f>IF(K49="","",IF(ISNUMBER(K49),IF(K49&lt;0,"Expired",IF(K49&lt;=30,"Due ≤30 days",IF(K49&lt;=90,"Due ≤90 days","OK"))),"Check date"))</f>
        <v/>
      </c>
      <c r="M49" s="22" t="n"/>
      <c r="N49" s="24">
        <f>IF(ISNUMBER(M49),DATE(YEAR(M49)+2,MONTH(M49),DAY(M49)),"")</f>
        <v/>
      </c>
      <c r="O49" s="21" t="n"/>
      <c r="P49" s="21" t="n"/>
      <c r="Q49" s="21" t="n"/>
    </row>
    <row r="50">
      <c r="A50" s="21" t="n"/>
      <c r="B50" s="21" t="n"/>
      <c r="C50" s="22" t="n"/>
      <c r="D50" s="21" t="n"/>
      <c r="E50" s="21" t="n"/>
      <c r="F50" s="22" t="n"/>
      <c r="G50" s="21" t="n"/>
      <c r="H50" s="22" t="n"/>
      <c r="I50" s="23" t="n"/>
      <c r="J50" s="24">
        <f>IF(ISNUMBER(H50),H50-IF(ISNUMBER(I50),I50,30),"")</f>
        <v/>
      </c>
      <c r="K50" s="25">
        <f>IF(H50="","",IF(ISNUMBER(H50),H50-TODAY(),"Check date"))</f>
        <v/>
      </c>
      <c r="L50" s="26">
        <f>IF(K50="","",IF(ISNUMBER(K50),IF(K50&lt;0,"Expired",IF(K50&lt;=30,"Due ≤30 days",IF(K50&lt;=90,"Due ≤90 days","OK"))),"Check date"))</f>
        <v/>
      </c>
      <c r="M50" s="22" t="n"/>
      <c r="N50" s="24">
        <f>IF(ISNUMBER(M50),DATE(YEAR(M50)+2,MONTH(M50),DAY(M50)),"")</f>
        <v/>
      </c>
      <c r="O50" s="21" t="n"/>
      <c r="P50" s="21" t="n"/>
      <c r="Q50" s="21" t="n"/>
    </row>
    <row r="51">
      <c r="A51" s="21" t="n"/>
      <c r="B51" s="21" t="n"/>
      <c r="C51" s="22" t="n"/>
      <c r="D51" s="21" t="n"/>
      <c r="E51" s="21" t="n"/>
      <c r="F51" s="22" t="n"/>
      <c r="G51" s="21" t="n"/>
      <c r="H51" s="22" t="n"/>
      <c r="I51" s="23" t="n"/>
      <c r="J51" s="24">
        <f>IF(ISNUMBER(H51),H51-IF(ISNUMBER(I51),I51,30),"")</f>
        <v/>
      </c>
      <c r="K51" s="25">
        <f>IF(H51="","",IF(ISNUMBER(H51),H51-TODAY(),"Check date"))</f>
        <v/>
      </c>
      <c r="L51" s="26">
        <f>IF(K51="","",IF(ISNUMBER(K51),IF(K51&lt;0,"Expired",IF(K51&lt;=30,"Due ≤30 days",IF(K51&lt;=90,"Due ≤90 days","OK"))),"Check date"))</f>
        <v/>
      </c>
      <c r="M51" s="22" t="n"/>
      <c r="N51" s="24">
        <f>IF(ISNUMBER(M51),DATE(YEAR(M51)+2,MONTH(M51),DAY(M51)),"")</f>
        <v/>
      </c>
      <c r="O51" s="21" t="n"/>
      <c r="P51" s="21" t="n"/>
      <c r="Q51" s="21" t="n"/>
    </row>
    <row r="52">
      <c r="A52" s="21" t="n"/>
      <c r="B52" s="21" t="n"/>
      <c r="C52" s="22" t="n"/>
      <c r="D52" s="21" t="n"/>
      <c r="E52" s="21" t="n"/>
      <c r="F52" s="22" t="n"/>
      <c r="G52" s="21" t="n"/>
      <c r="H52" s="22" t="n"/>
      <c r="I52" s="23" t="n"/>
      <c r="J52" s="24">
        <f>IF(ISNUMBER(H52),H52-IF(ISNUMBER(I52),I52,30),"")</f>
        <v/>
      </c>
      <c r="K52" s="25">
        <f>IF(H52="","",IF(ISNUMBER(H52),H52-TODAY(),"Check date"))</f>
        <v/>
      </c>
      <c r="L52" s="26">
        <f>IF(K52="","",IF(ISNUMBER(K52),IF(K52&lt;0,"Expired",IF(K52&lt;=30,"Due ≤30 days",IF(K52&lt;=90,"Due ≤90 days","OK"))),"Check date"))</f>
        <v/>
      </c>
      <c r="M52" s="22" t="n"/>
      <c r="N52" s="24">
        <f>IF(ISNUMBER(M52),DATE(YEAR(M52)+2,MONTH(M52),DAY(M52)),"")</f>
        <v/>
      </c>
      <c r="O52" s="21" t="n"/>
      <c r="P52" s="21" t="n"/>
      <c r="Q52" s="21" t="n"/>
    </row>
    <row r="53">
      <c r="A53" s="21" t="n"/>
      <c r="B53" s="21" t="n"/>
      <c r="C53" s="22" t="n"/>
      <c r="D53" s="21" t="n"/>
      <c r="E53" s="21" t="n"/>
      <c r="F53" s="22" t="n"/>
      <c r="G53" s="21" t="n"/>
      <c r="H53" s="22" t="n"/>
      <c r="I53" s="23" t="n"/>
      <c r="J53" s="24">
        <f>IF(ISNUMBER(H53),H53-IF(ISNUMBER(I53),I53,30),"")</f>
        <v/>
      </c>
      <c r="K53" s="25">
        <f>IF(H53="","",IF(ISNUMBER(H53),H53-TODAY(),"Check date"))</f>
        <v/>
      </c>
      <c r="L53" s="26">
        <f>IF(K53="","",IF(ISNUMBER(K53),IF(K53&lt;0,"Expired",IF(K53&lt;=30,"Due ≤30 days",IF(K53&lt;=90,"Due ≤90 days","OK"))),"Check date"))</f>
        <v/>
      </c>
      <c r="M53" s="22" t="n"/>
      <c r="N53" s="24">
        <f>IF(ISNUMBER(M53),DATE(YEAR(M53)+2,MONTH(M53),DAY(M53)),"")</f>
        <v/>
      </c>
      <c r="O53" s="21" t="n"/>
      <c r="P53" s="21" t="n"/>
      <c r="Q53" s="21" t="n"/>
    </row>
    <row r="54">
      <c r="A54" s="21" t="n"/>
      <c r="B54" s="21" t="n"/>
      <c r="C54" s="22" t="n"/>
      <c r="D54" s="21" t="n"/>
      <c r="E54" s="21" t="n"/>
      <c r="F54" s="22" t="n"/>
      <c r="G54" s="21" t="n"/>
      <c r="H54" s="22" t="n"/>
      <c r="I54" s="23" t="n"/>
      <c r="J54" s="24">
        <f>IF(ISNUMBER(H54),H54-IF(ISNUMBER(I54),I54,30),"")</f>
        <v/>
      </c>
      <c r="K54" s="25">
        <f>IF(H54="","",IF(ISNUMBER(H54),H54-TODAY(),"Check date"))</f>
        <v/>
      </c>
      <c r="L54" s="26">
        <f>IF(K54="","",IF(ISNUMBER(K54),IF(K54&lt;0,"Expired",IF(K54&lt;=30,"Due ≤30 days",IF(K54&lt;=90,"Due ≤90 days","OK"))),"Check date"))</f>
        <v/>
      </c>
      <c r="M54" s="22" t="n"/>
      <c r="N54" s="24">
        <f>IF(ISNUMBER(M54),DATE(YEAR(M54)+2,MONTH(M54),DAY(M54)),"")</f>
        <v/>
      </c>
      <c r="O54" s="21" t="n"/>
      <c r="P54" s="21" t="n"/>
      <c r="Q54" s="21" t="n"/>
    </row>
    <row r="55">
      <c r="A55" s="21" t="n"/>
      <c r="B55" s="21" t="n"/>
      <c r="C55" s="22" t="n"/>
      <c r="D55" s="21" t="n"/>
      <c r="E55" s="21" t="n"/>
      <c r="F55" s="22" t="n"/>
      <c r="G55" s="21" t="n"/>
      <c r="H55" s="22" t="n"/>
      <c r="I55" s="23" t="n"/>
      <c r="J55" s="24">
        <f>IF(ISNUMBER(H55),H55-IF(ISNUMBER(I55),I55,30),"")</f>
        <v/>
      </c>
      <c r="K55" s="25">
        <f>IF(H55="","",IF(ISNUMBER(H55),H55-TODAY(),"Check date"))</f>
        <v/>
      </c>
      <c r="L55" s="26">
        <f>IF(K55="","",IF(ISNUMBER(K55),IF(K55&lt;0,"Expired",IF(K55&lt;=30,"Due ≤30 days",IF(K55&lt;=90,"Due ≤90 days","OK"))),"Check date"))</f>
        <v/>
      </c>
      <c r="M55" s="22" t="n"/>
      <c r="N55" s="24">
        <f>IF(ISNUMBER(M55),DATE(YEAR(M55)+2,MONTH(M55),DAY(M55)),"")</f>
        <v/>
      </c>
      <c r="O55" s="21" t="n"/>
      <c r="P55" s="21" t="n"/>
      <c r="Q55" s="21" t="n"/>
    </row>
    <row r="56">
      <c r="A56" s="21" t="n"/>
      <c r="B56" s="21" t="n"/>
      <c r="C56" s="22" t="n"/>
      <c r="D56" s="21" t="n"/>
      <c r="E56" s="21" t="n"/>
      <c r="F56" s="22" t="n"/>
      <c r="G56" s="21" t="n"/>
      <c r="H56" s="22" t="n"/>
      <c r="I56" s="23" t="n"/>
      <c r="J56" s="24">
        <f>IF(ISNUMBER(H56),H56-IF(ISNUMBER(I56),I56,30),"")</f>
        <v/>
      </c>
      <c r="K56" s="25">
        <f>IF(H56="","",IF(ISNUMBER(H56),H56-TODAY(),"Check date"))</f>
        <v/>
      </c>
      <c r="L56" s="26">
        <f>IF(K56="","",IF(ISNUMBER(K56),IF(K56&lt;0,"Expired",IF(K56&lt;=30,"Due ≤30 days",IF(K56&lt;=90,"Due ≤90 days","OK"))),"Check date"))</f>
        <v/>
      </c>
      <c r="M56" s="22" t="n"/>
      <c r="N56" s="24">
        <f>IF(ISNUMBER(M56),DATE(YEAR(M56)+2,MONTH(M56),DAY(M56)),"")</f>
        <v/>
      </c>
      <c r="O56" s="21" t="n"/>
      <c r="P56" s="21" t="n"/>
      <c r="Q56" s="21" t="n"/>
    </row>
    <row r="57">
      <c r="A57" s="21" t="n"/>
      <c r="B57" s="21" t="n"/>
      <c r="C57" s="22" t="n"/>
      <c r="D57" s="21" t="n"/>
      <c r="E57" s="21" t="n"/>
      <c r="F57" s="22" t="n"/>
      <c r="G57" s="21" t="n"/>
      <c r="H57" s="22" t="n"/>
      <c r="I57" s="23" t="n"/>
      <c r="J57" s="24">
        <f>IF(ISNUMBER(H57),H57-IF(ISNUMBER(I57),I57,30),"")</f>
        <v/>
      </c>
      <c r="K57" s="25">
        <f>IF(H57="","",IF(ISNUMBER(H57),H57-TODAY(),"Check date"))</f>
        <v/>
      </c>
      <c r="L57" s="26">
        <f>IF(K57="","",IF(ISNUMBER(K57),IF(K57&lt;0,"Expired",IF(K57&lt;=30,"Due ≤30 days",IF(K57&lt;=90,"Due ≤90 days","OK"))),"Check date"))</f>
        <v/>
      </c>
      <c r="M57" s="22" t="n"/>
      <c r="N57" s="24">
        <f>IF(ISNUMBER(M57),DATE(YEAR(M57)+2,MONTH(M57),DAY(M57)),"")</f>
        <v/>
      </c>
      <c r="O57" s="21" t="n"/>
      <c r="P57" s="21" t="n"/>
      <c r="Q57" s="21" t="n"/>
    </row>
    <row r="58">
      <c r="A58" s="21" t="n"/>
      <c r="B58" s="21" t="n"/>
      <c r="C58" s="22" t="n"/>
      <c r="D58" s="21" t="n"/>
      <c r="E58" s="21" t="n"/>
      <c r="F58" s="22" t="n"/>
      <c r="G58" s="21" t="n"/>
      <c r="H58" s="22" t="n"/>
      <c r="I58" s="23" t="n"/>
      <c r="J58" s="24">
        <f>IF(ISNUMBER(H58),H58-IF(ISNUMBER(I58),I58,30),"")</f>
        <v/>
      </c>
      <c r="K58" s="25">
        <f>IF(H58="","",IF(ISNUMBER(H58),H58-TODAY(),"Check date"))</f>
        <v/>
      </c>
      <c r="L58" s="26">
        <f>IF(K58="","",IF(ISNUMBER(K58),IF(K58&lt;0,"Expired",IF(K58&lt;=30,"Due ≤30 days",IF(K58&lt;=90,"Due ≤90 days","OK"))),"Check date"))</f>
        <v/>
      </c>
      <c r="M58" s="22" t="n"/>
      <c r="N58" s="24">
        <f>IF(ISNUMBER(M58),DATE(YEAR(M58)+2,MONTH(M58),DAY(M58)),"")</f>
        <v/>
      </c>
      <c r="O58" s="21" t="n"/>
      <c r="P58" s="21" t="n"/>
      <c r="Q58" s="21" t="n"/>
    </row>
    <row r="59">
      <c r="A59" s="21" t="n"/>
      <c r="B59" s="21" t="n"/>
      <c r="C59" s="22" t="n"/>
      <c r="D59" s="21" t="n"/>
      <c r="E59" s="21" t="n"/>
      <c r="F59" s="22" t="n"/>
      <c r="G59" s="21" t="n"/>
      <c r="H59" s="22" t="n"/>
      <c r="I59" s="23" t="n"/>
      <c r="J59" s="24">
        <f>IF(ISNUMBER(H59),H59-IF(ISNUMBER(I59),I59,30),"")</f>
        <v/>
      </c>
      <c r="K59" s="25">
        <f>IF(H59="","",IF(ISNUMBER(H59),H59-TODAY(),"Check date"))</f>
        <v/>
      </c>
      <c r="L59" s="26">
        <f>IF(K59="","",IF(ISNUMBER(K59),IF(K59&lt;0,"Expired",IF(K59&lt;=30,"Due ≤30 days",IF(K59&lt;=90,"Due ≤90 days","OK"))),"Check date"))</f>
        <v/>
      </c>
      <c r="M59" s="22" t="n"/>
      <c r="N59" s="24">
        <f>IF(ISNUMBER(M59),DATE(YEAR(M59)+2,MONTH(M59),DAY(M59)),"")</f>
        <v/>
      </c>
      <c r="O59" s="21" t="n"/>
      <c r="P59" s="21" t="n"/>
      <c r="Q59" s="21" t="n"/>
    </row>
    <row r="60">
      <c r="A60" s="21" t="n"/>
      <c r="B60" s="21" t="n"/>
      <c r="C60" s="22" t="n"/>
      <c r="D60" s="21" t="n"/>
      <c r="E60" s="21" t="n"/>
      <c r="F60" s="22" t="n"/>
      <c r="G60" s="21" t="n"/>
      <c r="H60" s="22" t="n"/>
      <c r="I60" s="23" t="n"/>
      <c r="J60" s="24">
        <f>IF(ISNUMBER(H60),H60-IF(ISNUMBER(I60),I60,30),"")</f>
        <v/>
      </c>
      <c r="K60" s="25">
        <f>IF(H60="","",IF(ISNUMBER(H60),H60-TODAY(),"Check date"))</f>
        <v/>
      </c>
      <c r="L60" s="26">
        <f>IF(K60="","",IF(ISNUMBER(K60),IF(K60&lt;0,"Expired",IF(K60&lt;=30,"Due ≤30 days",IF(K60&lt;=90,"Due ≤90 days","OK"))),"Check date"))</f>
        <v/>
      </c>
      <c r="M60" s="22" t="n"/>
      <c r="N60" s="24">
        <f>IF(ISNUMBER(M60),DATE(YEAR(M60)+2,MONTH(M60),DAY(M60)),"")</f>
        <v/>
      </c>
      <c r="O60" s="21" t="n"/>
      <c r="P60" s="21" t="n"/>
      <c r="Q60" s="21" t="n"/>
    </row>
    <row r="61">
      <c r="A61" s="21" t="n"/>
      <c r="B61" s="21" t="n"/>
      <c r="C61" s="22" t="n"/>
      <c r="D61" s="21" t="n"/>
      <c r="E61" s="21" t="n"/>
      <c r="F61" s="22" t="n"/>
      <c r="G61" s="21" t="n"/>
      <c r="H61" s="22" t="n"/>
      <c r="I61" s="23" t="n"/>
      <c r="J61" s="24">
        <f>IF(ISNUMBER(H61),H61-IF(ISNUMBER(I61),I61,30),"")</f>
        <v/>
      </c>
      <c r="K61" s="25">
        <f>IF(H61="","",IF(ISNUMBER(H61),H61-TODAY(),"Check date"))</f>
        <v/>
      </c>
      <c r="L61" s="26">
        <f>IF(K61="","",IF(ISNUMBER(K61),IF(K61&lt;0,"Expired",IF(K61&lt;=30,"Due ≤30 days",IF(K61&lt;=90,"Due ≤90 days","OK"))),"Check date"))</f>
        <v/>
      </c>
      <c r="M61" s="22" t="n"/>
      <c r="N61" s="24">
        <f>IF(ISNUMBER(M61),DATE(YEAR(M61)+2,MONTH(M61),DAY(M61)),"")</f>
        <v/>
      </c>
      <c r="O61" s="21" t="n"/>
      <c r="P61" s="21" t="n"/>
      <c r="Q61" s="21" t="n"/>
    </row>
    <row r="62">
      <c r="A62" s="21" t="n"/>
      <c r="B62" s="21" t="n"/>
      <c r="C62" s="22" t="n"/>
      <c r="D62" s="21" t="n"/>
      <c r="E62" s="21" t="n"/>
      <c r="F62" s="22" t="n"/>
      <c r="G62" s="21" t="n"/>
      <c r="H62" s="22" t="n"/>
      <c r="I62" s="23" t="n"/>
      <c r="J62" s="24">
        <f>IF(ISNUMBER(H62),H62-IF(ISNUMBER(I62),I62,30),"")</f>
        <v/>
      </c>
      <c r="K62" s="25">
        <f>IF(H62="","",IF(ISNUMBER(H62),H62-TODAY(),"Check date"))</f>
        <v/>
      </c>
      <c r="L62" s="26">
        <f>IF(K62="","",IF(ISNUMBER(K62),IF(K62&lt;0,"Expired",IF(K62&lt;=30,"Due ≤30 days",IF(K62&lt;=90,"Due ≤90 days","OK"))),"Check date"))</f>
        <v/>
      </c>
      <c r="M62" s="22" t="n"/>
      <c r="N62" s="24">
        <f>IF(ISNUMBER(M62),DATE(YEAR(M62)+2,MONTH(M62),DAY(M62)),"")</f>
        <v/>
      </c>
      <c r="O62" s="21" t="n"/>
      <c r="P62" s="21" t="n"/>
      <c r="Q62" s="21" t="n"/>
    </row>
    <row r="63">
      <c r="A63" s="21" t="n"/>
      <c r="B63" s="21" t="n"/>
      <c r="C63" s="22" t="n"/>
      <c r="D63" s="21" t="n"/>
      <c r="E63" s="21" t="n"/>
      <c r="F63" s="22" t="n"/>
      <c r="G63" s="21" t="n"/>
      <c r="H63" s="22" t="n"/>
      <c r="I63" s="23" t="n"/>
      <c r="J63" s="24">
        <f>IF(ISNUMBER(H63),H63-IF(ISNUMBER(I63),I63,30),"")</f>
        <v/>
      </c>
      <c r="K63" s="25">
        <f>IF(H63="","",IF(ISNUMBER(H63),H63-TODAY(),"Check date"))</f>
        <v/>
      </c>
      <c r="L63" s="26">
        <f>IF(K63="","",IF(ISNUMBER(K63),IF(K63&lt;0,"Expired",IF(K63&lt;=30,"Due ≤30 days",IF(K63&lt;=90,"Due ≤90 days","OK"))),"Check date"))</f>
        <v/>
      </c>
      <c r="M63" s="22" t="n"/>
      <c r="N63" s="24">
        <f>IF(ISNUMBER(M63),DATE(YEAR(M63)+2,MONTH(M63),DAY(M63)),"")</f>
        <v/>
      </c>
      <c r="O63" s="21" t="n"/>
      <c r="P63" s="21" t="n"/>
      <c r="Q63" s="21" t="n"/>
    </row>
    <row r="64">
      <c r="A64" s="21" t="n"/>
      <c r="B64" s="21" t="n"/>
      <c r="C64" s="22" t="n"/>
      <c r="D64" s="21" t="n"/>
      <c r="E64" s="21" t="n"/>
      <c r="F64" s="22" t="n"/>
      <c r="G64" s="21" t="n"/>
      <c r="H64" s="22" t="n"/>
      <c r="I64" s="23" t="n"/>
      <c r="J64" s="24">
        <f>IF(ISNUMBER(H64),H64-IF(ISNUMBER(I64),I64,30),"")</f>
        <v/>
      </c>
      <c r="K64" s="25">
        <f>IF(H64="","",IF(ISNUMBER(H64),H64-TODAY(),"Check date"))</f>
        <v/>
      </c>
      <c r="L64" s="26">
        <f>IF(K64="","",IF(ISNUMBER(K64),IF(K64&lt;0,"Expired",IF(K64&lt;=30,"Due ≤30 days",IF(K64&lt;=90,"Due ≤90 days","OK"))),"Check date"))</f>
        <v/>
      </c>
      <c r="M64" s="22" t="n"/>
      <c r="N64" s="24">
        <f>IF(ISNUMBER(M64),DATE(YEAR(M64)+2,MONTH(M64),DAY(M64)),"")</f>
        <v/>
      </c>
      <c r="O64" s="21" t="n"/>
      <c r="P64" s="21" t="n"/>
      <c r="Q64" s="21" t="n"/>
    </row>
    <row r="65">
      <c r="A65" s="21" t="n"/>
      <c r="B65" s="21" t="n"/>
      <c r="C65" s="22" t="n"/>
      <c r="D65" s="21" t="n"/>
      <c r="E65" s="21" t="n"/>
      <c r="F65" s="22" t="n"/>
      <c r="G65" s="21" t="n"/>
      <c r="H65" s="22" t="n"/>
      <c r="I65" s="23" t="n"/>
      <c r="J65" s="24">
        <f>IF(ISNUMBER(H65),H65-IF(ISNUMBER(I65),I65,30),"")</f>
        <v/>
      </c>
      <c r="K65" s="25">
        <f>IF(H65="","",IF(ISNUMBER(H65),H65-TODAY(),"Check date"))</f>
        <v/>
      </c>
      <c r="L65" s="26">
        <f>IF(K65="","",IF(ISNUMBER(K65),IF(K65&lt;0,"Expired",IF(K65&lt;=30,"Due ≤30 days",IF(K65&lt;=90,"Due ≤90 days","OK"))),"Check date"))</f>
        <v/>
      </c>
      <c r="M65" s="22" t="n"/>
      <c r="N65" s="24">
        <f>IF(ISNUMBER(M65),DATE(YEAR(M65)+2,MONTH(M65),DAY(M65)),"")</f>
        <v/>
      </c>
      <c r="O65" s="21" t="n"/>
      <c r="P65" s="21" t="n"/>
      <c r="Q65" s="21" t="n"/>
    </row>
    <row r="66">
      <c r="A66" s="21" t="n"/>
      <c r="B66" s="21" t="n"/>
      <c r="C66" s="22" t="n"/>
      <c r="D66" s="21" t="n"/>
      <c r="E66" s="21" t="n"/>
      <c r="F66" s="22" t="n"/>
      <c r="G66" s="21" t="n"/>
      <c r="H66" s="22" t="n"/>
      <c r="I66" s="23" t="n"/>
      <c r="J66" s="24">
        <f>IF(ISNUMBER(H66),H66-IF(ISNUMBER(I66),I66,30),"")</f>
        <v/>
      </c>
      <c r="K66" s="25">
        <f>IF(H66="","",IF(ISNUMBER(H66),H66-TODAY(),"Check date"))</f>
        <v/>
      </c>
      <c r="L66" s="26">
        <f>IF(K66="","",IF(ISNUMBER(K66),IF(K66&lt;0,"Expired",IF(K66&lt;=30,"Due ≤30 days",IF(K66&lt;=90,"Due ≤90 days","OK"))),"Check date"))</f>
        <v/>
      </c>
      <c r="M66" s="22" t="n"/>
      <c r="N66" s="24">
        <f>IF(ISNUMBER(M66),DATE(YEAR(M66)+2,MONTH(M66),DAY(M66)),"")</f>
        <v/>
      </c>
      <c r="O66" s="21" t="n"/>
      <c r="P66" s="21" t="n"/>
      <c r="Q66" s="21" t="n"/>
    </row>
    <row r="67">
      <c r="A67" s="21" t="n"/>
      <c r="B67" s="21" t="n"/>
      <c r="C67" s="22" t="n"/>
      <c r="D67" s="21" t="n"/>
      <c r="E67" s="21" t="n"/>
      <c r="F67" s="22" t="n"/>
      <c r="G67" s="21" t="n"/>
      <c r="H67" s="22" t="n"/>
      <c r="I67" s="23" t="n"/>
      <c r="J67" s="24">
        <f>IF(ISNUMBER(H67),H67-IF(ISNUMBER(I67),I67,30),"")</f>
        <v/>
      </c>
      <c r="K67" s="25">
        <f>IF(H67="","",IF(ISNUMBER(H67),H67-TODAY(),"Check date"))</f>
        <v/>
      </c>
      <c r="L67" s="26">
        <f>IF(K67="","",IF(ISNUMBER(K67),IF(K67&lt;0,"Expired",IF(K67&lt;=30,"Due ≤30 days",IF(K67&lt;=90,"Due ≤90 days","OK"))),"Check date"))</f>
        <v/>
      </c>
      <c r="M67" s="22" t="n"/>
      <c r="N67" s="24">
        <f>IF(ISNUMBER(M67),DATE(YEAR(M67)+2,MONTH(M67),DAY(M67)),"")</f>
        <v/>
      </c>
      <c r="O67" s="21" t="n"/>
      <c r="P67" s="21" t="n"/>
      <c r="Q67" s="21" t="n"/>
    </row>
    <row r="68">
      <c r="A68" s="21" t="n"/>
      <c r="B68" s="21" t="n"/>
      <c r="C68" s="22" t="n"/>
      <c r="D68" s="21" t="n"/>
      <c r="E68" s="21" t="n"/>
      <c r="F68" s="22" t="n"/>
      <c r="G68" s="21" t="n"/>
      <c r="H68" s="22" t="n"/>
      <c r="I68" s="23" t="n"/>
      <c r="J68" s="24">
        <f>IF(ISNUMBER(H68),H68-IF(ISNUMBER(I68),I68,30),"")</f>
        <v/>
      </c>
      <c r="K68" s="25">
        <f>IF(H68="","",IF(ISNUMBER(H68),H68-TODAY(),"Check date"))</f>
        <v/>
      </c>
      <c r="L68" s="26">
        <f>IF(K68="","",IF(ISNUMBER(K68),IF(K68&lt;0,"Expired",IF(K68&lt;=30,"Due ≤30 days",IF(K68&lt;=90,"Due ≤90 days","OK"))),"Check date"))</f>
        <v/>
      </c>
      <c r="M68" s="22" t="n"/>
      <c r="N68" s="24">
        <f>IF(ISNUMBER(M68),DATE(YEAR(M68)+2,MONTH(M68),DAY(M68)),"")</f>
        <v/>
      </c>
      <c r="O68" s="21" t="n"/>
      <c r="P68" s="21" t="n"/>
      <c r="Q68" s="21" t="n"/>
    </row>
    <row r="69">
      <c r="A69" s="21" t="n"/>
      <c r="B69" s="21" t="n"/>
      <c r="C69" s="22" t="n"/>
      <c r="D69" s="21" t="n"/>
      <c r="E69" s="21" t="n"/>
      <c r="F69" s="22" t="n"/>
      <c r="G69" s="21" t="n"/>
      <c r="H69" s="22" t="n"/>
      <c r="I69" s="23" t="n"/>
      <c r="J69" s="24">
        <f>IF(ISNUMBER(H69),H69-IF(ISNUMBER(I69),I69,30),"")</f>
        <v/>
      </c>
      <c r="K69" s="25">
        <f>IF(H69="","",IF(ISNUMBER(H69),H69-TODAY(),"Check date"))</f>
        <v/>
      </c>
      <c r="L69" s="26">
        <f>IF(K69="","",IF(ISNUMBER(K69),IF(K69&lt;0,"Expired",IF(K69&lt;=30,"Due ≤30 days",IF(K69&lt;=90,"Due ≤90 days","OK"))),"Check date"))</f>
        <v/>
      </c>
      <c r="M69" s="22" t="n"/>
      <c r="N69" s="24">
        <f>IF(ISNUMBER(M69),DATE(YEAR(M69)+2,MONTH(M69),DAY(M69)),"")</f>
        <v/>
      </c>
      <c r="O69" s="21" t="n"/>
      <c r="P69" s="21" t="n"/>
      <c r="Q69" s="21" t="n"/>
    </row>
    <row r="70">
      <c r="A70" s="21" t="n"/>
      <c r="B70" s="21" t="n"/>
      <c r="C70" s="22" t="n"/>
      <c r="D70" s="21" t="n"/>
      <c r="E70" s="21" t="n"/>
      <c r="F70" s="22" t="n"/>
      <c r="G70" s="21" t="n"/>
      <c r="H70" s="22" t="n"/>
      <c r="I70" s="23" t="n"/>
      <c r="J70" s="24">
        <f>IF(ISNUMBER(H70),H70-IF(ISNUMBER(I70),I70,30),"")</f>
        <v/>
      </c>
      <c r="K70" s="25">
        <f>IF(H70="","",IF(ISNUMBER(H70),H70-TODAY(),"Check date"))</f>
        <v/>
      </c>
      <c r="L70" s="26">
        <f>IF(K70="","",IF(ISNUMBER(K70),IF(K70&lt;0,"Expired",IF(K70&lt;=30,"Due ≤30 days",IF(K70&lt;=90,"Due ≤90 days","OK"))),"Check date"))</f>
        <v/>
      </c>
      <c r="M70" s="22" t="n"/>
      <c r="N70" s="24">
        <f>IF(ISNUMBER(M70),DATE(YEAR(M70)+2,MONTH(M70),DAY(M70)),"")</f>
        <v/>
      </c>
      <c r="O70" s="21" t="n"/>
      <c r="P70" s="21" t="n"/>
      <c r="Q70" s="21" t="n"/>
    </row>
    <row r="71">
      <c r="A71" s="21" t="n"/>
      <c r="B71" s="21" t="n"/>
      <c r="C71" s="22" t="n"/>
      <c r="D71" s="21" t="n"/>
      <c r="E71" s="21" t="n"/>
      <c r="F71" s="22" t="n"/>
      <c r="G71" s="21" t="n"/>
      <c r="H71" s="22" t="n"/>
      <c r="I71" s="23" t="n"/>
      <c r="J71" s="24">
        <f>IF(ISNUMBER(H71),H71-IF(ISNUMBER(I71),I71,30),"")</f>
        <v/>
      </c>
      <c r="K71" s="25">
        <f>IF(H71="","",IF(ISNUMBER(H71),H71-TODAY(),"Check date"))</f>
        <v/>
      </c>
      <c r="L71" s="26">
        <f>IF(K71="","",IF(ISNUMBER(K71),IF(K71&lt;0,"Expired",IF(K71&lt;=30,"Due ≤30 days",IF(K71&lt;=90,"Due ≤90 days","OK"))),"Check date"))</f>
        <v/>
      </c>
      <c r="M71" s="22" t="n"/>
      <c r="N71" s="24">
        <f>IF(ISNUMBER(M71),DATE(YEAR(M71)+2,MONTH(M71),DAY(M71)),"")</f>
        <v/>
      </c>
      <c r="O71" s="21" t="n"/>
      <c r="P71" s="21" t="n"/>
      <c r="Q71" s="21" t="n"/>
    </row>
    <row r="72">
      <c r="A72" s="21" t="n"/>
      <c r="B72" s="21" t="n"/>
      <c r="C72" s="22" t="n"/>
      <c r="D72" s="21" t="n"/>
      <c r="E72" s="21" t="n"/>
      <c r="F72" s="22" t="n"/>
      <c r="G72" s="21" t="n"/>
      <c r="H72" s="22" t="n"/>
      <c r="I72" s="23" t="n"/>
      <c r="J72" s="24">
        <f>IF(ISNUMBER(H72),H72-IF(ISNUMBER(I72),I72,30),"")</f>
        <v/>
      </c>
      <c r="K72" s="25">
        <f>IF(H72="","",IF(ISNUMBER(H72),H72-TODAY(),"Check date"))</f>
        <v/>
      </c>
      <c r="L72" s="26">
        <f>IF(K72="","",IF(ISNUMBER(K72),IF(K72&lt;0,"Expired",IF(K72&lt;=30,"Due ≤30 days",IF(K72&lt;=90,"Due ≤90 days","OK"))),"Check date"))</f>
        <v/>
      </c>
      <c r="M72" s="22" t="n"/>
      <c r="N72" s="24">
        <f>IF(ISNUMBER(M72),DATE(YEAR(M72)+2,MONTH(M72),DAY(M72)),"")</f>
        <v/>
      </c>
      <c r="O72" s="21" t="n"/>
      <c r="P72" s="21" t="n"/>
      <c r="Q72" s="21" t="n"/>
    </row>
    <row r="73">
      <c r="A73" s="21" t="n"/>
      <c r="B73" s="21" t="n"/>
      <c r="C73" s="22" t="n"/>
      <c r="D73" s="21" t="n"/>
      <c r="E73" s="21" t="n"/>
      <c r="F73" s="22" t="n"/>
      <c r="G73" s="21" t="n"/>
      <c r="H73" s="22" t="n"/>
      <c r="I73" s="23" t="n"/>
      <c r="J73" s="24">
        <f>IF(ISNUMBER(H73),H73-IF(ISNUMBER(I73),I73,30),"")</f>
        <v/>
      </c>
      <c r="K73" s="25">
        <f>IF(H73="","",IF(ISNUMBER(H73),H73-TODAY(),"Check date"))</f>
        <v/>
      </c>
      <c r="L73" s="26">
        <f>IF(K73="","",IF(ISNUMBER(K73),IF(K73&lt;0,"Expired",IF(K73&lt;=30,"Due ≤30 days",IF(K73&lt;=90,"Due ≤90 days","OK"))),"Check date"))</f>
        <v/>
      </c>
      <c r="M73" s="22" t="n"/>
      <c r="N73" s="24">
        <f>IF(ISNUMBER(M73),DATE(YEAR(M73)+2,MONTH(M73),DAY(M73)),"")</f>
        <v/>
      </c>
      <c r="O73" s="21" t="n"/>
      <c r="P73" s="21" t="n"/>
      <c r="Q73" s="21" t="n"/>
    </row>
    <row r="74">
      <c r="A74" s="21" t="n"/>
      <c r="B74" s="21" t="n"/>
      <c r="C74" s="22" t="n"/>
      <c r="D74" s="21" t="n"/>
      <c r="E74" s="21" t="n"/>
      <c r="F74" s="22" t="n"/>
      <c r="G74" s="21" t="n"/>
      <c r="H74" s="22" t="n"/>
      <c r="I74" s="23" t="n"/>
      <c r="J74" s="24">
        <f>IF(ISNUMBER(H74),H74-IF(ISNUMBER(I74),I74,30),"")</f>
        <v/>
      </c>
      <c r="K74" s="25">
        <f>IF(H74="","",IF(ISNUMBER(H74),H74-TODAY(),"Check date"))</f>
        <v/>
      </c>
      <c r="L74" s="26">
        <f>IF(K74="","",IF(ISNUMBER(K74),IF(K74&lt;0,"Expired",IF(K74&lt;=30,"Due ≤30 days",IF(K74&lt;=90,"Due ≤90 days","OK"))),"Check date"))</f>
        <v/>
      </c>
      <c r="M74" s="22" t="n"/>
      <c r="N74" s="24">
        <f>IF(ISNUMBER(M74),DATE(YEAR(M74)+2,MONTH(M74),DAY(M74)),"")</f>
        <v/>
      </c>
      <c r="O74" s="21" t="n"/>
      <c r="P74" s="21" t="n"/>
      <c r="Q74" s="21" t="n"/>
    </row>
    <row r="75">
      <c r="A75" s="21" t="n"/>
      <c r="B75" s="21" t="n"/>
      <c r="C75" s="22" t="n"/>
      <c r="D75" s="21" t="n"/>
      <c r="E75" s="21" t="n"/>
      <c r="F75" s="22" t="n"/>
      <c r="G75" s="21" t="n"/>
      <c r="H75" s="22" t="n"/>
      <c r="I75" s="23" t="n"/>
      <c r="J75" s="24">
        <f>IF(ISNUMBER(H75),H75-IF(ISNUMBER(I75),I75,30),"")</f>
        <v/>
      </c>
      <c r="K75" s="25">
        <f>IF(H75="","",IF(ISNUMBER(H75),H75-TODAY(),"Check date"))</f>
        <v/>
      </c>
      <c r="L75" s="26">
        <f>IF(K75="","",IF(ISNUMBER(K75),IF(K75&lt;0,"Expired",IF(K75&lt;=30,"Due ≤30 days",IF(K75&lt;=90,"Due ≤90 days","OK"))),"Check date"))</f>
        <v/>
      </c>
      <c r="M75" s="22" t="n"/>
      <c r="N75" s="24">
        <f>IF(ISNUMBER(M75),DATE(YEAR(M75)+2,MONTH(M75),DAY(M75)),"")</f>
        <v/>
      </c>
      <c r="O75" s="21" t="n"/>
      <c r="P75" s="21" t="n"/>
      <c r="Q75" s="21" t="n"/>
    </row>
    <row r="76">
      <c r="A76" s="21" t="n"/>
      <c r="B76" s="21" t="n"/>
      <c r="C76" s="22" t="n"/>
      <c r="D76" s="21" t="n"/>
      <c r="E76" s="21" t="n"/>
      <c r="F76" s="22" t="n"/>
      <c r="G76" s="21" t="n"/>
      <c r="H76" s="22" t="n"/>
      <c r="I76" s="23" t="n"/>
      <c r="J76" s="24">
        <f>IF(ISNUMBER(H76),H76-IF(ISNUMBER(I76),I76,30),"")</f>
        <v/>
      </c>
      <c r="K76" s="25">
        <f>IF(H76="","",IF(ISNUMBER(H76),H76-TODAY(),"Check date"))</f>
        <v/>
      </c>
      <c r="L76" s="26">
        <f>IF(K76="","",IF(ISNUMBER(K76),IF(K76&lt;0,"Expired",IF(K76&lt;=30,"Due ≤30 days",IF(K76&lt;=90,"Due ≤90 days","OK"))),"Check date"))</f>
        <v/>
      </c>
      <c r="M76" s="22" t="n"/>
      <c r="N76" s="24">
        <f>IF(ISNUMBER(M76),DATE(YEAR(M76)+2,MONTH(M76),DAY(M76)),"")</f>
        <v/>
      </c>
      <c r="O76" s="21" t="n"/>
      <c r="P76" s="21" t="n"/>
      <c r="Q76" s="21" t="n"/>
    </row>
    <row r="77">
      <c r="A77" s="21" t="n"/>
      <c r="B77" s="21" t="n"/>
      <c r="C77" s="22" t="n"/>
      <c r="D77" s="21" t="n"/>
      <c r="E77" s="21" t="n"/>
      <c r="F77" s="22" t="n"/>
      <c r="G77" s="21" t="n"/>
      <c r="H77" s="22" t="n"/>
      <c r="I77" s="23" t="n"/>
      <c r="J77" s="24">
        <f>IF(ISNUMBER(H77),H77-IF(ISNUMBER(I77),I77,30),"")</f>
        <v/>
      </c>
      <c r="K77" s="25">
        <f>IF(H77="","",IF(ISNUMBER(H77),H77-TODAY(),"Check date"))</f>
        <v/>
      </c>
      <c r="L77" s="26">
        <f>IF(K77="","",IF(ISNUMBER(K77),IF(K77&lt;0,"Expired",IF(K77&lt;=30,"Due ≤30 days",IF(K77&lt;=90,"Due ≤90 days","OK"))),"Check date"))</f>
        <v/>
      </c>
      <c r="M77" s="22" t="n"/>
      <c r="N77" s="24">
        <f>IF(ISNUMBER(M77),DATE(YEAR(M77)+2,MONTH(M77),DAY(M77)),"")</f>
        <v/>
      </c>
      <c r="O77" s="21" t="n"/>
      <c r="P77" s="21" t="n"/>
      <c r="Q77" s="21" t="n"/>
    </row>
    <row r="78">
      <c r="A78" s="21" t="n"/>
      <c r="B78" s="21" t="n"/>
      <c r="C78" s="22" t="n"/>
      <c r="D78" s="21" t="n"/>
      <c r="E78" s="21" t="n"/>
      <c r="F78" s="22" t="n"/>
      <c r="G78" s="21" t="n"/>
      <c r="H78" s="22" t="n"/>
      <c r="I78" s="23" t="n"/>
      <c r="J78" s="24">
        <f>IF(ISNUMBER(H78),H78-IF(ISNUMBER(I78),I78,30),"")</f>
        <v/>
      </c>
      <c r="K78" s="25">
        <f>IF(H78="","",IF(ISNUMBER(H78),H78-TODAY(),"Check date"))</f>
        <v/>
      </c>
      <c r="L78" s="26">
        <f>IF(K78="","",IF(ISNUMBER(K78),IF(K78&lt;0,"Expired",IF(K78&lt;=30,"Due ≤30 days",IF(K78&lt;=90,"Due ≤90 days","OK"))),"Check date"))</f>
        <v/>
      </c>
      <c r="M78" s="22" t="n"/>
      <c r="N78" s="24">
        <f>IF(ISNUMBER(M78),DATE(YEAR(M78)+2,MONTH(M78),DAY(M78)),"")</f>
        <v/>
      </c>
      <c r="O78" s="21" t="n"/>
      <c r="P78" s="21" t="n"/>
      <c r="Q78" s="21" t="n"/>
    </row>
    <row r="79">
      <c r="A79" s="21" t="n"/>
      <c r="B79" s="21" t="n"/>
      <c r="C79" s="22" t="n"/>
      <c r="D79" s="21" t="n"/>
      <c r="E79" s="21" t="n"/>
      <c r="F79" s="22" t="n"/>
      <c r="G79" s="21" t="n"/>
      <c r="H79" s="22" t="n"/>
      <c r="I79" s="23" t="n"/>
      <c r="J79" s="24">
        <f>IF(ISNUMBER(H79),H79-IF(ISNUMBER(I79),I79,30),"")</f>
        <v/>
      </c>
      <c r="K79" s="25">
        <f>IF(H79="","",IF(ISNUMBER(H79),H79-TODAY(),"Check date"))</f>
        <v/>
      </c>
      <c r="L79" s="26">
        <f>IF(K79="","",IF(ISNUMBER(K79),IF(K79&lt;0,"Expired",IF(K79&lt;=30,"Due ≤30 days",IF(K79&lt;=90,"Due ≤90 days","OK"))),"Check date"))</f>
        <v/>
      </c>
      <c r="M79" s="22" t="n"/>
      <c r="N79" s="24">
        <f>IF(ISNUMBER(M79),DATE(YEAR(M79)+2,MONTH(M79),DAY(M79)),"")</f>
        <v/>
      </c>
      <c r="O79" s="21" t="n"/>
      <c r="P79" s="21" t="n"/>
      <c r="Q79" s="21" t="n"/>
    </row>
    <row r="80">
      <c r="A80" s="21" t="n"/>
      <c r="B80" s="21" t="n"/>
      <c r="C80" s="22" t="n"/>
      <c r="D80" s="21" t="n"/>
      <c r="E80" s="21" t="n"/>
      <c r="F80" s="22" t="n"/>
      <c r="G80" s="21" t="n"/>
      <c r="H80" s="22" t="n"/>
      <c r="I80" s="23" t="n"/>
      <c r="J80" s="24">
        <f>IF(ISNUMBER(H80),H80-IF(ISNUMBER(I80),I80,30),"")</f>
        <v/>
      </c>
      <c r="K80" s="25">
        <f>IF(H80="","",IF(ISNUMBER(H80),H80-TODAY(),"Check date"))</f>
        <v/>
      </c>
      <c r="L80" s="26">
        <f>IF(K80="","",IF(ISNUMBER(K80),IF(K80&lt;0,"Expired",IF(K80&lt;=30,"Due ≤30 days",IF(K80&lt;=90,"Due ≤90 days","OK"))),"Check date"))</f>
        <v/>
      </c>
      <c r="M80" s="22" t="n"/>
      <c r="N80" s="24">
        <f>IF(ISNUMBER(M80),DATE(YEAR(M80)+2,MONTH(M80),DAY(M80)),"")</f>
        <v/>
      </c>
      <c r="O80" s="21" t="n"/>
      <c r="P80" s="21" t="n"/>
      <c r="Q80" s="21" t="n"/>
    </row>
    <row r="81">
      <c r="A81" s="21" t="n"/>
      <c r="B81" s="21" t="n"/>
      <c r="C81" s="22" t="n"/>
      <c r="D81" s="21" t="n"/>
      <c r="E81" s="21" t="n"/>
      <c r="F81" s="22" t="n"/>
      <c r="G81" s="21" t="n"/>
      <c r="H81" s="22" t="n"/>
      <c r="I81" s="23" t="n"/>
      <c r="J81" s="24">
        <f>IF(ISNUMBER(H81),H81-IF(ISNUMBER(I81),I81,30),"")</f>
        <v/>
      </c>
      <c r="K81" s="25">
        <f>IF(H81="","",IF(ISNUMBER(H81),H81-TODAY(),"Check date"))</f>
        <v/>
      </c>
      <c r="L81" s="26">
        <f>IF(K81="","",IF(ISNUMBER(K81),IF(K81&lt;0,"Expired",IF(K81&lt;=30,"Due ≤30 days",IF(K81&lt;=90,"Due ≤90 days","OK"))),"Check date"))</f>
        <v/>
      </c>
      <c r="M81" s="22" t="n"/>
      <c r="N81" s="24">
        <f>IF(ISNUMBER(M81),DATE(YEAR(M81)+2,MONTH(M81),DAY(M81)),"")</f>
        <v/>
      </c>
      <c r="O81" s="21" t="n"/>
      <c r="P81" s="21" t="n"/>
      <c r="Q81" s="21" t="n"/>
    </row>
    <row r="82">
      <c r="A82" s="21" t="n"/>
      <c r="B82" s="21" t="n"/>
      <c r="C82" s="22" t="n"/>
      <c r="D82" s="21" t="n"/>
      <c r="E82" s="21" t="n"/>
      <c r="F82" s="22" t="n"/>
      <c r="G82" s="21" t="n"/>
      <c r="H82" s="22" t="n"/>
      <c r="I82" s="23" t="n"/>
      <c r="J82" s="24">
        <f>IF(ISNUMBER(H82),H82-IF(ISNUMBER(I82),I82,30),"")</f>
        <v/>
      </c>
      <c r="K82" s="25">
        <f>IF(H82="","",IF(ISNUMBER(H82),H82-TODAY(),"Check date"))</f>
        <v/>
      </c>
      <c r="L82" s="26">
        <f>IF(K82="","",IF(ISNUMBER(K82),IF(K82&lt;0,"Expired",IF(K82&lt;=30,"Due ≤30 days",IF(K82&lt;=90,"Due ≤90 days","OK"))),"Check date"))</f>
        <v/>
      </c>
      <c r="M82" s="22" t="n"/>
      <c r="N82" s="24">
        <f>IF(ISNUMBER(M82),DATE(YEAR(M82)+2,MONTH(M82),DAY(M82)),"")</f>
        <v/>
      </c>
      <c r="O82" s="21" t="n"/>
      <c r="P82" s="21" t="n"/>
      <c r="Q82" s="21" t="n"/>
    </row>
    <row r="83">
      <c r="A83" s="21" t="n"/>
      <c r="B83" s="21" t="n"/>
      <c r="C83" s="22" t="n"/>
      <c r="D83" s="21" t="n"/>
      <c r="E83" s="21" t="n"/>
      <c r="F83" s="22" t="n"/>
      <c r="G83" s="21" t="n"/>
      <c r="H83" s="22" t="n"/>
      <c r="I83" s="23" t="n"/>
      <c r="J83" s="24">
        <f>IF(ISNUMBER(H83),H83-IF(ISNUMBER(I83),I83,30),"")</f>
        <v/>
      </c>
      <c r="K83" s="25">
        <f>IF(H83="","",IF(ISNUMBER(H83),H83-TODAY(),"Check date"))</f>
        <v/>
      </c>
      <c r="L83" s="26">
        <f>IF(K83="","",IF(ISNUMBER(K83),IF(K83&lt;0,"Expired",IF(K83&lt;=30,"Due ≤30 days",IF(K83&lt;=90,"Due ≤90 days","OK"))),"Check date"))</f>
        <v/>
      </c>
      <c r="M83" s="22" t="n"/>
      <c r="N83" s="24">
        <f>IF(ISNUMBER(M83),DATE(YEAR(M83)+2,MONTH(M83),DAY(M83)),"")</f>
        <v/>
      </c>
      <c r="O83" s="21" t="n"/>
      <c r="P83" s="21" t="n"/>
      <c r="Q83" s="21" t="n"/>
    </row>
    <row r="84">
      <c r="A84" s="21" t="n"/>
      <c r="B84" s="21" t="n"/>
      <c r="C84" s="22" t="n"/>
      <c r="D84" s="21" t="n"/>
      <c r="E84" s="21" t="n"/>
      <c r="F84" s="22" t="n"/>
      <c r="G84" s="21" t="n"/>
      <c r="H84" s="22" t="n"/>
      <c r="I84" s="23" t="n"/>
      <c r="J84" s="24">
        <f>IF(ISNUMBER(H84),H84-IF(ISNUMBER(I84),I84,30),"")</f>
        <v/>
      </c>
      <c r="K84" s="25">
        <f>IF(H84="","",IF(ISNUMBER(H84),H84-TODAY(),"Check date"))</f>
        <v/>
      </c>
      <c r="L84" s="26">
        <f>IF(K84="","",IF(ISNUMBER(K84),IF(K84&lt;0,"Expired",IF(K84&lt;=30,"Due ≤30 days",IF(K84&lt;=90,"Due ≤90 days","OK"))),"Check date"))</f>
        <v/>
      </c>
      <c r="M84" s="22" t="n"/>
      <c r="N84" s="24">
        <f>IF(ISNUMBER(M84),DATE(YEAR(M84)+2,MONTH(M84),DAY(M84)),"")</f>
        <v/>
      </c>
      <c r="O84" s="21" t="n"/>
      <c r="P84" s="21" t="n"/>
      <c r="Q84" s="21" t="n"/>
    </row>
    <row r="85">
      <c r="A85" s="21" t="n"/>
      <c r="B85" s="21" t="n"/>
      <c r="C85" s="22" t="n"/>
      <c r="D85" s="21" t="n"/>
      <c r="E85" s="21" t="n"/>
      <c r="F85" s="22" t="n"/>
      <c r="G85" s="21" t="n"/>
      <c r="H85" s="22" t="n"/>
      <c r="I85" s="23" t="n"/>
      <c r="J85" s="24">
        <f>IF(ISNUMBER(H85),H85-IF(ISNUMBER(I85),I85,30),"")</f>
        <v/>
      </c>
      <c r="K85" s="25">
        <f>IF(H85="","",IF(ISNUMBER(H85),H85-TODAY(),"Check date"))</f>
        <v/>
      </c>
      <c r="L85" s="26">
        <f>IF(K85="","",IF(ISNUMBER(K85),IF(K85&lt;0,"Expired",IF(K85&lt;=30,"Due ≤30 days",IF(K85&lt;=90,"Due ≤90 days","OK"))),"Check date"))</f>
        <v/>
      </c>
      <c r="M85" s="22" t="n"/>
      <c r="N85" s="24">
        <f>IF(ISNUMBER(M85),DATE(YEAR(M85)+2,MONTH(M85),DAY(M85)),"")</f>
        <v/>
      </c>
      <c r="O85" s="21" t="n"/>
      <c r="P85" s="21" t="n"/>
      <c r="Q85" s="21" t="n"/>
    </row>
    <row r="86">
      <c r="A86" s="21" t="n"/>
      <c r="B86" s="21" t="n"/>
      <c r="C86" s="22" t="n"/>
      <c r="D86" s="21" t="n"/>
      <c r="E86" s="21" t="n"/>
      <c r="F86" s="22" t="n"/>
      <c r="G86" s="21" t="n"/>
      <c r="H86" s="22" t="n"/>
      <c r="I86" s="23" t="n"/>
      <c r="J86" s="24">
        <f>IF(ISNUMBER(H86),H86-IF(ISNUMBER(I86),I86,30),"")</f>
        <v/>
      </c>
      <c r="K86" s="25">
        <f>IF(H86="","",IF(ISNUMBER(H86),H86-TODAY(),"Check date"))</f>
        <v/>
      </c>
      <c r="L86" s="26">
        <f>IF(K86="","",IF(ISNUMBER(K86),IF(K86&lt;0,"Expired",IF(K86&lt;=30,"Due ≤30 days",IF(K86&lt;=90,"Due ≤90 days","OK"))),"Check date"))</f>
        <v/>
      </c>
      <c r="M86" s="22" t="n"/>
      <c r="N86" s="24">
        <f>IF(ISNUMBER(M86),DATE(YEAR(M86)+2,MONTH(M86),DAY(M86)),"")</f>
        <v/>
      </c>
      <c r="O86" s="21" t="n"/>
      <c r="P86" s="21" t="n"/>
      <c r="Q86" s="21" t="n"/>
    </row>
    <row r="87">
      <c r="A87" s="21" t="n"/>
      <c r="B87" s="21" t="n"/>
      <c r="C87" s="22" t="n"/>
      <c r="D87" s="21" t="n"/>
      <c r="E87" s="21" t="n"/>
      <c r="F87" s="22" t="n"/>
      <c r="G87" s="21" t="n"/>
      <c r="H87" s="22" t="n"/>
      <c r="I87" s="23" t="n"/>
      <c r="J87" s="24">
        <f>IF(ISNUMBER(H87),H87-IF(ISNUMBER(I87),I87,30),"")</f>
        <v/>
      </c>
      <c r="K87" s="25">
        <f>IF(H87="","",IF(ISNUMBER(H87),H87-TODAY(),"Check date"))</f>
        <v/>
      </c>
      <c r="L87" s="26">
        <f>IF(K87="","",IF(ISNUMBER(K87),IF(K87&lt;0,"Expired",IF(K87&lt;=30,"Due ≤30 days",IF(K87&lt;=90,"Due ≤90 days","OK"))),"Check date"))</f>
        <v/>
      </c>
      <c r="M87" s="22" t="n"/>
      <c r="N87" s="24">
        <f>IF(ISNUMBER(M87),DATE(YEAR(M87)+2,MONTH(M87),DAY(M87)),"")</f>
        <v/>
      </c>
      <c r="O87" s="21" t="n"/>
      <c r="P87" s="21" t="n"/>
      <c r="Q87" s="21" t="n"/>
    </row>
    <row r="88">
      <c r="A88" s="21" t="n"/>
      <c r="B88" s="21" t="n"/>
      <c r="C88" s="22" t="n"/>
      <c r="D88" s="21" t="n"/>
      <c r="E88" s="21" t="n"/>
      <c r="F88" s="22" t="n"/>
      <c r="G88" s="21" t="n"/>
      <c r="H88" s="22" t="n"/>
      <c r="I88" s="23" t="n"/>
      <c r="J88" s="24">
        <f>IF(ISNUMBER(H88),H88-IF(ISNUMBER(I88),I88,30),"")</f>
        <v/>
      </c>
      <c r="K88" s="25">
        <f>IF(H88="","",IF(ISNUMBER(H88),H88-TODAY(),"Check date"))</f>
        <v/>
      </c>
      <c r="L88" s="26">
        <f>IF(K88="","",IF(ISNUMBER(K88),IF(K88&lt;0,"Expired",IF(K88&lt;=30,"Due ≤30 days",IF(K88&lt;=90,"Due ≤90 days","OK"))),"Check date"))</f>
        <v/>
      </c>
      <c r="M88" s="22" t="n"/>
      <c r="N88" s="24">
        <f>IF(ISNUMBER(M88),DATE(YEAR(M88)+2,MONTH(M88),DAY(M88)),"")</f>
        <v/>
      </c>
      <c r="O88" s="21" t="n"/>
      <c r="P88" s="21" t="n"/>
      <c r="Q88" s="21" t="n"/>
    </row>
    <row r="89">
      <c r="A89" s="21" t="n"/>
      <c r="B89" s="21" t="n"/>
      <c r="C89" s="22" t="n"/>
      <c r="D89" s="21" t="n"/>
      <c r="E89" s="21" t="n"/>
      <c r="F89" s="22" t="n"/>
      <c r="G89" s="21" t="n"/>
      <c r="H89" s="22" t="n"/>
      <c r="I89" s="23" t="n"/>
      <c r="J89" s="24">
        <f>IF(ISNUMBER(H89),H89-IF(ISNUMBER(I89),I89,30),"")</f>
        <v/>
      </c>
      <c r="K89" s="25">
        <f>IF(H89="","",IF(ISNUMBER(H89),H89-TODAY(),"Check date"))</f>
        <v/>
      </c>
      <c r="L89" s="26">
        <f>IF(K89="","",IF(ISNUMBER(K89),IF(K89&lt;0,"Expired",IF(K89&lt;=30,"Due ≤30 days",IF(K89&lt;=90,"Due ≤90 days","OK"))),"Check date"))</f>
        <v/>
      </c>
      <c r="M89" s="22" t="n"/>
      <c r="N89" s="24">
        <f>IF(ISNUMBER(M89),DATE(YEAR(M89)+2,MONTH(M89),DAY(M89)),"")</f>
        <v/>
      </c>
      <c r="O89" s="21" t="n"/>
      <c r="P89" s="21" t="n"/>
      <c r="Q89" s="21" t="n"/>
    </row>
    <row r="90">
      <c r="A90" s="21" t="n"/>
      <c r="B90" s="21" t="n"/>
      <c r="C90" s="22" t="n"/>
      <c r="D90" s="21" t="n"/>
      <c r="E90" s="21" t="n"/>
      <c r="F90" s="22" t="n"/>
      <c r="G90" s="21" t="n"/>
      <c r="H90" s="22" t="n"/>
      <c r="I90" s="23" t="n"/>
      <c r="J90" s="24">
        <f>IF(ISNUMBER(H90),H90-IF(ISNUMBER(I90),I90,30),"")</f>
        <v/>
      </c>
      <c r="K90" s="25">
        <f>IF(H90="","",IF(ISNUMBER(H90),H90-TODAY(),"Check date"))</f>
        <v/>
      </c>
      <c r="L90" s="26">
        <f>IF(K90="","",IF(ISNUMBER(K90),IF(K90&lt;0,"Expired",IF(K90&lt;=30,"Due ≤30 days",IF(K90&lt;=90,"Due ≤90 days","OK"))),"Check date"))</f>
        <v/>
      </c>
      <c r="M90" s="22" t="n"/>
      <c r="N90" s="24">
        <f>IF(ISNUMBER(M90),DATE(YEAR(M90)+2,MONTH(M90),DAY(M90)),"")</f>
        <v/>
      </c>
      <c r="O90" s="21" t="n"/>
      <c r="P90" s="21" t="n"/>
      <c r="Q90" s="21" t="n"/>
    </row>
    <row r="91">
      <c r="A91" s="21" t="n"/>
      <c r="B91" s="21" t="n"/>
      <c r="C91" s="22" t="n"/>
      <c r="D91" s="21" t="n"/>
      <c r="E91" s="21" t="n"/>
      <c r="F91" s="22" t="n"/>
      <c r="G91" s="21" t="n"/>
      <c r="H91" s="22" t="n"/>
      <c r="I91" s="23" t="n"/>
      <c r="J91" s="24">
        <f>IF(ISNUMBER(H91),H91-IF(ISNUMBER(I91),I91,30),"")</f>
        <v/>
      </c>
      <c r="K91" s="25">
        <f>IF(H91="","",IF(ISNUMBER(H91),H91-TODAY(),"Check date"))</f>
        <v/>
      </c>
      <c r="L91" s="26">
        <f>IF(K91="","",IF(ISNUMBER(K91),IF(K91&lt;0,"Expired",IF(K91&lt;=30,"Due ≤30 days",IF(K91&lt;=90,"Due ≤90 days","OK"))),"Check date"))</f>
        <v/>
      </c>
      <c r="M91" s="22" t="n"/>
      <c r="N91" s="24">
        <f>IF(ISNUMBER(M91),DATE(YEAR(M91)+2,MONTH(M91),DAY(M91)),"")</f>
        <v/>
      </c>
      <c r="O91" s="21" t="n"/>
      <c r="P91" s="21" t="n"/>
      <c r="Q91" s="21" t="n"/>
    </row>
    <row r="92">
      <c r="A92" s="21" t="n"/>
      <c r="B92" s="21" t="n"/>
      <c r="C92" s="22" t="n"/>
      <c r="D92" s="21" t="n"/>
      <c r="E92" s="21" t="n"/>
      <c r="F92" s="22" t="n"/>
      <c r="G92" s="21" t="n"/>
      <c r="H92" s="22" t="n"/>
      <c r="I92" s="23" t="n"/>
      <c r="J92" s="24">
        <f>IF(ISNUMBER(H92),H92-IF(ISNUMBER(I92),I92,30),"")</f>
        <v/>
      </c>
      <c r="K92" s="25">
        <f>IF(H92="","",IF(ISNUMBER(H92),H92-TODAY(),"Check date"))</f>
        <v/>
      </c>
      <c r="L92" s="26">
        <f>IF(K92="","",IF(ISNUMBER(K92),IF(K92&lt;0,"Expired",IF(K92&lt;=30,"Due ≤30 days",IF(K92&lt;=90,"Due ≤90 days","OK"))),"Check date"))</f>
        <v/>
      </c>
      <c r="M92" s="22" t="n"/>
      <c r="N92" s="24">
        <f>IF(ISNUMBER(M92),DATE(YEAR(M92)+2,MONTH(M92),DAY(M92)),"")</f>
        <v/>
      </c>
      <c r="O92" s="21" t="n"/>
      <c r="P92" s="21" t="n"/>
      <c r="Q92" s="21" t="n"/>
    </row>
    <row r="93">
      <c r="A93" s="21" t="n"/>
      <c r="B93" s="21" t="n"/>
      <c r="C93" s="22" t="n"/>
      <c r="D93" s="21" t="n"/>
      <c r="E93" s="21" t="n"/>
      <c r="F93" s="22" t="n"/>
      <c r="G93" s="21" t="n"/>
      <c r="H93" s="22" t="n"/>
      <c r="I93" s="23" t="n"/>
      <c r="J93" s="24">
        <f>IF(ISNUMBER(H93),H93-IF(ISNUMBER(I93),I93,30),"")</f>
        <v/>
      </c>
      <c r="K93" s="25">
        <f>IF(H93="","",IF(ISNUMBER(H93),H93-TODAY(),"Check date"))</f>
        <v/>
      </c>
      <c r="L93" s="26">
        <f>IF(K93="","",IF(ISNUMBER(K93),IF(K93&lt;0,"Expired",IF(K93&lt;=30,"Due ≤30 days",IF(K93&lt;=90,"Due ≤90 days","OK"))),"Check date"))</f>
        <v/>
      </c>
      <c r="M93" s="22" t="n"/>
      <c r="N93" s="24">
        <f>IF(ISNUMBER(M93),DATE(YEAR(M93)+2,MONTH(M93),DAY(M93)),"")</f>
        <v/>
      </c>
      <c r="O93" s="21" t="n"/>
      <c r="P93" s="21" t="n"/>
      <c r="Q93" s="21" t="n"/>
    </row>
    <row r="94">
      <c r="A94" s="21" t="n"/>
      <c r="B94" s="21" t="n"/>
      <c r="C94" s="22" t="n"/>
      <c r="D94" s="21" t="n"/>
      <c r="E94" s="21" t="n"/>
      <c r="F94" s="22" t="n"/>
      <c r="G94" s="21" t="n"/>
      <c r="H94" s="22" t="n"/>
      <c r="I94" s="23" t="n"/>
      <c r="J94" s="24">
        <f>IF(ISNUMBER(H94),H94-IF(ISNUMBER(I94),I94,30),"")</f>
        <v/>
      </c>
      <c r="K94" s="25">
        <f>IF(H94="","",IF(ISNUMBER(H94),H94-TODAY(),"Check date"))</f>
        <v/>
      </c>
      <c r="L94" s="26">
        <f>IF(K94="","",IF(ISNUMBER(K94),IF(K94&lt;0,"Expired",IF(K94&lt;=30,"Due ≤30 days",IF(K94&lt;=90,"Due ≤90 days","OK"))),"Check date"))</f>
        <v/>
      </c>
      <c r="M94" s="22" t="n"/>
      <c r="N94" s="24">
        <f>IF(ISNUMBER(M94),DATE(YEAR(M94)+2,MONTH(M94),DAY(M94)),"")</f>
        <v/>
      </c>
      <c r="O94" s="21" t="n"/>
      <c r="P94" s="21" t="n"/>
      <c r="Q94" s="21" t="n"/>
    </row>
    <row r="95">
      <c r="A95" s="21" t="n"/>
      <c r="B95" s="21" t="n"/>
      <c r="C95" s="22" t="n"/>
      <c r="D95" s="21" t="n"/>
      <c r="E95" s="21" t="n"/>
      <c r="F95" s="22" t="n"/>
      <c r="G95" s="21" t="n"/>
      <c r="H95" s="22" t="n"/>
      <c r="I95" s="23" t="n"/>
      <c r="J95" s="24">
        <f>IF(ISNUMBER(H95),H95-IF(ISNUMBER(I95),I95,30),"")</f>
        <v/>
      </c>
      <c r="K95" s="25">
        <f>IF(H95="","",IF(ISNUMBER(H95),H95-TODAY(),"Check date"))</f>
        <v/>
      </c>
      <c r="L95" s="26">
        <f>IF(K95="","",IF(ISNUMBER(K95),IF(K95&lt;0,"Expired",IF(K95&lt;=30,"Due ≤30 days",IF(K95&lt;=90,"Due ≤90 days","OK"))),"Check date"))</f>
        <v/>
      </c>
      <c r="M95" s="22" t="n"/>
      <c r="N95" s="24">
        <f>IF(ISNUMBER(M95),DATE(YEAR(M95)+2,MONTH(M95),DAY(M95)),"")</f>
        <v/>
      </c>
      <c r="O95" s="21" t="n"/>
      <c r="P95" s="21" t="n"/>
      <c r="Q95" s="21" t="n"/>
    </row>
    <row r="96">
      <c r="A96" s="21" t="n"/>
      <c r="B96" s="21" t="n"/>
      <c r="C96" s="22" t="n"/>
      <c r="D96" s="21" t="n"/>
      <c r="E96" s="21" t="n"/>
      <c r="F96" s="22" t="n"/>
      <c r="G96" s="21" t="n"/>
      <c r="H96" s="22" t="n"/>
      <c r="I96" s="23" t="n"/>
      <c r="J96" s="24">
        <f>IF(ISNUMBER(H96),H96-IF(ISNUMBER(I96),I96,30),"")</f>
        <v/>
      </c>
      <c r="K96" s="25">
        <f>IF(H96="","",IF(ISNUMBER(H96),H96-TODAY(),"Check date"))</f>
        <v/>
      </c>
      <c r="L96" s="26">
        <f>IF(K96="","",IF(ISNUMBER(K96),IF(K96&lt;0,"Expired",IF(K96&lt;=30,"Due ≤30 days",IF(K96&lt;=90,"Due ≤90 days","OK"))),"Check date"))</f>
        <v/>
      </c>
      <c r="M96" s="22" t="n"/>
      <c r="N96" s="24">
        <f>IF(ISNUMBER(M96),DATE(YEAR(M96)+2,MONTH(M96),DAY(M96)),"")</f>
        <v/>
      </c>
      <c r="O96" s="21" t="n"/>
      <c r="P96" s="21" t="n"/>
      <c r="Q96" s="21" t="n"/>
    </row>
    <row r="97">
      <c r="A97" s="21" t="n"/>
      <c r="B97" s="21" t="n"/>
      <c r="C97" s="22" t="n"/>
      <c r="D97" s="21" t="n"/>
      <c r="E97" s="21" t="n"/>
      <c r="F97" s="22" t="n"/>
      <c r="G97" s="21" t="n"/>
      <c r="H97" s="22" t="n"/>
      <c r="I97" s="23" t="n"/>
      <c r="J97" s="24">
        <f>IF(ISNUMBER(H97),H97-IF(ISNUMBER(I97),I97,30),"")</f>
        <v/>
      </c>
      <c r="K97" s="25">
        <f>IF(H97="","",IF(ISNUMBER(H97),H97-TODAY(),"Check date"))</f>
        <v/>
      </c>
      <c r="L97" s="26">
        <f>IF(K97="","",IF(ISNUMBER(K97),IF(K97&lt;0,"Expired",IF(K97&lt;=30,"Due ≤30 days",IF(K97&lt;=90,"Due ≤90 days","OK"))),"Check date"))</f>
        <v/>
      </c>
      <c r="M97" s="22" t="n"/>
      <c r="N97" s="24">
        <f>IF(ISNUMBER(M97),DATE(YEAR(M97)+2,MONTH(M97),DAY(M97)),"")</f>
        <v/>
      </c>
      <c r="O97" s="21" t="n"/>
      <c r="P97" s="21" t="n"/>
      <c r="Q97" s="21" t="n"/>
    </row>
    <row r="98">
      <c r="A98" s="21" t="n"/>
      <c r="B98" s="21" t="n"/>
      <c r="C98" s="22" t="n"/>
      <c r="D98" s="21" t="n"/>
      <c r="E98" s="21" t="n"/>
      <c r="F98" s="22" t="n"/>
      <c r="G98" s="21" t="n"/>
      <c r="H98" s="22" t="n"/>
      <c r="I98" s="23" t="n"/>
      <c r="J98" s="24">
        <f>IF(ISNUMBER(H98),H98-IF(ISNUMBER(I98),I98,30),"")</f>
        <v/>
      </c>
      <c r="K98" s="25">
        <f>IF(H98="","",IF(ISNUMBER(H98),H98-TODAY(),"Check date"))</f>
        <v/>
      </c>
      <c r="L98" s="26">
        <f>IF(K98="","",IF(ISNUMBER(K98),IF(K98&lt;0,"Expired",IF(K98&lt;=30,"Due ≤30 days",IF(K98&lt;=90,"Due ≤90 days","OK"))),"Check date"))</f>
        <v/>
      </c>
      <c r="M98" s="22" t="n"/>
      <c r="N98" s="24">
        <f>IF(ISNUMBER(M98),DATE(YEAR(M98)+2,MONTH(M98),DAY(M98)),"")</f>
        <v/>
      </c>
      <c r="O98" s="21" t="n"/>
      <c r="P98" s="21" t="n"/>
      <c r="Q98" s="21" t="n"/>
    </row>
    <row r="99">
      <c r="A99" s="21" t="n"/>
      <c r="B99" s="21" t="n"/>
      <c r="C99" s="22" t="n"/>
      <c r="D99" s="21" t="n"/>
      <c r="E99" s="21" t="n"/>
      <c r="F99" s="22" t="n"/>
      <c r="G99" s="21" t="n"/>
      <c r="H99" s="22" t="n"/>
      <c r="I99" s="23" t="n"/>
      <c r="J99" s="24">
        <f>IF(ISNUMBER(H99),H99-IF(ISNUMBER(I99),I99,30),"")</f>
        <v/>
      </c>
      <c r="K99" s="25">
        <f>IF(H99="","",IF(ISNUMBER(H99),H99-TODAY(),"Check date"))</f>
        <v/>
      </c>
      <c r="L99" s="26">
        <f>IF(K99="","",IF(ISNUMBER(K99),IF(K99&lt;0,"Expired",IF(K99&lt;=30,"Due ≤30 days",IF(K99&lt;=90,"Due ≤90 days","OK"))),"Check date"))</f>
        <v/>
      </c>
      <c r="M99" s="22" t="n"/>
      <c r="N99" s="24">
        <f>IF(ISNUMBER(M99),DATE(YEAR(M99)+2,MONTH(M99),DAY(M99)),"")</f>
        <v/>
      </c>
      <c r="O99" s="21" t="n"/>
      <c r="P99" s="21" t="n"/>
      <c r="Q99" s="21" t="n"/>
    </row>
    <row r="100">
      <c r="A100" s="21" t="n"/>
      <c r="B100" s="21" t="n"/>
      <c r="C100" s="22" t="n"/>
      <c r="D100" s="21" t="n"/>
      <c r="E100" s="21" t="n"/>
      <c r="F100" s="22" t="n"/>
      <c r="G100" s="21" t="n"/>
      <c r="H100" s="22" t="n"/>
      <c r="I100" s="23" t="n"/>
      <c r="J100" s="24">
        <f>IF(ISNUMBER(H100),H100-IF(ISNUMBER(I100),I100,30),"")</f>
        <v/>
      </c>
      <c r="K100" s="25">
        <f>IF(H100="","",IF(ISNUMBER(H100),H100-TODAY(),"Check date"))</f>
        <v/>
      </c>
      <c r="L100" s="26">
        <f>IF(K100="","",IF(ISNUMBER(K100),IF(K100&lt;0,"Expired",IF(K100&lt;=30,"Due ≤30 days",IF(K100&lt;=90,"Due ≤90 days","OK"))),"Check date"))</f>
        <v/>
      </c>
      <c r="M100" s="22" t="n"/>
      <c r="N100" s="24">
        <f>IF(ISNUMBER(M100),DATE(YEAR(M100)+2,MONTH(M100),DAY(M100)),"")</f>
        <v/>
      </c>
      <c r="O100" s="21" t="n"/>
      <c r="P100" s="21" t="n"/>
      <c r="Q100" s="21" t="n"/>
    </row>
    <row r="101">
      <c r="A101" s="21" t="n"/>
      <c r="B101" s="21" t="n"/>
      <c r="C101" s="22" t="n"/>
      <c r="D101" s="21" t="n"/>
      <c r="E101" s="21" t="n"/>
      <c r="F101" s="22" t="n"/>
      <c r="G101" s="21" t="n"/>
      <c r="H101" s="22" t="n"/>
      <c r="I101" s="23" t="n"/>
      <c r="J101" s="24">
        <f>IF(ISNUMBER(H101),H101-IF(ISNUMBER(I101),I101,30),"")</f>
        <v/>
      </c>
      <c r="K101" s="25">
        <f>IF(H101="","",IF(ISNUMBER(H101),H101-TODAY(),"Check date"))</f>
        <v/>
      </c>
      <c r="L101" s="26">
        <f>IF(K101="","",IF(ISNUMBER(K101),IF(K101&lt;0,"Expired",IF(K101&lt;=30,"Due ≤30 days",IF(K101&lt;=90,"Due ≤90 days","OK"))),"Check date"))</f>
        <v/>
      </c>
      <c r="M101" s="22" t="n"/>
      <c r="N101" s="24">
        <f>IF(ISNUMBER(M101),DATE(YEAR(M101)+2,MONTH(M101),DAY(M101)),"")</f>
        <v/>
      </c>
      <c r="O101" s="21" t="n"/>
      <c r="P101" s="21" t="n"/>
      <c r="Q101" s="21" t="n"/>
    </row>
    <row r="102">
      <c r="A102" s="21" t="n"/>
      <c r="B102" s="21" t="n"/>
      <c r="C102" s="22" t="n"/>
      <c r="D102" s="21" t="n"/>
      <c r="E102" s="21" t="n"/>
      <c r="F102" s="22" t="n"/>
      <c r="G102" s="21" t="n"/>
      <c r="H102" s="22" t="n"/>
      <c r="I102" s="23" t="n"/>
      <c r="J102" s="24">
        <f>IF(ISNUMBER(H102),H102-IF(ISNUMBER(I102),I102,30),"")</f>
        <v/>
      </c>
      <c r="K102" s="25">
        <f>IF(H102="","",IF(ISNUMBER(H102),H102-TODAY(),"Check date"))</f>
        <v/>
      </c>
      <c r="L102" s="26">
        <f>IF(K102="","",IF(ISNUMBER(K102),IF(K102&lt;0,"Expired",IF(K102&lt;=30,"Due ≤30 days",IF(K102&lt;=90,"Due ≤90 days","OK"))),"Check date"))</f>
        <v/>
      </c>
      <c r="M102" s="22" t="n"/>
      <c r="N102" s="24">
        <f>IF(ISNUMBER(M102),DATE(YEAR(M102)+2,MONTH(M102),DAY(M102)),"")</f>
        <v/>
      </c>
      <c r="O102" s="21" t="n"/>
      <c r="P102" s="21" t="n"/>
      <c r="Q102" s="21" t="n"/>
    </row>
    <row r="103">
      <c r="A103" s="21" t="n"/>
      <c r="B103" s="21" t="n"/>
      <c r="C103" s="22" t="n"/>
      <c r="D103" s="21" t="n"/>
      <c r="E103" s="21" t="n"/>
      <c r="F103" s="22" t="n"/>
      <c r="G103" s="21" t="n"/>
      <c r="H103" s="22" t="n"/>
      <c r="I103" s="23" t="n"/>
      <c r="J103" s="24">
        <f>IF(ISNUMBER(H103),H103-IF(ISNUMBER(I103),I103,30),"")</f>
        <v/>
      </c>
      <c r="K103" s="25">
        <f>IF(H103="","",IF(ISNUMBER(H103),H103-TODAY(),"Check date"))</f>
        <v/>
      </c>
      <c r="L103" s="26">
        <f>IF(K103="","",IF(ISNUMBER(K103),IF(K103&lt;0,"Expired",IF(K103&lt;=30,"Due ≤30 days",IF(K103&lt;=90,"Due ≤90 days","OK"))),"Check date"))</f>
        <v/>
      </c>
      <c r="M103" s="22" t="n"/>
      <c r="N103" s="24">
        <f>IF(ISNUMBER(M103),DATE(YEAR(M103)+2,MONTH(M103),DAY(M103)),"")</f>
        <v/>
      </c>
      <c r="O103" s="21" t="n"/>
      <c r="P103" s="21" t="n"/>
      <c r="Q103" s="21" t="n"/>
    </row>
    <row r="104">
      <c r="A104" s="21" t="n"/>
      <c r="B104" s="21" t="n"/>
      <c r="C104" s="22" t="n"/>
      <c r="D104" s="21" t="n"/>
      <c r="E104" s="21" t="n"/>
      <c r="F104" s="22" t="n"/>
      <c r="G104" s="21" t="n"/>
      <c r="H104" s="22" t="n"/>
      <c r="I104" s="23" t="n"/>
      <c r="J104" s="24">
        <f>IF(ISNUMBER(H104),H104-IF(ISNUMBER(I104),I104,30),"")</f>
        <v/>
      </c>
      <c r="K104" s="25">
        <f>IF(H104="","",IF(ISNUMBER(H104),H104-TODAY(),"Check date"))</f>
        <v/>
      </c>
      <c r="L104" s="26">
        <f>IF(K104="","",IF(ISNUMBER(K104),IF(K104&lt;0,"Expired",IF(K104&lt;=30,"Due ≤30 days",IF(K104&lt;=90,"Due ≤90 days","OK"))),"Check date"))</f>
        <v/>
      </c>
      <c r="M104" s="22" t="n"/>
      <c r="N104" s="24">
        <f>IF(ISNUMBER(M104),DATE(YEAR(M104)+2,MONTH(M104),DAY(M104)),"")</f>
        <v/>
      </c>
      <c r="O104" s="21" t="n"/>
      <c r="P104" s="21" t="n"/>
      <c r="Q104" s="21" t="n"/>
    </row>
    <row r="105">
      <c r="A105" s="21" t="n"/>
      <c r="B105" s="21" t="n"/>
      <c r="C105" s="22" t="n"/>
      <c r="D105" s="21" t="n"/>
      <c r="E105" s="21" t="n"/>
      <c r="F105" s="22" t="n"/>
      <c r="G105" s="21" t="n"/>
      <c r="H105" s="22" t="n"/>
      <c r="I105" s="23" t="n"/>
      <c r="J105" s="24">
        <f>IF(ISNUMBER(H105),H105-IF(ISNUMBER(I105),I105,30),"")</f>
        <v/>
      </c>
      <c r="K105" s="25">
        <f>IF(H105="","",IF(ISNUMBER(H105),H105-TODAY(),"Check date"))</f>
        <v/>
      </c>
      <c r="L105" s="26">
        <f>IF(K105="","",IF(ISNUMBER(K105),IF(K105&lt;0,"Expired",IF(K105&lt;=30,"Due ≤30 days",IF(K105&lt;=90,"Due ≤90 days","OK"))),"Check date"))</f>
        <v/>
      </c>
      <c r="M105" s="22" t="n"/>
      <c r="N105" s="24">
        <f>IF(ISNUMBER(M105),DATE(YEAR(M105)+2,MONTH(M105),DAY(M105)),"")</f>
        <v/>
      </c>
      <c r="O105" s="21" t="n"/>
      <c r="P105" s="21" t="n"/>
      <c r="Q105" s="21" t="n"/>
    </row>
    <row r="106">
      <c r="A106" s="21" t="n"/>
      <c r="B106" s="21" t="n"/>
      <c r="C106" s="22" t="n"/>
      <c r="D106" s="21" t="n"/>
      <c r="E106" s="21" t="n"/>
      <c r="F106" s="22" t="n"/>
      <c r="G106" s="21" t="n"/>
      <c r="H106" s="22" t="n"/>
      <c r="I106" s="23" t="n"/>
      <c r="J106" s="24">
        <f>IF(ISNUMBER(H106),H106-IF(ISNUMBER(I106),I106,30),"")</f>
        <v/>
      </c>
      <c r="K106" s="25">
        <f>IF(H106="","",IF(ISNUMBER(H106),H106-TODAY(),"Check date"))</f>
        <v/>
      </c>
      <c r="L106" s="26">
        <f>IF(K106="","",IF(ISNUMBER(K106),IF(K106&lt;0,"Expired",IF(K106&lt;=30,"Due ≤30 days",IF(K106&lt;=90,"Due ≤90 days","OK"))),"Check date"))</f>
        <v/>
      </c>
      <c r="M106" s="22" t="n"/>
      <c r="N106" s="24">
        <f>IF(ISNUMBER(M106),DATE(YEAR(M106)+2,MONTH(M106),DAY(M106)),"")</f>
        <v/>
      </c>
      <c r="O106" s="21" t="n"/>
      <c r="P106" s="21" t="n"/>
      <c r="Q106" s="21" t="n"/>
    </row>
    <row r="107">
      <c r="A107" s="21" t="n"/>
      <c r="B107" s="21" t="n"/>
      <c r="C107" s="22" t="n"/>
      <c r="D107" s="21" t="n"/>
      <c r="E107" s="21" t="n"/>
      <c r="F107" s="22" t="n"/>
      <c r="G107" s="21" t="n"/>
      <c r="H107" s="22" t="n"/>
      <c r="I107" s="23" t="n"/>
      <c r="J107" s="24">
        <f>IF(ISNUMBER(H107),H107-IF(ISNUMBER(I107),I107,30),"")</f>
        <v/>
      </c>
      <c r="K107" s="25">
        <f>IF(H107="","",IF(ISNUMBER(H107),H107-TODAY(),"Check date"))</f>
        <v/>
      </c>
      <c r="L107" s="26">
        <f>IF(K107="","",IF(ISNUMBER(K107),IF(K107&lt;0,"Expired",IF(K107&lt;=30,"Due ≤30 days",IF(K107&lt;=90,"Due ≤90 days","OK"))),"Check date"))</f>
        <v/>
      </c>
      <c r="M107" s="22" t="n"/>
      <c r="N107" s="24">
        <f>IF(ISNUMBER(M107),DATE(YEAR(M107)+2,MONTH(M107),DAY(M107)),"")</f>
        <v/>
      </c>
      <c r="O107" s="21" t="n"/>
      <c r="P107" s="21" t="n"/>
      <c r="Q107" s="21" t="n"/>
    </row>
    <row r="108">
      <c r="A108" s="21" t="n"/>
      <c r="B108" s="21" t="n"/>
      <c r="C108" s="22" t="n"/>
      <c r="D108" s="21" t="n"/>
      <c r="E108" s="21" t="n"/>
      <c r="F108" s="22" t="n"/>
      <c r="G108" s="21" t="n"/>
      <c r="H108" s="22" t="n"/>
      <c r="I108" s="23" t="n"/>
      <c r="J108" s="24">
        <f>IF(ISNUMBER(H108),H108-IF(ISNUMBER(I108),I108,30),"")</f>
        <v/>
      </c>
      <c r="K108" s="25">
        <f>IF(H108="","",IF(ISNUMBER(H108),H108-TODAY(),"Check date"))</f>
        <v/>
      </c>
      <c r="L108" s="26">
        <f>IF(K108="","",IF(ISNUMBER(K108),IF(K108&lt;0,"Expired",IF(K108&lt;=30,"Due ≤30 days",IF(K108&lt;=90,"Due ≤90 days","OK"))),"Check date"))</f>
        <v/>
      </c>
      <c r="M108" s="22" t="n"/>
      <c r="N108" s="24">
        <f>IF(ISNUMBER(M108),DATE(YEAR(M108)+2,MONTH(M108),DAY(M108)),"")</f>
        <v/>
      </c>
      <c r="O108" s="21" t="n"/>
      <c r="P108" s="21" t="n"/>
      <c r="Q108" s="21" t="n"/>
    </row>
    <row r="109">
      <c r="A109" s="21" t="n"/>
      <c r="B109" s="21" t="n"/>
      <c r="C109" s="22" t="n"/>
      <c r="D109" s="21" t="n"/>
      <c r="E109" s="21" t="n"/>
      <c r="F109" s="22" t="n"/>
      <c r="G109" s="21" t="n"/>
      <c r="H109" s="22" t="n"/>
      <c r="I109" s="23" t="n"/>
      <c r="J109" s="24">
        <f>IF(ISNUMBER(H109),H109-IF(ISNUMBER(I109),I109,30),"")</f>
        <v/>
      </c>
      <c r="K109" s="25">
        <f>IF(H109="","",IF(ISNUMBER(H109),H109-TODAY(),"Check date"))</f>
        <v/>
      </c>
      <c r="L109" s="26">
        <f>IF(K109="","",IF(ISNUMBER(K109),IF(K109&lt;0,"Expired",IF(K109&lt;=30,"Due ≤30 days",IF(K109&lt;=90,"Due ≤90 days","OK"))),"Check date"))</f>
        <v/>
      </c>
      <c r="M109" s="22" t="n"/>
      <c r="N109" s="24">
        <f>IF(ISNUMBER(M109),DATE(YEAR(M109)+2,MONTH(M109),DAY(M109)),"")</f>
        <v/>
      </c>
      <c r="O109" s="21" t="n"/>
      <c r="P109" s="21" t="n"/>
      <c r="Q109" s="21" t="n"/>
    </row>
    <row r="110">
      <c r="A110" s="21" t="n"/>
      <c r="B110" s="21" t="n"/>
      <c r="C110" s="22" t="n"/>
      <c r="D110" s="21" t="n"/>
      <c r="E110" s="21" t="n"/>
      <c r="F110" s="22" t="n"/>
      <c r="G110" s="21" t="n"/>
      <c r="H110" s="22" t="n"/>
      <c r="I110" s="23" t="n"/>
      <c r="J110" s="24">
        <f>IF(ISNUMBER(H110),H110-IF(ISNUMBER(I110),I110,30),"")</f>
        <v/>
      </c>
      <c r="K110" s="25">
        <f>IF(H110="","",IF(ISNUMBER(H110),H110-TODAY(),"Check date"))</f>
        <v/>
      </c>
      <c r="L110" s="26">
        <f>IF(K110="","",IF(ISNUMBER(K110),IF(K110&lt;0,"Expired",IF(K110&lt;=30,"Due ≤30 days",IF(K110&lt;=90,"Due ≤90 days","OK"))),"Check date"))</f>
        <v/>
      </c>
      <c r="M110" s="22" t="n"/>
      <c r="N110" s="24">
        <f>IF(ISNUMBER(M110),DATE(YEAR(M110)+2,MONTH(M110),DAY(M110)),"")</f>
        <v/>
      </c>
      <c r="O110" s="21" t="n"/>
      <c r="P110" s="21" t="n"/>
      <c r="Q110" s="21" t="n"/>
    </row>
    <row r="111">
      <c r="A111" s="21" t="n"/>
      <c r="B111" s="21" t="n"/>
      <c r="C111" s="22" t="n"/>
      <c r="D111" s="21" t="n"/>
      <c r="E111" s="21" t="n"/>
      <c r="F111" s="22" t="n"/>
      <c r="G111" s="21" t="n"/>
      <c r="H111" s="22" t="n"/>
      <c r="I111" s="23" t="n"/>
      <c r="J111" s="24">
        <f>IF(ISNUMBER(H111),H111-IF(ISNUMBER(I111),I111,30),"")</f>
        <v/>
      </c>
      <c r="K111" s="25">
        <f>IF(H111="","",IF(ISNUMBER(H111),H111-TODAY(),"Check date"))</f>
        <v/>
      </c>
      <c r="L111" s="26">
        <f>IF(K111="","",IF(ISNUMBER(K111),IF(K111&lt;0,"Expired",IF(K111&lt;=30,"Due ≤30 days",IF(K111&lt;=90,"Due ≤90 days","OK"))),"Check date"))</f>
        <v/>
      </c>
      <c r="M111" s="22" t="n"/>
      <c r="N111" s="24">
        <f>IF(ISNUMBER(M111),DATE(YEAR(M111)+2,MONTH(M111),DAY(M111)),"")</f>
        <v/>
      </c>
      <c r="O111" s="21" t="n"/>
      <c r="P111" s="21" t="n"/>
      <c r="Q111" s="21" t="n"/>
    </row>
    <row r="112">
      <c r="A112" s="21" t="n"/>
      <c r="B112" s="21" t="n"/>
      <c r="C112" s="22" t="n"/>
      <c r="D112" s="21" t="n"/>
      <c r="E112" s="21" t="n"/>
      <c r="F112" s="22" t="n"/>
      <c r="G112" s="21" t="n"/>
      <c r="H112" s="22" t="n"/>
      <c r="I112" s="23" t="n"/>
      <c r="J112" s="24">
        <f>IF(ISNUMBER(H112),H112-IF(ISNUMBER(I112),I112,30),"")</f>
        <v/>
      </c>
      <c r="K112" s="25">
        <f>IF(H112="","",IF(ISNUMBER(H112),H112-TODAY(),"Check date"))</f>
        <v/>
      </c>
      <c r="L112" s="26">
        <f>IF(K112="","",IF(ISNUMBER(K112),IF(K112&lt;0,"Expired",IF(K112&lt;=30,"Due ≤30 days",IF(K112&lt;=90,"Due ≤90 days","OK"))),"Check date"))</f>
        <v/>
      </c>
      <c r="M112" s="22" t="n"/>
      <c r="N112" s="24">
        <f>IF(ISNUMBER(M112),DATE(YEAR(M112)+2,MONTH(M112),DAY(M112)),"")</f>
        <v/>
      </c>
      <c r="O112" s="21" t="n"/>
      <c r="P112" s="21" t="n"/>
      <c r="Q112" s="21" t="n"/>
    </row>
    <row r="113">
      <c r="A113" s="21" t="n"/>
      <c r="B113" s="21" t="n"/>
      <c r="C113" s="22" t="n"/>
      <c r="D113" s="21" t="n"/>
      <c r="E113" s="21" t="n"/>
      <c r="F113" s="22" t="n"/>
      <c r="G113" s="21" t="n"/>
      <c r="H113" s="22" t="n"/>
      <c r="I113" s="23" t="n"/>
      <c r="J113" s="24">
        <f>IF(ISNUMBER(H113),H113-IF(ISNUMBER(I113),I113,30),"")</f>
        <v/>
      </c>
      <c r="K113" s="25">
        <f>IF(H113="","",IF(ISNUMBER(H113),H113-TODAY(),"Check date"))</f>
        <v/>
      </c>
      <c r="L113" s="26">
        <f>IF(K113="","",IF(ISNUMBER(K113),IF(K113&lt;0,"Expired",IF(K113&lt;=30,"Due ≤30 days",IF(K113&lt;=90,"Due ≤90 days","OK"))),"Check date"))</f>
        <v/>
      </c>
      <c r="M113" s="22" t="n"/>
      <c r="N113" s="24">
        <f>IF(ISNUMBER(M113),DATE(YEAR(M113)+2,MONTH(M113),DAY(M113)),"")</f>
        <v/>
      </c>
      <c r="O113" s="21" t="n"/>
      <c r="P113" s="21" t="n"/>
      <c r="Q113" s="21" t="n"/>
    </row>
    <row r="114">
      <c r="A114" s="21" t="n"/>
      <c r="B114" s="21" t="n"/>
      <c r="C114" s="22" t="n"/>
      <c r="D114" s="21" t="n"/>
      <c r="E114" s="21" t="n"/>
      <c r="F114" s="22" t="n"/>
      <c r="G114" s="21" t="n"/>
      <c r="H114" s="22" t="n"/>
      <c r="I114" s="23" t="n"/>
      <c r="J114" s="24">
        <f>IF(ISNUMBER(H114),H114-IF(ISNUMBER(I114),I114,30),"")</f>
        <v/>
      </c>
      <c r="K114" s="25">
        <f>IF(H114="","",IF(ISNUMBER(H114),H114-TODAY(),"Check date"))</f>
        <v/>
      </c>
      <c r="L114" s="26">
        <f>IF(K114="","",IF(ISNUMBER(K114),IF(K114&lt;0,"Expired",IF(K114&lt;=30,"Due ≤30 days",IF(K114&lt;=90,"Due ≤90 days","OK"))),"Check date"))</f>
        <v/>
      </c>
      <c r="M114" s="22" t="n"/>
      <c r="N114" s="24">
        <f>IF(ISNUMBER(M114),DATE(YEAR(M114)+2,MONTH(M114),DAY(M114)),"")</f>
        <v/>
      </c>
      <c r="O114" s="21" t="n"/>
      <c r="P114" s="21" t="n"/>
      <c r="Q114" s="21" t="n"/>
    </row>
    <row r="115">
      <c r="A115" s="21" t="n"/>
      <c r="B115" s="21" t="n"/>
      <c r="C115" s="22" t="n"/>
      <c r="D115" s="21" t="n"/>
      <c r="E115" s="21" t="n"/>
      <c r="F115" s="22" t="n"/>
      <c r="G115" s="21" t="n"/>
      <c r="H115" s="22" t="n"/>
      <c r="I115" s="23" t="n"/>
      <c r="J115" s="24">
        <f>IF(ISNUMBER(H115),H115-IF(ISNUMBER(I115),I115,30),"")</f>
        <v/>
      </c>
      <c r="K115" s="25">
        <f>IF(H115="","",IF(ISNUMBER(H115),H115-TODAY(),"Check date"))</f>
        <v/>
      </c>
      <c r="L115" s="26">
        <f>IF(K115="","",IF(ISNUMBER(K115),IF(K115&lt;0,"Expired",IF(K115&lt;=30,"Due ≤30 days",IF(K115&lt;=90,"Due ≤90 days","OK"))),"Check date"))</f>
        <v/>
      </c>
      <c r="M115" s="22" t="n"/>
      <c r="N115" s="24">
        <f>IF(ISNUMBER(M115),DATE(YEAR(M115)+2,MONTH(M115),DAY(M115)),"")</f>
        <v/>
      </c>
      <c r="O115" s="21" t="n"/>
      <c r="P115" s="21" t="n"/>
      <c r="Q115" s="21" t="n"/>
    </row>
    <row r="116">
      <c r="A116" s="21" t="n"/>
      <c r="B116" s="21" t="n"/>
      <c r="C116" s="22" t="n"/>
      <c r="D116" s="21" t="n"/>
      <c r="E116" s="21" t="n"/>
      <c r="F116" s="22" t="n"/>
      <c r="G116" s="21" t="n"/>
      <c r="H116" s="22" t="n"/>
      <c r="I116" s="23" t="n"/>
      <c r="J116" s="24">
        <f>IF(ISNUMBER(H116),H116-IF(ISNUMBER(I116),I116,30),"")</f>
        <v/>
      </c>
      <c r="K116" s="25">
        <f>IF(H116="","",IF(ISNUMBER(H116),H116-TODAY(),"Check date"))</f>
        <v/>
      </c>
      <c r="L116" s="26">
        <f>IF(K116="","",IF(ISNUMBER(K116),IF(K116&lt;0,"Expired",IF(K116&lt;=30,"Due ≤30 days",IF(K116&lt;=90,"Due ≤90 days","OK"))),"Check date"))</f>
        <v/>
      </c>
      <c r="M116" s="22" t="n"/>
      <c r="N116" s="24">
        <f>IF(ISNUMBER(M116),DATE(YEAR(M116)+2,MONTH(M116),DAY(M116)),"")</f>
        <v/>
      </c>
      <c r="O116" s="21" t="n"/>
      <c r="P116" s="21" t="n"/>
      <c r="Q116" s="21" t="n"/>
    </row>
    <row r="117">
      <c r="A117" s="21" t="n"/>
      <c r="B117" s="21" t="n"/>
      <c r="C117" s="22" t="n"/>
      <c r="D117" s="21" t="n"/>
      <c r="E117" s="21" t="n"/>
      <c r="F117" s="22" t="n"/>
      <c r="G117" s="21" t="n"/>
      <c r="H117" s="22" t="n"/>
      <c r="I117" s="23" t="n"/>
      <c r="J117" s="24">
        <f>IF(ISNUMBER(H117),H117-IF(ISNUMBER(I117),I117,30),"")</f>
        <v/>
      </c>
      <c r="K117" s="25">
        <f>IF(H117="","",IF(ISNUMBER(H117),H117-TODAY(),"Check date"))</f>
        <v/>
      </c>
      <c r="L117" s="26">
        <f>IF(K117="","",IF(ISNUMBER(K117),IF(K117&lt;0,"Expired",IF(K117&lt;=30,"Due ≤30 days",IF(K117&lt;=90,"Due ≤90 days","OK"))),"Check date"))</f>
        <v/>
      </c>
      <c r="M117" s="22" t="n"/>
      <c r="N117" s="24">
        <f>IF(ISNUMBER(M117),DATE(YEAR(M117)+2,MONTH(M117),DAY(M117)),"")</f>
        <v/>
      </c>
      <c r="O117" s="21" t="n"/>
      <c r="P117" s="21" t="n"/>
      <c r="Q117" s="21" t="n"/>
    </row>
    <row r="118">
      <c r="A118" s="21" t="n"/>
      <c r="B118" s="21" t="n"/>
      <c r="C118" s="22" t="n"/>
      <c r="D118" s="21" t="n"/>
      <c r="E118" s="21" t="n"/>
      <c r="F118" s="22" t="n"/>
      <c r="G118" s="21" t="n"/>
      <c r="H118" s="22" t="n"/>
      <c r="I118" s="23" t="n"/>
      <c r="J118" s="24">
        <f>IF(ISNUMBER(H118),H118-IF(ISNUMBER(I118),I118,30),"")</f>
        <v/>
      </c>
      <c r="K118" s="25">
        <f>IF(H118="","",IF(ISNUMBER(H118),H118-TODAY(),"Check date"))</f>
        <v/>
      </c>
      <c r="L118" s="26">
        <f>IF(K118="","",IF(ISNUMBER(K118),IF(K118&lt;0,"Expired",IF(K118&lt;=30,"Due ≤30 days",IF(K118&lt;=90,"Due ≤90 days","OK"))),"Check date"))</f>
        <v/>
      </c>
      <c r="M118" s="22" t="n"/>
      <c r="N118" s="24">
        <f>IF(ISNUMBER(M118),DATE(YEAR(M118)+2,MONTH(M118),DAY(M118)),"")</f>
        <v/>
      </c>
      <c r="O118" s="21" t="n"/>
      <c r="P118" s="21" t="n"/>
      <c r="Q118" s="21" t="n"/>
    </row>
    <row r="119">
      <c r="A119" s="21" t="n"/>
      <c r="B119" s="21" t="n"/>
      <c r="C119" s="22" t="n"/>
      <c r="D119" s="21" t="n"/>
      <c r="E119" s="21" t="n"/>
      <c r="F119" s="22" t="n"/>
      <c r="G119" s="21" t="n"/>
      <c r="H119" s="22" t="n"/>
      <c r="I119" s="23" t="n"/>
      <c r="J119" s="24">
        <f>IF(ISNUMBER(H119),H119-IF(ISNUMBER(I119),I119,30),"")</f>
        <v/>
      </c>
      <c r="K119" s="25">
        <f>IF(H119="","",IF(ISNUMBER(H119),H119-TODAY(),"Check date"))</f>
        <v/>
      </c>
      <c r="L119" s="26">
        <f>IF(K119="","",IF(ISNUMBER(K119),IF(K119&lt;0,"Expired",IF(K119&lt;=30,"Due ≤30 days",IF(K119&lt;=90,"Due ≤90 days","OK"))),"Check date"))</f>
        <v/>
      </c>
      <c r="M119" s="22" t="n"/>
      <c r="N119" s="24">
        <f>IF(ISNUMBER(M119),DATE(YEAR(M119)+2,MONTH(M119),DAY(M119)),"")</f>
        <v/>
      </c>
      <c r="O119" s="21" t="n"/>
      <c r="P119" s="21" t="n"/>
      <c r="Q119" s="21" t="n"/>
    </row>
    <row r="120">
      <c r="A120" s="21" t="n"/>
      <c r="B120" s="21" t="n"/>
      <c r="C120" s="22" t="n"/>
      <c r="D120" s="21" t="n"/>
      <c r="E120" s="21" t="n"/>
      <c r="F120" s="22" t="n"/>
      <c r="G120" s="21" t="n"/>
      <c r="H120" s="22" t="n"/>
      <c r="I120" s="23" t="n"/>
      <c r="J120" s="24">
        <f>IF(ISNUMBER(H120),H120-IF(ISNUMBER(I120),I120,30),"")</f>
        <v/>
      </c>
      <c r="K120" s="25">
        <f>IF(H120="","",IF(ISNUMBER(H120),H120-TODAY(),"Check date"))</f>
        <v/>
      </c>
      <c r="L120" s="26">
        <f>IF(K120="","",IF(ISNUMBER(K120),IF(K120&lt;0,"Expired",IF(K120&lt;=30,"Due ≤30 days",IF(K120&lt;=90,"Due ≤90 days","OK"))),"Check date"))</f>
        <v/>
      </c>
      <c r="M120" s="22" t="n"/>
      <c r="N120" s="24">
        <f>IF(ISNUMBER(M120),DATE(YEAR(M120)+2,MONTH(M120),DAY(M120)),"")</f>
        <v/>
      </c>
      <c r="O120" s="21" t="n"/>
      <c r="P120" s="21" t="n"/>
      <c r="Q120" s="21" t="n"/>
    </row>
    <row r="121">
      <c r="A121" s="21" t="n"/>
      <c r="B121" s="21" t="n"/>
      <c r="C121" s="22" t="n"/>
      <c r="D121" s="21" t="n"/>
      <c r="E121" s="21" t="n"/>
      <c r="F121" s="22" t="n"/>
      <c r="G121" s="21" t="n"/>
      <c r="H121" s="22" t="n"/>
      <c r="I121" s="23" t="n"/>
      <c r="J121" s="24">
        <f>IF(ISNUMBER(H121),H121-IF(ISNUMBER(I121),I121,30),"")</f>
        <v/>
      </c>
      <c r="K121" s="25">
        <f>IF(H121="","",IF(ISNUMBER(H121),H121-TODAY(),"Check date"))</f>
        <v/>
      </c>
      <c r="L121" s="26">
        <f>IF(K121="","",IF(ISNUMBER(K121),IF(K121&lt;0,"Expired",IF(K121&lt;=30,"Due ≤30 days",IF(K121&lt;=90,"Due ≤90 days","OK"))),"Check date"))</f>
        <v/>
      </c>
      <c r="M121" s="22" t="n"/>
      <c r="N121" s="24">
        <f>IF(ISNUMBER(M121),DATE(YEAR(M121)+2,MONTH(M121),DAY(M121)),"")</f>
        <v/>
      </c>
      <c r="O121" s="21" t="n"/>
      <c r="P121" s="21" t="n"/>
      <c r="Q121" s="21" t="n"/>
    </row>
    <row r="122">
      <c r="A122" s="21" t="n"/>
      <c r="B122" s="21" t="n"/>
      <c r="C122" s="22" t="n"/>
      <c r="D122" s="21" t="n"/>
      <c r="E122" s="21" t="n"/>
      <c r="F122" s="22" t="n"/>
      <c r="G122" s="21" t="n"/>
      <c r="H122" s="22" t="n"/>
      <c r="I122" s="23" t="n"/>
      <c r="J122" s="24">
        <f>IF(ISNUMBER(H122),H122-IF(ISNUMBER(I122),I122,30),"")</f>
        <v/>
      </c>
      <c r="K122" s="25">
        <f>IF(H122="","",IF(ISNUMBER(H122),H122-TODAY(),"Check date"))</f>
        <v/>
      </c>
      <c r="L122" s="26">
        <f>IF(K122="","",IF(ISNUMBER(K122),IF(K122&lt;0,"Expired",IF(K122&lt;=30,"Due ≤30 days",IF(K122&lt;=90,"Due ≤90 days","OK"))),"Check date"))</f>
        <v/>
      </c>
      <c r="M122" s="22" t="n"/>
      <c r="N122" s="24">
        <f>IF(ISNUMBER(M122),DATE(YEAR(M122)+2,MONTH(M122),DAY(M122)),"")</f>
        <v/>
      </c>
      <c r="O122" s="21" t="n"/>
      <c r="P122" s="21" t="n"/>
      <c r="Q122" s="21" t="n"/>
    </row>
    <row r="123">
      <c r="A123" s="21" t="n"/>
      <c r="B123" s="21" t="n"/>
      <c r="C123" s="22" t="n"/>
      <c r="D123" s="21" t="n"/>
      <c r="E123" s="21" t="n"/>
      <c r="F123" s="22" t="n"/>
      <c r="G123" s="21" t="n"/>
      <c r="H123" s="22" t="n"/>
      <c r="I123" s="23" t="n"/>
      <c r="J123" s="24">
        <f>IF(ISNUMBER(H123),H123-IF(ISNUMBER(I123),I123,30),"")</f>
        <v/>
      </c>
      <c r="K123" s="25">
        <f>IF(H123="","",IF(ISNUMBER(H123),H123-TODAY(),"Check date"))</f>
        <v/>
      </c>
      <c r="L123" s="26">
        <f>IF(K123="","",IF(ISNUMBER(K123),IF(K123&lt;0,"Expired",IF(K123&lt;=30,"Due ≤30 days",IF(K123&lt;=90,"Due ≤90 days","OK"))),"Check date"))</f>
        <v/>
      </c>
      <c r="M123" s="22" t="n"/>
      <c r="N123" s="24">
        <f>IF(ISNUMBER(M123),DATE(YEAR(M123)+2,MONTH(M123),DAY(M123)),"")</f>
        <v/>
      </c>
      <c r="O123" s="21" t="n"/>
      <c r="P123" s="21" t="n"/>
      <c r="Q123" s="21" t="n"/>
    </row>
    <row r="124">
      <c r="A124" s="21" t="n"/>
      <c r="B124" s="21" t="n"/>
      <c r="C124" s="22" t="n"/>
      <c r="D124" s="21" t="n"/>
      <c r="E124" s="21" t="n"/>
      <c r="F124" s="22" t="n"/>
      <c r="G124" s="21" t="n"/>
      <c r="H124" s="22" t="n"/>
      <c r="I124" s="23" t="n"/>
      <c r="J124" s="24">
        <f>IF(ISNUMBER(H124),H124-IF(ISNUMBER(I124),I124,30),"")</f>
        <v/>
      </c>
      <c r="K124" s="25">
        <f>IF(H124="","",IF(ISNUMBER(H124),H124-TODAY(),"Check date"))</f>
        <v/>
      </c>
      <c r="L124" s="26">
        <f>IF(K124="","",IF(ISNUMBER(K124),IF(K124&lt;0,"Expired",IF(K124&lt;=30,"Due ≤30 days",IF(K124&lt;=90,"Due ≤90 days","OK"))),"Check date"))</f>
        <v/>
      </c>
      <c r="M124" s="22" t="n"/>
      <c r="N124" s="24">
        <f>IF(ISNUMBER(M124),DATE(YEAR(M124)+2,MONTH(M124),DAY(M124)),"")</f>
        <v/>
      </c>
      <c r="O124" s="21" t="n"/>
      <c r="P124" s="21" t="n"/>
      <c r="Q124" s="21" t="n"/>
    </row>
    <row r="125">
      <c r="A125" s="21" t="n"/>
      <c r="B125" s="21" t="n"/>
      <c r="C125" s="22" t="n"/>
      <c r="D125" s="21" t="n"/>
      <c r="E125" s="21" t="n"/>
      <c r="F125" s="22" t="n"/>
      <c r="G125" s="21" t="n"/>
      <c r="H125" s="22" t="n"/>
      <c r="I125" s="23" t="n"/>
      <c r="J125" s="24">
        <f>IF(ISNUMBER(H125),H125-IF(ISNUMBER(I125),I125,30),"")</f>
        <v/>
      </c>
      <c r="K125" s="25">
        <f>IF(H125="","",IF(ISNUMBER(H125),H125-TODAY(),"Check date"))</f>
        <v/>
      </c>
      <c r="L125" s="26">
        <f>IF(K125="","",IF(ISNUMBER(K125),IF(K125&lt;0,"Expired",IF(K125&lt;=30,"Due ≤30 days",IF(K125&lt;=90,"Due ≤90 days","OK"))),"Check date"))</f>
        <v/>
      </c>
      <c r="M125" s="22" t="n"/>
      <c r="N125" s="24">
        <f>IF(ISNUMBER(M125),DATE(YEAR(M125)+2,MONTH(M125),DAY(M125)),"")</f>
        <v/>
      </c>
      <c r="O125" s="21" t="n"/>
      <c r="P125" s="21" t="n"/>
      <c r="Q125" s="21" t="n"/>
    </row>
    <row r="126">
      <c r="A126" s="21" t="n"/>
      <c r="B126" s="21" t="n"/>
      <c r="C126" s="22" t="n"/>
      <c r="D126" s="21" t="n"/>
      <c r="E126" s="21" t="n"/>
      <c r="F126" s="22" t="n"/>
      <c r="G126" s="21" t="n"/>
      <c r="H126" s="22" t="n"/>
      <c r="I126" s="23" t="n"/>
      <c r="J126" s="24">
        <f>IF(ISNUMBER(H126),H126-IF(ISNUMBER(I126),I126,30),"")</f>
        <v/>
      </c>
      <c r="K126" s="25">
        <f>IF(H126="","",IF(ISNUMBER(H126),H126-TODAY(),"Check date"))</f>
        <v/>
      </c>
      <c r="L126" s="26">
        <f>IF(K126="","",IF(ISNUMBER(K126),IF(K126&lt;0,"Expired",IF(K126&lt;=30,"Due ≤30 days",IF(K126&lt;=90,"Due ≤90 days","OK"))),"Check date"))</f>
        <v/>
      </c>
      <c r="M126" s="22" t="n"/>
      <c r="N126" s="24">
        <f>IF(ISNUMBER(M126),DATE(YEAR(M126)+2,MONTH(M126),DAY(M126)),"")</f>
        <v/>
      </c>
      <c r="O126" s="21" t="n"/>
      <c r="P126" s="21" t="n"/>
      <c r="Q126" s="21" t="n"/>
    </row>
    <row r="127">
      <c r="A127" s="21" t="n"/>
      <c r="B127" s="21" t="n"/>
      <c r="C127" s="22" t="n"/>
      <c r="D127" s="21" t="n"/>
      <c r="E127" s="21" t="n"/>
      <c r="F127" s="22" t="n"/>
      <c r="G127" s="21" t="n"/>
      <c r="H127" s="22" t="n"/>
      <c r="I127" s="23" t="n"/>
      <c r="J127" s="24">
        <f>IF(ISNUMBER(H127),H127-IF(ISNUMBER(I127),I127,30),"")</f>
        <v/>
      </c>
      <c r="K127" s="25">
        <f>IF(H127="","",IF(ISNUMBER(H127),H127-TODAY(),"Check date"))</f>
        <v/>
      </c>
      <c r="L127" s="26">
        <f>IF(K127="","",IF(ISNUMBER(K127),IF(K127&lt;0,"Expired",IF(K127&lt;=30,"Due ≤30 days",IF(K127&lt;=90,"Due ≤90 days","OK"))),"Check date"))</f>
        <v/>
      </c>
      <c r="M127" s="22" t="n"/>
      <c r="N127" s="24">
        <f>IF(ISNUMBER(M127),DATE(YEAR(M127)+2,MONTH(M127),DAY(M127)),"")</f>
        <v/>
      </c>
      <c r="O127" s="21" t="n"/>
      <c r="P127" s="21" t="n"/>
      <c r="Q127" s="21" t="n"/>
    </row>
    <row r="128">
      <c r="A128" s="21" t="n"/>
      <c r="B128" s="21" t="n"/>
      <c r="C128" s="22" t="n"/>
      <c r="D128" s="21" t="n"/>
      <c r="E128" s="21" t="n"/>
      <c r="F128" s="22" t="n"/>
      <c r="G128" s="21" t="n"/>
      <c r="H128" s="22" t="n"/>
      <c r="I128" s="23" t="n"/>
      <c r="J128" s="24">
        <f>IF(ISNUMBER(H128),H128-IF(ISNUMBER(I128),I128,30),"")</f>
        <v/>
      </c>
      <c r="K128" s="25">
        <f>IF(H128="","",IF(ISNUMBER(H128),H128-TODAY(),"Check date"))</f>
        <v/>
      </c>
      <c r="L128" s="26">
        <f>IF(K128="","",IF(ISNUMBER(K128),IF(K128&lt;0,"Expired",IF(K128&lt;=30,"Due ≤30 days",IF(K128&lt;=90,"Due ≤90 days","OK"))),"Check date"))</f>
        <v/>
      </c>
      <c r="M128" s="22" t="n"/>
      <c r="N128" s="24">
        <f>IF(ISNUMBER(M128),DATE(YEAR(M128)+2,MONTH(M128),DAY(M128)),"")</f>
        <v/>
      </c>
      <c r="O128" s="21" t="n"/>
      <c r="P128" s="21" t="n"/>
      <c r="Q128" s="21" t="n"/>
    </row>
    <row r="129">
      <c r="A129" s="21" t="n"/>
      <c r="B129" s="21" t="n"/>
      <c r="C129" s="22" t="n"/>
      <c r="D129" s="21" t="n"/>
      <c r="E129" s="21" t="n"/>
      <c r="F129" s="22" t="n"/>
      <c r="G129" s="21" t="n"/>
      <c r="H129" s="22" t="n"/>
      <c r="I129" s="23" t="n"/>
      <c r="J129" s="24">
        <f>IF(ISNUMBER(H129),H129-IF(ISNUMBER(I129),I129,30),"")</f>
        <v/>
      </c>
      <c r="K129" s="25">
        <f>IF(H129="","",IF(ISNUMBER(H129),H129-TODAY(),"Check date"))</f>
        <v/>
      </c>
      <c r="L129" s="26">
        <f>IF(K129="","",IF(ISNUMBER(K129),IF(K129&lt;0,"Expired",IF(K129&lt;=30,"Due ≤30 days",IF(K129&lt;=90,"Due ≤90 days","OK"))),"Check date"))</f>
        <v/>
      </c>
      <c r="M129" s="22" t="n"/>
      <c r="N129" s="24">
        <f>IF(ISNUMBER(M129),DATE(YEAR(M129)+2,MONTH(M129),DAY(M129)),"")</f>
        <v/>
      </c>
      <c r="O129" s="21" t="n"/>
      <c r="P129" s="21" t="n"/>
      <c r="Q129" s="21" t="n"/>
    </row>
    <row r="130">
      <c r="A130" s="21" t="n"/>
      <c r="B130" s="21" t="n"/>
      <c r="C130" s="22" t="n"/>
      <c r="D130" s="21" t="n"/>
      <c r="E130" s="21" t="n"/>
      <c r="F130" s="22" t="n"/>
      <c r="G130" s="21" t="n"/>
      <c r="H130" s="22" t="n"/>
      <c r="I130" s="23" t="n"/>
      <c r="J130" s="24">
        <f>IF(ISNUMBER(H130),H130-IF(ISNUMBER(I130),I130,30),"")</f>
        <v/>
      </c>
      <c r="K130" s="25">
        <f>IF(H130="","",IF(ISNUMBER(H130),H130-TODAY(),"Check date"))</f>
        <v/>
      </c>
      <c r="L130" s="26">
        <f>IF(K130="","",IF(ISNUMBER(K130),IF(K130&lt;0,"Expired",IF(K130&lt;=30,"Due ≤30 days",IF(K130&lt;=90,"Due ≤90 days","OK"))),"Check date"))</f>
        <v/>
      </c>
      <c r="M130" s="22" t="n"/>
      <c r="N130" s="24">
        <f>IF(ISNUMBER(M130),DATE(YEAR(M130)+2,MONTH(M130),DAY(M130)),"")</f>
        <v/>
      </c>
      <c r="O130" s="21" t="n"/>
      <c r="P130" s="21" t="n"/>
      <c r="Q130" s="21" t="n"/>
    </row>
    <row r="131">
      <c r="A131" s="21" t="n"/>
      <c r="B131" s="21" t="n"/>
      <c r="C131" s="22" t="n"/>
      <c r="D131" s="21" t="n"/>
      <c r="E131" s="21" t="n"/>
      <c r="F131" s="22" t="n"/>
      <c r="G131" s="21" t="n"/>
      <c r="H131" s="22" t="n"/>
      <c r="I131" s="23" t="n"/>
      <c r="J131" s="24">
        <f>IF(ISNUMBER(H131),H131-IF(ISNUMBER(I131),I131,30),"")</f>
        <v/>
      </c>
      <c r="K131" s="25">
        <f>IF(H131="","",IF(ISNUMBER(H131),H131-TODAY(),"Check date"))</f>
        <v/>
      </c>
      <c r="L131" s="26">
        <f>IF(K131="","",IF(ISNUMBER(K131),IF(K131&lt;0,"Expired",IF(K131&lt;=30,"Due ≤30 days",IF(K131&lt;=90,"Due ≤90 days","OK"))),"Check date"))</f>
        <v/>
      </c>
      <c r="M131" s="22" t="n"/>
      <c r="N131" s="24">
        <f>IF(ISNUMBER(M131),DATE(YEAR(M131)+2,MONTH(M131),DAY(M131)),"")</f>
        <v/>
      </c>
      <c r="O131" s="21" t="n"/>
      <c r="P131" s="21" t="n"/>
      <c r="Q131" s="21" t="n"/>
    </row>
    <row r="132">
      <c r="A132" s="21" t="n"/>
      <c r="B132" s="21" t="n"/>
      <c r="C132" s="22" t="n"/>
      <c r="D132" s="21" t="n"/>
      <c r="E132" s="21" t="n"/>
      <c r="F132" s="22" t="n"/>
      <c r="G132" s="21" t="n"/>
      <c r="H132" s="22" t="n"/>
      <c r="I132" s="23" t="n"/>
      <c r="J132" s="24">
        <f>IF(ISNUMBER(H132),H132-IF(ISNUMBER(I132),I132,30),"")</f>
        <v/>
      </c>
      <c r="K132" s="25">
        <f>IF(H132="","",IF(ISNUMBER(H132),H132-TODAY(),"Check date"))</f>
        <v/>
      </c>
      <c r="L132" s="26">
        <f>IF(K132="","",IF(ISNUMBER(K132),IF(K132&lt;0,"Expired",IF(K132&lt;=30,"Due ≤30 days",IF(K132&lt;=90,"Due ≤90 days","OK"))),"Check date"))</f>
        <v/>
      </c>
      <c r="M132" s="22" t="n"/>
      <c r="N132" s="24">
        <f>IF(ISNUMBER(M132),DATE(YEAR(M132)+2,MONTH(M132),DAY(M132)),"")</f>
        <v/>
      </c>
      <c r="O132" s="21" t="n"/>
      <c r="P132" s="21" t="n"/>
      <c r="Q132" s="21" t="n"/>
    </row>
    <row r="133">
      <c r="A133" s="21" t="n"/>
      <c r="B133" s="21" t="n"/>
      <c r="C133" s="22" t="n"/>
      <c r="D133" s="21" t="n"/>
      <c r="E133" s="21" t="n"/>
      <c r="F133" s="22" t="n"/>
      <c r="G133" s="21" t="n"/>
      <c r="H133" s="22" t="n"/>
      <c r="I133" s="23" t="n"/>
      <c r="J133" s="24">
        <f>IF(ISNUMBER(H133),H133-IF(ISNUMBER(I133),I133,30),"")</f>
        <v/>
      </c>
      <c r="K133" s="25">
        <f>IF(H133="","",IF(ISNUMBER(H133),H133-TODAY(),"Check date"))</f>
        <v/>
      </c>
      <c r="L133" s="26">
        <f>IF(K133="","",IF(ISNUMBER(K133),IF(K133&lt;0,"Expired",IF(K133&lt;=30,"Due ≤30 days",IF(K133&lt;=90,"Due ≤90 days","OK"))),"Check date"))</f>
        <v/>
      </c>
      <c r="M133" s="22" t="n"/>
      <c r="N133" s="24">
        <f>IF(ISNUMBER(M133),DATE(YEAR(M133)+2,MONTH(M133),DAY(M133)),"")</f>
        <v/>
      </c>
      <c r="O133" s="21" t="n"/>
      <c r="P133" s="21" t="n"/>
      <c r="Q133" s="21" t="n"/>
    </row>
    <row r="134">
      <c r="A134" s="21" t="n"/>
      <c r="B134" s="21" t="n"/>
      <c r="C134" s="22" t="n"/>
      <c r="D134" s="21" t="n"/>
      <c r="E134" s="21" t="n"/>
      <c r="F134" s="22" t="n"/>
      <c r="G134" s="21" t="n"/>
      <c r="H134" s="22" t="n"/>
      <c r="I134" s="23" t="n"/>
      <c r="J134" s="24">
        <f>IF(ISNUMBER(H134),H134-IF(ISNUMBER(I134),I134,30),"")</f>
        <v/>
      </c>
      <c r="K134" s="25">
        <f>IF(H134="","",IF(ISNUMBER(H134),H134-TODAY(),"Check date"))</f>
        <v/>
      </c>
      <c r="L134" s="26">
        <f>IF(K134="","",IF(ISNUMBER(K134),IF(K134&lt;0,"Expired",IF(K134&lt;=30,"Due ≤30 days",IF(K134&lt;=90,"Due ≤90 days","OK"))),"Check date"))</f>
        <v/>
      </c>
      <c r="M134" s="22" t="n"/>
      <c r="N134" s="24">
        <f>IF(ISNUMBER(M134),DATE(YEAR(M134)+2,MONTH(M134),DAY(M134)),"")</f>
        <v/>
      </c>
      <c r="O134" s="21" t="n"/>
      <c r="P134" s="21" t="n"/>
      <c r="Q134" s="21" t="n"/>
    </row>
    <row r="135">
      <c r="A135" s="21" t="n"/>
      <c r="B135" s="21" t="n"/>
      <c r="C135" s="22" t="n"/>
      <c r="D135" s="21" t="n"/>
      <c r="E135" s="21" t="n"/>
      <c r="F135" s="22" t="n"/>
      <c r="G135" s="21" t="n"/>
      <c r="H135" s="22" t="n"/>
      <c r="I135" s="23" t="n"/>
      <c r="J135" s="24">
        <f>IF(ISNUMBER(H135),H135-IF(ISNUMBER(I135),I135,30),"")</f>
        <v/>
      </c>
      <c r="K135" s="25">
        <f>IF(H135="","",IF(ISNUMBER(H135),H135-TODAY(),"Check date"))</f>
        <v/>
      </c>
      <c r="L135" s="26">
        <f>IF(K135="","",IF(ISNUMBER(K135),IF(K135&lt;0,"Expired",IF(K135&lt;=30,"Due ≤30 days",IF(K135&lt;=90,"Due ≤90 days","OK"))),"Check date"))</f>
        <v/>
      </c>
      <c r="M135" s="22" t="n"/>
      <c r="N135" s="24">
        <f>IF(ISNUMBER(M135),DATE(YEAR(M135)+2,MONTH(M135),DAY(M135)),"")</f>
        <v/>
      </c>
      <c r="O135" s="21" t="n"/>
      <c r="P135" s="21" t="n"/>
      <c r="Q135" s="21" t="n"/>
    </row>
    <row r="136">
      <c r="A136" s="21" t="n"/>
      <c r="B136" s="21" t="n"/>
      <c r="C136" s="22" t="n"/>
      <c r="D136" s="21" t="n"/>
      <c r="E136" s="21" t="n"/>
      <c r="F136" s="22" t="n"/>
      <c r="G136" s="21" t="n"/>
      <c r="H136" s="22" t="n"/>
      <c r="I136" s="23" t="n"/>
      <c r="J136" s="24">
        <f>IF(ISNUMBER(H136),H136-IF(ISNUMBER(I136),I136,30),"")</f>
        <v/>
      </c>
      <c r="K136" s="25">
        <f>IF(H136="","",IF(ISNUMBER(H136),H136-TODAY(),"Check date"))</f>
        <v/>
      </c>
      <c r="L136" s="26">
        <f>IF(K136="","",IF(ISNUMBER(K136),IF(K136&lt;0,"Expired",IF(K136&lt;=30,"Due ≤30 days",IF(K136&lt;=90,"Due ≤90 days","OK"))),"Check date"))</f>
        <v/>
      </c>
      <c r="M136" s="22" t="n"/>
      <c r="N136" s="24">
        <f>IF(ISNUMBER(M136),DATE(YEAR(M136)+2,MONTH(M136),DAY(M136)),"")</f>
        <v/>
      </c>
      <c r="O136" s="21" t="n"/>
      <c r="P136" s="21" t="n"/>
      <c r="Q136" s="21" t="n"/>
    </row>
    <row r="137">
      <c r="A137" s="21" t="n"/>
      <c r="B137" s="21" t="n"/>
      <c r="C137" s="22" t="n"/>
      <c r="D137" s="21" t="n"/>
      <c r="E137" s="21" t="n"/>
      <c r="F137" s="22" t="n"/>
      <c r="G137" s="21" t="n"/>
      <c r="H137" s="22" t="n"/>
      <c r="I137" s="23" t="n"/>
      <c r="J137" s="24">
        <f>IF(ISNUMBER(H137),H137-IF(ISNUMBER(I137),I137,30),"")</f>
        <v/>
      </c>
      <c r="K137" s="25">
        <f>IF(H137="","",IF(ISNUMBER(H137),H137-TODAY(),"Check date"))</f>
        <v/>
      </c>
      <c r="L137" s="26">
        <f>IF(K137="","",IF(ISNUMBER(K137),IF(K137&lt;0,"Expired",IF(K137&lt;=30,"Due ≤30 days",IF(K137&lt;=90,"Due ≤90 days","OK"))),"Check date"))</f>
        <v/>
      </c>
      <c r="M137" s="22" t="n"/>
      <c r="N137" s="24">
        <f>IF(ISNUMBER(M137),DATE(YEAR(M137)+2,MONTH(M137),DAY(M137)),"")</f>
        <v/>
      </c>
      <c r="O137" s="21" t="n"/>
      <c r="P137" s="21" t="n"/>
      <c r="Q137" s="21" t="n"/>
    </row>
    <row r="138">
      <c r="A138" s="21" t="n"/>
      <c r="B138" s="21" t="n"/>
      <c r="C138" s="22" t="n"/>
      <c r="D138" s="21" t="n"/>
      <c r="E138" s="21" t="n"/>
      <c r="F138" s="22" t="n"/>
      <c r="G138" s="21" t="n"/>
      <c r="H138" s="22" t="n"/>
      <c r="I138" s="23" t="n"/>
      <c r="J138" s="24">
        <f>IF(ISNUMBER(H138),H138-IF(ISNUMBER(I138),I138,30),"")</f>
        <v/>
      </c>
      <c r="K138" s="25">
        <f>IF(H138="","",IF(ISNUMBER(H138),H138-TODAY(),"Check date"))</f>
        <v/>
      </c>
      <c r="L138" s="26">
        <f>IF(K138="","",IF(ISNUMBER(K138),IF(K138&lt;0,"Expired",IF(K138&lt;=30,"Due ≤30 days",IF(K138&lt;=90,"Due ≤90 days","OK"))),"Check date"))</f>
        <v/>
      </c>
      <c r="M138" s="22" t="n"/>
      <c r="N138" s="24">
        <f>IF(ISNUMBER(M138),DATE(YEAR(M138)+2,MONTH(M138),DAY(M138)),"")</f>
        <v/>
      </c>
      <c r="O138" s="21" t="n"/>
      <c r="P138" s="21" t="n"/>
      <c r="Q138" s="21" t="n"/>
    </row>
    <row r="139">
      <c r="A139" s="21" t="n"/>
      <c r="B139" s="21" t="n"/>
      <c r="C139" s="22" t="n"/>
      <c r="D139" s="21" t="n"/>
      <c r="E139" s="21" t="n"/>
      <c r="F139" s="22" t="n"/>
      <c r="G139" s="21" t="n"/>
      <c r="H139" s="22" t="n"/>
      <c r="I139" s="23" t="n"/>
      <c r="J139" s="24">
        <f>IF(ISNUMBER(H139),H139-IF(ISNUMBER(I139),I139,30),"")</f>
        <v/>
      </c>
      <c r="K139" s="25">
        <f>IF(H139="","",IF(ISNUMBER(H139),H139-TODAY(),"Check date"))</f>
        <v/>
      </c>
      <c r="L139" s="26">
        <f>IF(K139="","",IF(ISNUMBER(K139),IF(K139&lt;0,"Expired",IF(K139&lt;=30,"Due ≤30 days",IF(K139&lt;=90,"Due ≤90 days","OK"))),"Check date"))</f>
        <v/>
      </c>
      <c r="M139" s="22" t="n"/>
      <c r="N139" s="24">
        <f>IF(ISNUMBER(M139),DATE(YEAR(M139)+2,MONTH(M139),DAY(M139)),"")</f>
        <v/>
      </c>
      <c r="O139" s="21" t="n"/>
      <c r="P139" s="21" t="n"/>
      <c r="Q139" s="21" t="n"/>
    </row>
    <row r="140">
      <c r="A140" s="21" t="n"/>
      <c r="B140" s="21" t="n"/>
      <c r="C140" s="22" t="n"/>
      <c r="D140" s="21" t="n"/>
      <c r="E140" s="21" t="n"/>
      <c r="F140" s="22" t="n"/>
      <c r="G140" s="21" t="n"/>
      <c r="H140" s="22" t="n"/>
      <c r="I140" s="23" t="n"/>
      <c r="J140" s="24">
        <f>IF(ISNUMBER(H140),H140-IF(ISNUMBER(I140),I140,30),"")</f>
        <v/>
      </c>
      <c r="K140" s="25">
        <f>IF(H140="","",IF(ISNUMBER(H140),H140-TODAY(),"Check date"))</f>
        <v/>
      </c>
      <c r="L140" s="26">
        <f>IF(K140="","",IF(ISNUMBER(K140),IF(K140&lt;0,"Expired",IF(K140&lt;=30,"Due ≤30 days",IF(K140&lt;=90,"Due ≤90 days","OK"))),"Check date"))</f>
        <v/>
      </c>
      <c r="M140" s="22" t="n"/>
      <c r="N140" s="24">
        <f>IF(ISNUMBER(M140),DATE(YEAR(M140)+2,MONTH(M140),DAY(M140)),"")</f>
        <v/>
      </c>
      <c r="O140" s="21" t="n"/>
      <c r="P140" s="21" t="n"/>
      <c r="Q140" s="21" t="n"/>
    </row>
    <row r="141">
      <c r="A141" s="21" t="n"/>
      <c r="B141" s="21" t="n"/>
      <c r="C141" s="22" t="n"/>
      <c r="D141" s="21" t="n"/>
      <c r="E141" s="21" t="n"/>
      <c r="F141" s="22" t="n"/>
      <c r="G141" s="21" t="n"/>
      <c r="H141" s="22" t="n"/>
      <c r="I141" s="23" t="n"/>
      <c r="J141" s="24">
        <f>IF(ISNUMBER(H141),H141-IF(ISNUMBER(I141),I141,30),"")</f>
        <v/>
      </c>
      <c r="K141" s="25">
        <f>IF(H141="","",IF(ISNUMBER(H141),H141-TODAY(),"Check date"))</f>
        <v/>
      </c>
      <c r="L141" s="26">
        <f>IF(K141="","",IF(ISNUMBER(K141),IF(K141&lt;0,"Expired",IF(K141&lt;=30,"Due ≤30 days",IF(K141&lt;=90,"Due ≤90 days","OK"))),"Check date"))</f>
        <v/>
      </c>
      <c r="M141" s="22" t="n"/>
      <c r="N141" s="24">
        <f>IF(ISNUMBER(M141),DATE(YEAR(M141)+2,MONTH(M141),DAY(M141)),"")</f>
        <v/>
      </c>
      <c r="O141" s="21" t="n"/>
      <c r="P141" s="21" t="n"/>
      <c r="Q141" s="21" t="n"/>
    </row>
    <row r="142">
      <c r="A142" s="21" t="n"/>
      <c r="B142" s="21" t="n"/>
      <c r="C142" s="22" t="n"/>
      <c r="D142" s="21" t="n"/>
      <c r="E142" s="21" t="n"/>
      <c r="F142" s="22" t="n"/>
      <c r="G142" s="21" t="n"/>
      <c r="H142" s="22" t="n"/>
      <c r="I142" s="23" t="n"/>
      <c r="J142" s="24">
        <f>IF(ISNUMBER(H142),H142-IF(ISNUMBER(I142),I142,30),"")</f>
        <v/>
      </c>
      <c r="K142" s="25">
        <f>IF(H142="","",IF(ISNUMBER(H142),H142-TODAY(),"Check date"))</f>
        <v/>
      </c>
      <c r="L142" s="26">
        <f>IF(K142="","",IF(ISNUMBER(K142),IF(K142&lt;0,"Expired",IF(K142&lt;=30,"Due ≤30 days",IF(K142&lt;=90,"Due ≤90 days","OK"))),"Check date"))</f>
        <v/>
      </c>
      <c r="M142" s="22" t="n"/>
      <c r="N142" s="24">
        <f>IF(ISNUMBER(M142),DATE(YEAR(M142)+2,MONTH(M142),DAY(M142)),"")</f>
        <v/>
      </c>
      <c r="O142" s="21" t="n"/>
      <c r="P142" s="21" t="n"/>
      <c r="Q142" s="21" t="n"/>
    </row>
    <row r="143">
      <c r="A143" s="21" t="n"/>
      <c r="B143" s="21" t="n"/>
      <c r="C143" s="22" t="n"/>
      <c r="D143" s="21" t="n"/>
      <c r="E143" s="21" t="n"/>
      <c r="F143" s="22" t="n"/>
      <c r="G143" s="21" t="n"/>
      <c r="H143" s="22" t="n"/>
      <c r="I143" s="23" t="n"/>
      <c r="J143" s="24">
        <f>IF(ISNUMBER(H143),H143-IF(ISNUMBER(I143),I143,30),"")</f>
        <v/>
      </c>
      <c r="K143" s="25">
        <f>IF(H143="","",IF(ISNUMBER(H143),H143-TODAY(),"Check date"))</f>
        <v/>
      </c>
      <c r="L143" s="26">
        <f>IF(K143="","",IF(ISNUMBER(K143),IF(K143&lt;0,"Expired",IF(K143&lt;=30,"Due ≤30 days",IF(K143&lt;=90,"Due ≤90 days","OK"))),"Check date"))</f>
        <v/>
      </c>
      <c r="M143" s="22" t="n"/>
      <c r="N143" s="24">
        <f>IF(ISNUMBER(M143),DATE(YEAR(M143)+2,MONTH(M143),DAY(M143)),"")</f>
        <v/>
      </c>
      <c r="O143" s="21" t="n"/>
      <c r="P143" s="21" t="n"/>
      <c r="Q143" s="21" t="n"/>
    </row>
    <row r="144">
      <c r="A144" s="21" t="n"/>
      <c r="B144" s="21" t="n"/>
      <c r="C144" s="22" t="n"/>
      <c r="D144" s="21" t="n"/>
      <c r="E144" s="21" t="n"/>
      <c r="F144" s="22" t="n"/>
      <c r="G144" s="21" t="n"/>
      <c r="H144" s="22" t="n"/>
      <c r="I144" s="23" t="n"/>
      <c r="J144" s="24">
        <f>IF(ISNUMBER(H144),H144-IF(ISNUMBER(I144),I144,30),"")</f>
        <v/>
      </c>
      <c r="K144" s="25">
        <f>IF(H144="","",IF(ISNUMBER(H144),H144-TODAY(),"Check date"))</f>
        <v/>
      </c>
      <c r="L144" s="26">
        <f>IF(K144="","",IF(ISNUMBER(K144),IF(K144&lt;0,"Expired",IF(K144&lt;=30,"Due ≤30 days",IF(K144&lt;=90,"Due ≤90 days","OK"))),"Check date"))</f>
        <v/>
      </c>
      <c r="M144" s="22" t="n"/>
      <c r="N144" s="24">
        <f>IF(ISNUMBER(M144),DATE(YEAR(M144)+2,MONTH(M144),DAY(M144)),"")</f>
        <v/>
      </c>
      <c r="O144" s="21" t="n"/>
      <c r="P144" s="21" t="n"/>
      <c r="Q144" s="21" t="n"/>
    </row>
    <row r="145">
      <c r="A145" s="21" t="n"/>
      <c r="B145" s="21" t="n"/>
      <c r="C145" s="22" t="n"/>
      <c r="D145" s="21" t="n"/>
      <c r="E145" s="21" t="n"/>
      <c r="F145" s="22" t="n"/>
      <c r="G145" s="21" t="n"/>
      <c r="H145" s="22" t="n"/>
      <c r="I145" s="23" t="n"/>
      <c r="J145" s="24">
        <f>IF(ISNUMBER(H145),H145-IF(ISNUMBER(I145),I145,30),"")</f>
        <v/>
      </c>
      <c r="K145" s="25">
        <f>IF(H145="","",IF(ISNUMBER(H145),H145-TODAY(),"Check date"))</f>
        <v/>
      </c>
      <c r="L145" s="26">
        <f>IF(K145="","",IF(ISNUMBER(K145),IF(K145&lt;0,"Expired",IF(K145&lt;=30,"Due ≤30 days",IF(K145&lt;=90,"Due ≤90 days","OK"))),"Check date"))</f>
        <v/>
      </c>
      <c r="M145" s="22" t="n"/>
      <c r="N145" s="24">
        <f>IF(ISNUMBER(M145),DATE(YEAR(M145)+2,MONTH(M145),DAY(M145)),"")</f>
        <v/>
      </c>
      <c r="O145" s="21" t="n"/>
      <c r="P145" s="21" t="n"/>
      <c r="Q145" s="21" t="n"/>
    </row>
    <row r="146">
      <c r="A146" s="21" t="n"/>
      <c r="B146" s="21" t="n"/>
      <c r="C146" s="22" t="n"/>
      <c r="D146" s="21" t="n"/>
      <c r="E146" s="21" t="n"/>
      <c r="F146" s="22" t="n"/>
      <c r="G146" s="21" t="n"/>
      <c r="H146" s="22" t="n"/>
      <c r="I146" s="23" t="n"/>
      <c r="J146" s="24">
        <f>IF(ISNUMBER(H146),H146-IF(ISNUMBER(I146),I146,30),"")</f>
        <v/>
      </c>
      <c r="K146" s="25">
        <f>IF(H146="","",IF(ISNUMBER(H146),H146-TODAY(),"Check date"))</f>
        <v/>
      </c>
      <c r="L146" s="26">
        <f>IF(K146="","",IF(ISNUMBER(K146),IF(K146&lt;0,"Expired",IF(K146&lt;=30,"Due ≤30 days",IF(K146&lt;=90,"Due ≤90 days","OK"))),"Check date"))</f>
        <v/>
      </c>
      <c r="M146" s="22" t="n"/>
      <c r="N146" s="24">
        <f>IF(ISNUMBER(M146),DATE(YEAR(M146)+2,MONTH(M146),DAY(M146)),"")</f>
        <v/>
      </c>
      <c r="O146" s="21" t="n"/>
      <c r="P146" s="21" t="n"/>
      <c r="Q146" s="21" t="n"/>
    </row>
    <row r="147">
      <c r="A147" s="21" t="n"/>
      <c r="B147" s="21" t="n"/>
      <c r="C147" s="22" t="n"/>
      <c r="D147" s="21" t="n"/>
      <c r="E147" s="21" t="n"/>
      <c r="F147" s="22" t="n"/>
      <c r="G147" s="21" t="n"/>
      <c r="H147" s="22" t="n"/>
      <c r="I147" s="23" t="n"/>
      <c r="J147" s="24">
        <f>IF(ISNUMBER(H147),H147-IF(ISNUMBER(I147),I147,30),"")</f>
        <v/>
      </c>
      <c r="K147" s="25">
        <f>IF(H147="","",IF(ISNUMBER(H147),H147-TODAY(),"Check date"))</f>
        <v/>
      </c>
      <c r="L147" s="26">
        <f>IF(K147="","",IF(ISNUMBER(K147),IF(K147&lt;0,"Expired",IF(K147&lt;=30,"Due ≤30 days",IF(K147&lt;=90,"Due ≤90 days","OK"))),"Check date"))</f>
        <v/>
      </c>
      <c r="M147" s="22" t="n"/>
      <c r="N147" s="24">
        <f>IF(ISNUMBER(M147),DATE(YEAR(M147)+2,MONTH(M147),DAY(M147)),"")</f>
        <v/>
      </c>
      <c r="O147" s="21" t="n"/>
      <c r="P147" s="21" t="n"/>
      <c r="Q147" s="21" t="n"/>
    </row>
    <row r="148">
      <c r="A148" s="21" t="n"/>
      <c r="B148" s="21" t="n"/>
      <c r="C148" s="22" t="n"/>
      <c r="D148" s="21" t="n"/>
      <c r="E148" s="21" t="n"/>
      <c r="F148" s="22" t="n"/>
      <c r="G148" s="21" t="n"/>
      <c r="H148" s="22" t="n"/>
      <c r="I148" s="23" t="n"/>
      <c r="J148" s="24">
        <f>IF(ISNUMBER(H148),H148-IF(ISNUMBER(I148),I148,30),"")</f>
        <v/>
      </c>
      <c r="K148" s="25">
        <f>IF(H148="","",IF(ISNUMBER(H148),H148-TODAY(),"Check date"))</f>
        <v/>
      </c>
      <c r="L148" s="26">
        <f>IF(K148="","",IF(ISNUMBER(K148),IF(K148&lt;0,"Expired",IF(K148&lt;=30,"Due ≤30 days",IF(K148&lt;=90,"Due ≤90 days","OK"))),"Check date"))</f>
        <v/>
      </c>
      <c r="M148" s="22" t="n"/>
      <c r="N148" s="24">
        <f>IF(ISNUMBER(M148),DATE(YEAR(M148)+2,MONTH(M148),DAY(M148)),"")</f>
        <v/>
      </c>
      <c r="O148" s="21" t="n"/>
      <c r="P148" s="21" t="n"/>
      <c r="Q148" s="21" t="n"/>
    </row>
    <row r="149">
      <c r="A149" s="21" t="n"/>
      <c r="B149" s="21" t="n"/>
      <c r="C149" s="22" t="n"/>
      <c r="D149" s="21" t="n"/>
      <c r="E149" s="21" t="n"/>
      <c r="F149" s="22" t="n"/>
      <c r="G149" s="21" t="n"/>
      <c r="H149" s="22" t="n"/>
      <c r="I149" s="23" t="n"/>
      <c r="J149" s="24">
        <f>IF(ISNUMBER(H149),H149-IF(ISNUMBER(I149),I149,30),"")</f>
        <v/>
      </c>
      <c r="K149" s="25">
        <f>IF(H149="","",IF(ISNUMBER(H149),H149-TODAY(),"Check date"))</f>
        <v/>
      </c>
      <c r="L149" s="26">
        <f>IF(K149="","",IF(ISNUMBER(K149),IF(K149&lt;0,"Expired",IF(K149&lt;=30,"Due ≤30 days",IF(K149&lt;=90,"Due ≤90 days","OK"))),"Check date"))</f>
        <v/>
      </c>
      <c r="M149" s="22" t="n"/>
      <c r="N149" s="24">
        <f>IF(ISNUMBER(M149),DATE(YEAR(M149)+2,MONTH(M149),DAY(M149)),"")</f>
        <v/>
      </c>
      <c r="O149" s="21" t="n"/>
      <c r="P149" s="21" t="n"/>
      <c r="Q149" s="21" t="n"/>
    </row>
    <row r="150">
      <c r="A150" s="21" t="n"/>
      <c r="B150" s="21" t="n"/>
      <c r="C150" s="22" t="n"/>
      <c r="D150" s="21" t="n"/>
      <c r="E150" s="21" t="n"/>
      <c r="F150" s="22" t="n"/>
      <c r="G150" s="21" t="n"/>
      <c r="H150" s="22" t="n"/>
      <c r="I150" s="23" t="n"/>
      <c r="J150" s="24">
        <f>IF(ISNUMBER(H150),H150-IF(ISNUMBER(I150),I150,30),"")</f>
        <v/>
      </c>
      <c r="K150" s="25">
        <f>IF(H150="","",IF(ISNUMBER(H150),H150-TODAY(),"Check date"))</f>
        <v/>
      </c>
      <c r="L150" s="26">
        <f>IF(K150="","",IF(ISNUMBER(K150),IF(K150&lt;0,"Expired",IF(K150&lt;=30,"Due ≤30 days",IF(K150&lt;=90,"Due ≤90 days","OK"))),"Check date"))</f>
        <v/>
      </c>
      <c r="M150" s="22" t="n"/>
      <c r="N150" s="24">
        <f>IF(ISNUMBER(M150),DATE(YEAR(M150)+2,MONTH(M150),DAY(M150)),"")</f>
        <v/>
      </c>
      <c r="O150" s="21" t="n"/>
      <c r="P150" s="21" t="n"/>
      <c r="Q150" s="21" t="n"/>
    </row>
    <row r="151">
      <c r="A151" s="21" t="n"/>
      <c r="B151" s="21" t="n"/>
      <c r="C151" s="22" t="n"/>
      <c r="D151" s="21" t="n"/>
      <c r="E151" s="21" t="n"/>
      <c r="F151" s="22" t="n"/>
      <c r="G151" s="21" t="n"/>
      <c r="H151" s="22" t="n"/>
      <c r="I151" s="23" t="n"/>
      <c r="J151" s="24">
        <f>IF(ISNUMBER(H151),H151-IF(ISNUMBER(I151),I151,30),"")</f>
        <v/>
      </c>
      <c r="K151" s="25">
        <f>IF(H151="","",IF(ISNUMBER(H151),H151-TODAY(),"Check date"))</f>
        <v/>
      </c>
      <c r="L151" s="26">
        <f>IF(K151="","",IF(ISNUMBER(K151),IF(K151&lt;0,"Expired",IF(K151&lt;=30,"Due ≤30 days",IF(K151&lt;=90,"Due ≤90 days","OK"))),"Check date"))</f>
        <v/>
      </c>
      <c r="M151" s="22" t="n"/>
      <c r="N151" s="24">
        <f>IF(ISNUMBER(M151),DATE(YEAR(M151)+2,MONTH(M151),DAY(M151)),"")</f>
        <v/>
      </c>
      <c r="O151" s="21" t="n"/>
      <c r="P151" s="21" t="n"/>
      <c r="Q151" s="21" t="n"/>
    </row>
    <row r="152">
      <c r="A152" s="21" t="n"/>
      <c r="B152" s="21" t="n"/>
      <c r="C152" s="22" t="n"/>
      <c r="D152" s="21" t="n"/>
      <c r="E152" s="21" t="n"/>
      <c r="F152" s="22" t="n"/>
      <c r="G152" s="21" t="n"/>
      <c r="H152" s="22" t="n"/>
      <c r="I152" s="23" t="n"/>
      <c r="J152" s="24">
        <f>IF(ISNUMBER(H152),H152-IF(ISNUMBER(I152),I152,30),"")</f>
        <v/>
      </c>
      <c r="K152" s="25">
        <f>IF(H152="","",IF(ISNUMBER(H152),H152-TODAY(),"Check date"))</f>
        <v/>
      </c>
      <c r="L152" s="26">
        <f>IF(K152="","",IF(ISNUMBER(K152),IF(K152&lt;0,"Expired",IF(K152&lt;=30,"Due ≤30 days",IF(K152&lt;=90,"Due ≤90 days","OK"))),"Check date"))</f>
        <v/>
      </c>
      <c r="M152" s="22" t="n"/>
      <c r="N152" s="24">
        <f>IF(ISNUMBER(M152),DATE(YEAR(M152)+2,MONTH(M152),DAY(M152)),"")</f>
        <v/>
      </c>
      <c r="O152" s="21" t="n"/>
      <c r="P152" s="21" t="n"/>
      <c r="Q152" s="21" t="n"/>
    </row>
    <row r="153">
      <c r="A153" s="21" t="n"/>
      <c r="B153" s="21" t="n"/>
      <c r="C153" s="22" t="n"/>
      <c r="D153" s="21" t="n"/>
      <c r="E153" s="21" t="n"/>
      <c r="F153" s="22" t="n"/>
      <c r="G153" s="21" t="n"/>
      <c r="H153" s="22" t="n"/>
      <c r="I153" s="23" t="n"/>
      <c r="J153" s="24">
        <f>IF(ISNUMBER(H153),H153-IF(ISNUMBER(I153),I153,30),"")</f>
        <v/>
      </c>
      <c r="K153" s="25">
        <f>IF(H153="","",IF(ISNUMBER(H153),H153-TODAY(),"Check date"))</f>
        <v/>
      </c>
      <c r="L153" s="26">
        <f>IF(K153="","",IF(ISNUMBER(K153),IF(K153&lt;0,"Expired",IF(K153&lt;=30,"Due ≤30 days",IF(K153&lt;=90,"Due ≤90 days","OK"))),"Check date"))</f>
        <v/>
      </c>
      <c r="M153" s="22" t="n"/>
      <c r="N153" s="24">
        <f>IF(ISNUMBER(M153),DATE(YEAR(M153)+2,MONTH(M153),DAY(M153)),"")</f>
        <v/>
      </c>
      <c r="O153" s="21" t="n"/>
      <c r="P153" s="21" t="n"/>
      <c r="Q153" s="21" t="n"/>
    </row>
    <row r="154">
      <c r="A154" s="21" t="n"/>
      <c r="B154" s="21" t="n"/>
      <c r="C154" s="22" t="n"/>
      <c r="D154" s="21" t="n"/>
      <c r="E154" s="21" t="n"/>
      <c r="F154" s="22" t="n"/>
      <c r="G154" s="21" t="n"/>
      <c r="H154" s="22" t="n"/>
      <c r="I154" s="23" t="n"/>
      <c r="J154" s="24">
        <f>IF(ISNUMBER(H154),H154-IF(ISNUMBER(I154),I154,30),"")</f>
        <v/>
      </c>
      <c r="K154" s="25">
        <f>IF(H154="","",IF(ISNUMBER(H154),H154-TODAY(),"Check date"))</f>
        <v/>
      </c>
      <c r="L154" s="26">
        <f>IF(K154="","",IF(ISNUMBER(K154),IF(K154&lt;0,"Expired",IF(K154&lt;=30,"Due ≤30 days",IF(K154&lt;=90,"Due ≤90 days","OK"))),"Check date"))</f>
        <v/>
      </c>
      <c r="M154" s="22" t="n"/>
      <c r="N154" s="24">
        <f>IF(ISNUMBER(M154),DATE(YEAR(M154)+2,MONTH(M154),DAY(M154)),"")</f>
        <v/>
      </c>
      <c r="O154" s="21" t="n"/>
      <c r="P154" s="21" t="n"/>
      <c r="Q154" s="21" t="n"/>
    </row>
    <row r="155">
      <c r="A155" s="21" t="n"/>
      <c r="B155" s="21" t="n"/>
      <c r="C155" s="22" t="n"/>
      <c r="D155" s="21" t="n"/>
      <c r="E155" s="21" t="n"/>
      <c r="F155" s="22" t="n"/>
      <c r="G155" s="21" t="n"/>
      <c r="H155" s="22" t="n"/>
      <c r="I155" s="23" t="n"/>
      <c r="J155" s="24">
        <f>IF(ISNUMBER(H155),H155-IF(ISNUMBER(I155),I155,30),"")</f>
        <v/>
      </c>
      <c r="K155" s="25">
        <f>IF(H155="","",IF(ISNUMBER(H155),H155-TODAY(),"Check date"))</f>
        <v/>
      </c>
      <c r="L155" s="26">
        <f>IF(K155="","",IF(ISNUMBER(K155),IF(K155&lt;0,"Expired",IF(K155&lt;=30,"Due ≤30 days",IF(K155&lt;=90,"Due ≤90 days","OK"))),"Check date"))</f>
        <v/>
      </c>
      <c r="M155" s="22" t="n"/>
      <c r="N155" s="24">
        <f>IF(ISNUMBER(M155),DATE(YEAR(M155)+2,MONTH(M155),DAY(M155)),"")</f>
        <v/>
      </c>
      <c r="O155" s="21" t="n"/>
      <c r="P155" s="21" t="n"/>
      <c r="Q155" s="21" t="n"/>
    </row>
    <row r="156">
      <c r="A156" s="21" t="n"/>
      <c r="B156" s="21" t="n"/>
      <c r="C156" s="22" t="n"/>
      <c r="D156" s="21" t="n"/>
      <c r="E156" s="21" t="n"/>
      <c r="F156" s="22" t="n"/>
      <c r="G156" s="21" t="n"/>
      <c r="H156" s="22" t="n"/>
      <c r="I156" s="23" t="n"/>
      <c r="J156" s="24">
        <f>IF(ISNUMBER(H156),H156-IF(ISNUMBER(I156),I156,30),"")</f>
        <v/>
      </c>
      <c r="K156" s="25">
        <f>IF(H156="","",IF(ISNUMBER(H156),H156-TODAY(),"Check date"))</f>
        <v/>
      </c>
      <c r="L156" s="26">
        <f>IF(K156="","",IF(ISNUMBER(K156),IF(K156&lt;0,"Expired",IF(K156&lt;=30,"Due ≤30 days",IF(K156&lt;=90,"Due ≤90 days","OK"))),"Check date"))</f>
        <v/>
      </c>
      <c r="M156" s="22" t="n"/>
      <c r="N156" s="24">
        <f>IF(ISNUMBER(M156),DATE(YEAR(M156)+2,MONTH(M156),DAY(M156)),"")</f>
        <v/>
      </c>
      <c r="O156" s="21" t="n"/>
      <c r="P156" s="21" t="n"/>
      <c r="Q156" s="21" t="n"/>
    </row>
    <row r="157">
      <c r="A157" s="21" t="n"/>
      <c r="B157" s="21" t="n"/>
      <c r="C157" s="22" t="n"/>
      <c r="D157" s="21" t="n"/>
      <c r="E157" s="21" t="n"/>
      <c r="F157" s="22" t="n"/>
      <c r="G157" s="21" t="n"/>
      <c r="H157" s="22" t="n"/>
      <c r="I157" s="23" t="n"/>
      <c r="J157" s="24">
        <f>IF(ISNUMBER(H157),H157-IF(ISNUMBER(I157),I157,30),"")</f>
        <v/>
      </c>
      <c r="K157" s="25">
        <f>IF(H157="","",IF(ISNUMBER(H157),H157-TODAY(),"Check date"))</f>
        <v/>
      </c>
      <c r="L157" s="26">
        <f>IF(K157="","",IF(ISNUMBER(K157),IF(K157&lt;0,"Expired",IF(K157&lt;=30,"Due ≤30 days",IF(K157&lt;=90,"Due ≤90 days","OK"))),"Check date"))</f>
        <v/>
      </c>
      <c r="M157" s="22" t="n"/>
      <c r="N157" s="24">
        <f>IF(ISNUMBER(M157),DATE(YEAR(M157)+2,MONTH(M157),DAY(M157)),"")</f>
        <v/>
      </c>
      <c r="O157" s="21" t="n"/>
      <c r="P157" s="21" t="n"/>
      <c r="Q157" s="21" t="n"/>
    </row>
    <row r="158">
      <c r="A158" s="21" t="n"/>
      <c r="B158" s="21" t="n"/>
      <c r="C158" s="22" t="n"/>
      <c r="D158" s="21" t="n"/>
      <c r="E158" s="21" t="n"/>
      <c r="F158" s="22" t="n"/>
      <c r="G158" s="21" t="n"/>
      <c r="H158" s="22" t="n"/>
      <c r="I158" s="23" t="n"/>
      <c r="J158" s="24">
        <f>IF(ISNUMBER(H158),H158-IF(ISNUMBER(I158),I158,30),"")</f>
        <v/>
      </c>
      <c r="K158" s="25">
        <f>IF(H158="","",IF(ISNUMBER(H158),H158-TODAY(),"Check date"))</f>
        <v/>
      </c>
      <c r="L158" s="26">
        <f>IF(K158="","",IF(ISNUMBER(K158),IF(K158&lt;0,"Expired",IF(K158&lt;=30,"Due ≤30 days",IF(K158&lt;=90,"Due ≤90 days","OK"))),"Check date"))</f>
        <v/>
      </c>
      <c r="M158" s="22" t="n"/>
      <c r="N158" s="24">
        <f>IF(ISNUMBER(M158),DATE(YEAR(M158)+2,MONTH(M158),DAY(M158)),"")</f>
        <v/>
      </c>
      <c r="O158" s="21" t="n"/>
      <c r="P158" s="21" t="n"/>
      <c r="Q158" s="21" t="n"/>
    </row>
    <row r="159">
      <c r="A159" s="21" t="n"/>
      <c r="B159" s="21" t="n"/>
      <c r="C159" s="22" t="n"/>
      <c r="D159" s="21" t="n"/>
      <c r="E159" s="21" t="n"/>
      <c r="F159" s="22" t="n"/>
      <c r="G159" s="21" t="n"/>
      <c r="H159" s="22" t="n"/>
      <c r="I159" s="23" t="n"/>
      <c r="J159" s="24">
        <f>IF(ISNUMBER(H159),H159-IF(ISNUMBER(I159),I159,30),"")</f>
        <v/>
      </c>
      <c r="K159" s="25">
        <f>IF(H159="","",IF(ISNUMBER(H159),H159-TODAY(),"Check date"))</f>
        <v/>
      </c>
      <c r="L159" s="26">
        <f>IF(K159="","",IF(ISNUMBER(K159),IF(K159&lt;0,"Expired",IF(K159&lt;=30,"Due ≤30 days",IF(K159&lt;=90,"Due ≤90 days","OK"))),"Check date"))</f>
        <v/>
      </c>
      <c r="M159" s="22" t="n"/>
      <c r="N159" s="24">
        <f>IF(ISNUMBER(M159),DATE(YEAR(M159)+2,MONTH(M159),DAY(M159)),"")</f>
        <v/>
      </c>
      <c r="O159" s="21" t="n"/>
      <c r="P159" s="21" t="n"/>
      <c r="Q159" s="21" t="n"/>
    </row>
    <row r="160">
      <c r="A160" s="21" t="n"/>
      <c r="B160" s="21" t="n"/>
      <c r="C160" s="22" t="n"/>
      <c r="D160" s="21" t="n"/>
      <c r="E160" s="21" t="n"/>
      <c r="F160" s="22" t="n"/>
      <c r="G160" s="21" t="n"/>
      <c r="H160" s="22" t="n"/>
      <c r="I160" s="23" t="n"/>
      <c r="J160" s="24">
        <f>IF(ISNUMBER(H160),H160-IF(ISNUMBER(I160),I160,30),"")</f>
        <v/>
      </c>
      <c r="K160" s="25">
        <f>IF(H160="","",IF(ISNUMBER(H160),H160-TODAY(),"Check date"))</f>
        <v/>
      </c>
      <c r="L160" s="26">
        <f>IF(K160="","",IF(ISNUMBER(K160),IF(K160&lt;0,"Expired",IF(K160&lt;=30,"Due ≤30 days",IF(K160&lt;=90,"Due ≤90 days","OK"))),"Check date"))</f>
        <v/>
      </c>
      <c r="M160" s="22" t="n"/>
      <c r="N160" s="24">
        <f>IF(ISNUMBER(M160),DATE(YEAR(M160)+2,MONTH(M160),DAY(M160)),"")</f>
        <v/>
      </c>
      <c r="O160" s="21" t="n"/>
      <c r="P160" s="21" t="n"/>
      <c r="Q160" s="21" t="n"/>
    </row>
    <row r="161">
      <c r="A161" s="21" t="n"/>
      <c r="B161" s="21" t="n"/>
      <c r="C161" s="22" t="n"/>
      <c r="D161" s="21" t="n"/>
      <c r="E161" s="21" t="n"/>
      <c r="F161" s="22" t="n"/>
      <c r="G161" s="21" t="n"/>
      <c r="H161" s="22" t="n"/>
      <c r="I161" s="23" t="n"/>
      <c r="J161" s="24">
        <f>IF(ISNUMBER(H161),H161-IF(ISNUMBER(I161),I161,30),"")</f>
        <v/>
      </c>
      <c r="K161" s="25">
        <f>IF(H161="","",IF(ISNUMBER(H161),H161-TODAY(),"Check date"))</f>
        <v/>
      </c>
      <c r="L161" s="26">
        <f>IF(K161="","",IF(ISNUMBER(K161),IF(K161&lt;0,"Expired",IF(K161&lt;=30,"Due ≤30 days",IF(K161&lt;=90,"Due ≤90 days","OK"))),"Check date"))</f>
        <v/>
      </c>
      <c r="M161" s="22" t="n"/>
      <c r="N161" s="24">
        <f>IF(ISNUMBER(M161),DATE(YEAR(M161)+2,MONTH(M161),DAY(M161)),"")</f>
        <v/>
      </c>
      <c r="O161" s="21" t="n"/>
      <c r="P161" s="21" t="n"/>
      <c r="Q161" s="21" t="n"/>
    </row>
    <row r="162">
      <c r="A162" s="21" t="n"/>
      <c r="B162" s="21" t="n"/>
      <c r="C162" s="22" t="n"/>
      <c r="D162" s="21" t="n"/>
      <c r="E162" s="21" t="n"/>
      <c r="F162" s="22" t="n"/>
      <c r="G162" s="21" t="n"/>
      <c r="H162" s="22" t="n"/>
      <c r="I162" s="23" t="n"/>
      <c r="J162" s="24">
        <f>IF(ISNUMBER(H162),H162-IF(ISNUMBER(I162),I162,30),"")</f>
        <v/>
      </c>
      <c r="K162" s="25">
        <f>IF(H162="","",IF(ISNUMBER(H162),H162-TODAY(),"Check date"))</f>
        <v/>
      </c>
      <c r="L162" s="26">
        <f>IF(K162="","",IF(ISNUMBER(K162),IF(K162&lt;0,"Expired",IF(K162&lt;=30,"Due ≤30 days",IF(K162&lt;=90,"Due ≤90 days","OK"))),"Check date"))</f>
        <v/>
      </c>
      <c r="M162" s="22" t="n"/>
      <c r="N162" s="24">
        <f>IF(ISNUMBER(M162),DATE(YEAR(M162)+2,MONTH(M162),DAY(M162)),"")</f>
        <v/>
      </c>
      <c r="O162" s="21" t="n"/>
      <c r="P162" s="21" t="n"/>
      <c r="Q162" s="21" t="n"/>
    </row>
    <row r="163">
      <c r="A163" s="21" t="n"/>
      <c r="B163" s="21" t="n"/>
      <c r="C163" s="22" t="n"/>
      <c r="D163" s="21" t="n"/>
      <c r="E163" s="21" t="n"/>
      <c r="F163" s="22" t="n"/>
      <c r="G163" s="21" t="n"/>
      <c r="H163" s="22" t="n"/>
      <c r="I163" s="23" t="n"/>
      <c r="J163" s="24">
        <f>IF(ISNUMBER(H163),H163-IF(ISNUMBER(I163),I163,30),"")</f>
        <v/>
      </c>
      <c r="K163" s="25">
        <f>IF(H163="","",IF(ISNUMBER(H163),H163-TODAY(),"Check date"))</f>
        <v/>
      </c>
      <c r="L163" s="26">
        <f>IF(K163="","",IF(ISNUMBER(K163),IF(K163&lt;0,"Expired",IF(K163&lt;=30,"Due ≤30 days",IF(K163&lt;=90,"Due ≤90 days","OK"))),"Check date"))</f>
        <v/>
      </c>
      <c r="M163" s="22" t="n"/>
      <c r="N163" s="24">
        <f>IF(ISNUMBER(M163),DATE(YEAR(M163)+2,MONTH(M163),DAY(M163)),"")</f>
        <v/>
      </c>
      <c r="O163" s="21" t="n"/>
      <c r="P163" s="21" t="n"/>
      <c r="Q163" s="21" t="n"/>
    </row>
    <row r="164">
      <c r="A164" s="21" t="n"/>
      <c r="B164" s="21" t="n"/>
      <c r="C164" s="22" t="n"/>
      <c r="D164" s="21" t="n"/>
      <c r="E164" s="21" t="n"/>
      <c r="F164" s="22" t="n"/>
      <c r="G164" s="21" t="n"/>
      <c r="H164" s="22" t="n"/>
      <c r="I164" s="23" t="n"/>
      <c r="J164" s="24">
        <f>IF(ISNUMBER(H164),H164-IF(ISNUMBER(I164),I164,30),"")</f>
        <v/>
      </c>
      <c r="K164" s="25">
        <f>IF(H164="","",IF(ISNUMBER(H164),H164-TODAY(),"Check date"))</f>
        <v/>
      </c>
      <c r="L164" s="26">
        <f>IF(K164="","",IF(ISNUMBER(K164),IF(K164&lt;0,"Expired",IF(K164&lt;=30,"Due ≤30 days",IF(K164&lt;=90,"Due ≤90 days","OK"))),"Check date"))</f>
        <v/>
      </c>
      <c r="M164" s="22" t="n"/>
      <c r="N164" s="24">
        <f>IF(ISNUMBER(M164),DATE(YEAR(M164)+2,MONTH(M164),DAY(M164)),"")</f>
        <v/>
      </c>
      <c r="O164" s="21" t="n"/>
      <c r="P164" s="21" t="n"/>
      <c r="Q164" s="21" t="n"/>
    </row>
    <row r="165">
      <c r="A165" s="21" t="n"/>
      <c r="B165" s="21" t="n"/>
      <c r="C165" s="22" t="n"/>
      <c r="D165" s="21" t="n"/>
      <c r="E165" s="21" t="n"/>
      <c r="F165" s="22" t="n"/>
      <c r="G165" s="21" t="n"/>
      <c r="H165" s="22" t="n"/>
      <c r="I165" s="23" t="n"/>
      <c r="J165" s="24">
        <f>IF(ISNUMBER(H165),H165-IF(ISNUMBER(I165),I165,30),"")</f>
        <v/>
      </c>
      <c r="K165" s="25">
        <f>IF(H165="","",IF(ISNUMBER(H165),H165-TODAY(),"Check date"))</f>
        <v/>
      </c>
      <c r="L165" s="26">
        <f>IF(K165="","",IF(ISNUMBER(K165),IF(K165&lt;0,"Expired",IF(K165&lt;=30,"Due ≤30 days",IF(K165&lt;=90,"Due ≤90 days","OK"))),"Check date"))</f>
        <v/>
      </c>
      <c r="M165" s="22" t="n"/>
      <c r="N165" s="24">
        <f>IF(ISNUMBER(M165),DATE(YEAR(M165)+2,MONTH(M165),DAY(M165)),"")</f>
        <v/>
      </c>
      <c r="O165" s="21" t="n"/>
      <c r="P165" s="21" t="n"/>
      <c r="Q165" s="21" t="n"/>
    </row>
    <row r="166">
      <c r="A166" s="21" t="n"/>
      <c r="B166" s="21" t="n"/>
      <c r="C166" s="22" t="n"/>
      <c r="D166" s="21" t="n"/>
      <c r="E166" s="21" t="n"/>
      <c r="F166" s="22" t="n"/>
      <c r="G166" s="21" t="n"/>
      <c r="H166" s="22" t="n"/>
      <c r="I166" s="23" t="n"/>
      <c r="J166" s="24">
        <f>IF(ISNUMBER(H166),H166-IF(ISNUMBER(I166),I166,30),"")</f>
        <v/>
      </c>
      <c r="K166" s="25">
        <f>IF(H166="","",IF(ISNUMBER(H166),H166-TODAY(),"Check date"))</f>
        <v/>
      </c>
      <c r="L166" s="26">
        <f>IF(K166="","",IF(ISNUMBER(K166),IF(K166&lt;0,"Expired",IF(K166&lt;=30,"Due ≤30 days",IF(K166&lt;=90,"Due ≤90 days","OK"))),"Check date"))</f>
        <v/>
      </c>
      <c r="M166" s="22" t="n"/>
      <c r="N166" s="24">
        <f>IF(ISNUMBER(M166),DATE(YEAR(M166)+2,MONTH(M166),DAY(M166)),"")</f>
        <v/>
      </c>
      <c r="O166" s="21" t="n"/>
      <c r="P166" s="21" t="n"/>
      <c r="Q166" s="21" t="n"/>
    </row>
    <row r="167">
      <c r="A167" s="21" t="n"/>
      <c r="B167" s="21" t="n"/>
      <c r="C167" s="22" t="n"/>
      <c r="D167" s="21" t="n"/>
      <c r="E167" s="21" t="n"/>
      <c r="F167" s="22" t="n"/>
      <c r="G167" s="21" t="n"/>
      <c r="H167" s="22" t="n"/>
      <c r="I167" s="23" t="n"/>
      <c r="J167" s="24">
        <f>IF(ISNUMBER(H167),H167-IF(ISNUMBER(I167),I167,30),"")</f>
        <v/>
      </c>
      <c r="K167" s="25">
        <f>IF(H167="","",IF(ISNUMBER(H167),H167-TODAY(),"Check date"))</f>
        <v/>
      </c>
      <c r="L167" s="26">
        <f>IF(K167="","",IF(ISNUMBER(K167),IF(K167&lt;0,"Expired",IF(K167&lt;=30,"Due ≤30 days",IF(K167&lt;=90,"Due ≤90 days","OK"))),"Check date"))</f>
        <v/>
      </c>
      <c r="M167" s="22" t="n"/>
      <c r="N167" s="24">
        <f>IF(ISNUMBER(M167),DATE(YEAR(M167)+2,MONTH(M167),DAY(M167)),"")</f>
        <v/>
      </c>
      <c r="O167" s="21" t="n"/>
      <c r="P167" s="21" t="n"/>
      <c r="Q167" s="21" t="n"/>
    </row>
    <row r="168">
      <c r="A168" s="21" t="n"/>
      <c r="B168" s="21" t="n"/>
      <c r="C168" s="22" t="n"/>
      <c r="D168" s="21" t="n"/>
      <c r="E168" s="21" t="n"/>
      <c r="F168" s="22" t="n"/>
      <c r="G168" s="21" t="n"/>
      <c r="H168" s="22" t="n"/>
      <c r="I168" s="23" t="n"/>
      <c r="J168" s="24">
        <f>IF(ISNUMBER(H168),H168-IF(ISNUMBER(I168),I168,30),"")</f>
        <v/>
      </c>
      <c r="K168" s="25">
        <f>IF(H168="","",IF(ISNUMBER(H168),H168-TODAY(),"Check date"))</f>
        <v/>
      </c>
      <c r="L168" s="26">
        <f>IF(K168="","",IF(ISNUMBER(K168),IF(K168&lt;0,"Expired",IF(K168&lt;=30,"Due ≤30 days",IF(K168&lt;=90,"Due ≤90 days","OK"))),"Check date"))</f>
        <v/>
      </c>
      <c r="M168" s="22" t="n"/>
      <c r="N168" s="24">
        <f>IF(ISNUMBER(M168),DATE(YEAR(M168)+2,MONTH(M168),DAY(M168)),"")</f>
        <v/>
      </c>
      <c r="O168" s="21" t="n"/>
      <c r="P168" s="21" t="n"/>
      <c r="Q168" s="21" t="n"/>
    </row>
    <row r="169">
      <c r="A169" s="21" t="n"/>
      <c r="B169" s="21" t="n"/>
      <c r="C169" s="22" t="n"/>
      <c r="D169" s="21" t="n"/>
      <c r="E169" s="21" t="n"/>
      <c r="F169" s="22" t="n"/>
      <c r="G169" s="21" t="n"/>
      <c r="H169" s="22" t="n"/>
      <c r="I169" s="23" t="n"/>
      <c r="J169" s="24">
        <f>IF(ISNUMBER(H169),H169-IF(ISNUMBER(I169),I169,30),"")</f>
        <v/>
      </c>
      <c r="K169" s="25">
        <f>IF(H169="","",IF(ISNUMBER(H169),H169-TODAY(),"Check date"))</f>
        <v/>
      </c>
      <c r="L169" s="26">
        <f>IF(K169="","",IF(ISNUMBER(K169),IF(K169&lt;0,"Expired",IF(K169&lt;=30,"Due ≤30 days",IF(K169&lt;=90,"Due ≤90 days","OK"))),"Check date"))</f>
        <v/>
      </c>
      <c r="M169" s="22" t="n"/>
      <c r="N169" s="24">
        <f>IF(ISNUMBER(M169),DATE(YEAR(M169)+2,MONTH(M169),DAY(M169)),"")</f>
        <v/>
      </c>
      <c r="O169" s="21" t="n"/>
      <c r="P169" s="21" t="n"/>
      <c r="Q169" s="21" t="n"/>
    </row>
    <row r="170">
      <c r="A170" s="21" t="n"/>
      <c r="B170" s="21" t="n"/>
      <c r="C170" s="22" t="n"/>
      <c r="D170" s="21" t="n"/>
      <c r="E170" s="21" t="n"/>
      <c r="F170" s="22" t="n"/>
      <c r="G170" s="21" t="n"/>
      <c r="H170" s="22" t="n"/>
      <c r="I170" s="23" t="n"/>
      <c r="J170" s="24">
        <f>IF(ISNUMBER(H170),H170-IF(ISNUMBER(I170),I170,30),"")</f>
        <v/>
      </c>
      <c r="K170" s="25">
        <f>IF(H170="","",IF(ISNUMBER(H170),H170-TODAY(),"Check date"))</f>
        <v/>
      </c>
      <c r="L170" s="26">
        <f>IF(K170="","",IF(ISNUMBER(K170),IF(K170&lt;0,"Expired",IF(K170&lt;=30,"Due ≤30 days",IF(K170&lt;=90,"Due ≤90 days","OK"))),"Check date"))</f>
        <v/>
      </c>
      <c r="M170" s="22" t="n"/>
      <c r="N170" s="24">
        <f>IF(ISNUMBER(M170),DATE(YEAR(M170)+2,MONTH(M170),DAY(M170)),"")</f>
        <v/>
      </c>
      <c r="O170" s="21" t="n"/>
      <c r="P170" s="21" t="n"/>
      <c r="Q170" s="21" t="n"/>
    </row>
    <row r="171">
      <c r="A171" s="21" t="n"/>
      <c r="B171" s="21" t="n"/>
      <c r="C171" s="22" t="n"/>
      <c r="D171" s="21" t="n"/>
      <c r="E171" s="21" t="n"/>
      <c r="F171" s="22" t="n"/>
      <c r="G171" s="21" t="n"/>
      <c r="H171" s="22" t="n"/>
      <c r="I171" s="23" t="n"/>
      <c r="J171" s="24">
        <f>IF(ISNUMBER(H171),H171-IF(ISNUMBER(I171),I171,30),"")</f>
        <v/>
      </c>
      <c r="K171" s="25">
        <f>IF(H171="","",IF(ISNUMBER(H171),H171-TODAY(),"Check date"))</f>
        <v/>
      </c>
      <c r="L171" s="26">
        <f>IF(K171="","",IF(ISNUMBER(K171),IF(K171&lt;0,"Expired",IF(K171&lt;=30,"Due ≤30 days",IF(K171&lt;=90,"Due ≤90 days","OK"))),"Check date"))</f>
        <v/>
      </c>
      <c r="M171" s="22" t="n"/>
      <c r="N171" s="24">
        <f>IF(ISNUMBER(M171),DATE(YEAR(M171)+2,MONTH(M171),DAY(M171)),"")</f>
        <v/>
      </c>
      <c r="O171" s="21" t="n"/>
      <c r="P171" s="21" t="n"/>
      <c r="Q171" s="21" t="n"/>
    </row>
    <row r="172">
      <c r="A172" s="21" t="n"/>
      <c r="B172" s="21" t="n"/>
      <c r="C172" s="22" t="n"/>
      <c r="D172" s="21" t="n"/>
      <c r="E172" s="21" t="n"/>
      <c r="F172" s="22" t="n"/>
      <c r="G172" s="21" t="n"/>
      <c r="H172" s="22" t="n"/>
      <c r="I172" s="23" t="n"/>
      <c r="J172" s="24">
        <f>IF(ISNUMBER(H172),H172-IF(ISNUMBER(I172),I172,30),"")</f>
        <v/>
      </c>
      <c r="K172" s="25">
        <f>IF(H172="","",IF(ISNUMBER(H172),H172-TODAY(),"Check date"))</f>
        <v/>
      </c>
      <c r="L172" s="26">
        <f>IF(K172="","",IF(ISNUMBER(K172),IF(K172&lt;0,"Expired",IF(K172&lt;=30,"Due ≤30 days",IF(K172&lt;=90,"Due ≤90 days","OK"))),"Check date"))</f>
        <v/>
      </c>
      <c r="M172" s="22" t="n"/>
      <c r="N172" s="24">
        <f>IF(ISNUMBER(M172),DATE(YEAR(M172)+2,MONTH(M172),DAY(M172)),"")</f>
        <v/>
      </c>
      <c r="O172" s="21" t="n"/>
      <c r="P172" s="21" t="n"/>
      <c r="Q172" s="21" t="n"/>
    </row>
    <row r="173">
      <c r="A173" s="21" t="n"/>
      <c r="B173" s="21" t="n"/>
      <c r="C173" s="22" t="n"/>
      <c r="D173" s="21" t="n"/>
      <c r="E173" s="21" t="n"/>
      <c r="F173" s="22" t="n"/>
      <c r="G173" s="21" t="n"/>
      <c r="H173" s="22" t="n"/>
      <c r="I173" s="23" t="n"/>
      <c r="J173" s="24">
        <f>IF(ISNUMBER(H173),H173-IF(ISNUMBER(I173),I173,30),"")</f>
        <v/>
      </c>
      <c r="K173" s="25">
        <f>IF(H173="","",IF(ISNUMBER(H173),H173-TODAY(),"Check date"))</f>
        <v/>
      </c>
      <c r="L173" s="26">
        <f>IF(K173="","",IF(ISNUMBER(K173),IF(K173&lt;0,"Expired",IF(K173&lt;=30,"Due ≤30 days",IF(K173&lt;=90,"Due ≤90 days","OK"))),"Check date"))</f>
        <v/>
      </c>
      <c r="M173" s="22" t="n"/>
      <c r="N173" s="24">
        <f>IF(ISNUMBER(M173),DATE(YEAR(M173)+2,MONTH(M173),DAY(M173)),"")</f>
        <v/>
      </c>
      <c r="O173" s="21" t="n"/>
      <c r="P173" s="21" t="n"/>
      <c r="Q173" s="21" t="n"/>
    </row>
    <row r="174">
      <c r="A174" s="21" t="n"/>
      <c r="B174" s="21" t="n"/>
      <c r="C174" s="22" t="n"/>
      <c r="D174" s="21" t="n"/>
      <c r="E174" s="21" t="n"/>
      <c r="F174" s="22" t="n"/>
      <c r="G174" s="21" t="n"/>
      <c r="H174" s="22" t="n"/>
      <c r="I174" s="23" t="n"/>
      <c r="J174" s="24">
        <f>IF(ISNUMBER(H174),H174-IF(ISNUMBER(I174),I174,30),"")</f>
        <v/>
      </c>
      <c r="K174" s="25">
        <f>IF(H174="","",IF(ISNUMBER(H174),H174-TODAY(),"Check date"))</f>
        <v/>
      </c>
      <c r="L174" s="26">
        <f>IF(K174="","",IF(ISNUMBER(K174),IF(K174&lt;0,"Expired",IF(K174&lt;=30,"Due ≤30 days",IF(K174&lt;=90,"Due ≤90 days","OK"))),"Check date"))</f>
        <v/>
      </c>
      <c r="M174" s="22" t="n"/>
      <c r="N174" s="24">
        <f>IF(ISNUMBER(M174),DATE(YEAR(M174)+2,MONTH(M174),DAY(M174)),"")</f>
        <v/>
      </c>
      <c r="O174" s="21" t="n"/>
      <c r="P174" s="21" t="n"/>
      <c r="Q174" s="21" t="n"/>
    </row>
    <row r="175">
      <c r="A175" s="21" t="n"/>
      <c r="B175" s="21" t="n"/>
      <c r="C175" s="22" t="n"/>
      <c r="D175" s="21" t="n"/>
      <c r="E175" s="21" t="n"/>
      <c r="F175" s="22" t="n"/>
      <c r="G175" s="21" t="n"/>
      <c r="H175" s="22" t="n"/>
      <c r="I175" s="23" t="n"/>
      <c r="J175" s="24">
        <f>IF(ISNUMBER(H175),H175-IF(ISNUMBER(I175),I175,30),"")</f>
        <v/>
      </c>
      <c r="K175" s="25">
        <f>IF(H175="","",IF(ISNUMBER(H175),H175-TODAY(),"Check date"))</f>
        <v/>
      </c>
      <c r="L175" s="26">
        <f>IF(K175="","",IF(ISNUMBER(K175),IF(K175&lt;0,"Expired",IF(K175&lt;=30,"Due ≤30 days",IF(K175&lt;=90,"Due ≤90 days","OK"))),"Check date"))</f>
        <v/>
      </c>
      <c r="M175" s="22" t="n"/>
      <c r="N175" s="24">
        <f>IF(ISNUMBER(M175),DATE(YEAR(M175)+2,MONTH(M175),DAY(M175)),"")</f>
        <v/>
      </c>
      <c r="O175" s="21" t="n"/>
      <c r="P175" s="21" t="n"/>
      <c r="Q175" s="21" t="n"/>
    </row>
    <row r="176">
      <c r="A176" s="21" t="n"/>
      <c r="B176" s="21" t="n"/>
      <c r="C176" s="22" t="n"/>
      <c r="D176" s="21" t="n"/>
      <c r="E176" s="21" t="n"/>
      <c r="F176" s="22" t="n"/>
      <c r="G176" s="21" t="n"/>
      <c r="H176" s="22" t="n"/>
      <c r="I176" s="23" t="n"/>
      <c r="J176" s="24">
        <f>IF(ISNUMBER(H176),H176-IF(ISNUMBER(I176),I176,30),"")</f>
        <v/>
      </c>
      <c r="K176" s="25">
        <f>IF(H176="","",IF(ISNUMBER(H176),H176-TODAY(),"Check date"))</f>
        <v/>
      </c>
      <c r="L176" s="26">
        <f>IF(K176="","",IF(ISNUMBER(K176),IF(K176&lt;0,"Expired",IF(K176&lt;=30,"Due ≤30 days",IF(K176&lt;=90,"Due ≤90 days","OK"))),"Check date"))</f>
        <v/>
      </c>
      <c r="M176" s="22" t="n"/>
      <c r="N176" s="24">
        <f>IF(ISNUMBER(M176),DATE(YEAR(M176)+2,MONTH(M176),DAY(M176)),"")</f>
        <v/>
      </c>
      <c r="O176" s="21" t="n"/>
      <c r="P176" s="21" t="n"/>
      <c r="Q176" s="21" t="n"/>
    </row>
    <row r="177">
      <c r="A177" s="21" t="n"/>
      <c r="B177" s="21" t="n"/>
      <c r="C177" s="22" t="n"/>
      <c r="D177" s="21" t="n"/>
      <c r="E177" s="21" t="n"/>
      <c r="F177" s="22" t="n"/>
      <c r="G177" s="21" t="n"/>
      <c r="H177" s="22" t="n"/>
      <c r="I177" s="23" t="n"/>
      <c r="J177" s="24">
        <f>IF(ISNUMBER(H177),H177-IF(ISNUMBER(I177),I177,30),"")</f>
        <v/>
      </c>
      <c r="K177" s="25">
        <f>IF(H177="","",IF(ISNUMBER(H177),H177-TODAY(),"Check date"))</f>
        <v/>
      </c>
      <c r="L177" s="26">
        <f>IF(K177="","",IF(ISNUMBER(K177),IF(K177&lt;0,"Expired",IF(K177&lt;=30,"Due ≤30 days",IF(K177&lt;=90,"Due ≤90 days","OK"))),"Check date"))</f>
        <v/>
      </c>
      <c r="M177" s="22" t="n"/>
      <c r="N177" s="24">
        <f>IF(ISNUMBER(M177),DATE(YEAR(M177)+2,MONTH(M177),DAY(M177)),"")</f>
        <v/>
      </c>
      <c r="O177" s="21" t="n"/>
      <c r="P177" s="21" t="n"/>
      <c r="Q177" s="21" t="n"/>
    </row>
    <row r="178">
      <c r="A178" s="21" t="n"/>
      <c r="B178" s="21" t="n"/>
      <c r="C178" s="22" t="n"/>
      <c r="D178" s="21" t="n"/>
      <c r="E178" s="21" t="n"/>
      <c r="F178" s="22" t="n"/>
      <c r="G178" s="21" t="n"/>
      <c r="H178" s="22" t="n"/>
      <c r="I178" s="23" t="n"/>
      <c r="J178" s="24">
        <f>IF(ISNUMBER(H178),H178-IF(ISNUMBER(I178),I178,30),"")</f>
        <v/>
      </c>
      <c r="K178" s="25">
        <f>IF(H178="","",IF(ISNUMBER(H178),H178-TODAY(),"Check date"))</f>
        <v/>
      </c>
      <c r="L178" s="26">
        <f>IF(K178="","",IF(ISNUMBER(K178),IF(K178&lt;0,"Expired",IF(K178&lt;=30,"Due ≤30 days",IF(K178&lt;=90,"Due ≤90 days","OK"))),"Check date"))</f>
        <v/>
      </c>
      <c r="M178" s="22" t="n"/>
      <c r="N178" s="24">
        <f>IF(ISNUMBER(M178),DATE(YEAR(M178)+2,MONTH(M178),DAY(M178)),"")</f>
        <v/>
      </c>
      <c r="O178" s="21" t="n"/>
      <c r="P178" s="21" t="n"/>
      <c r="Q178" s="21" t="n"/>
    </row>
    <row r="179">
      <c r="A179" s="21" t="n"/>
      <c r="B179" s="21" t="n"/>
      <c r="C179" s="22" t="n"/>
      <c r="D179" s="21" t="n"/>
      <c r="E179" s="21" t="n"/>
      <c r="F179" s="22" t="n"/>
      <c r="G179" s="21" t="n"/>
      <c r="H179" s="22" t="n"/>
      <c r="I179" s="23" t="n"/>
      <c r="J179" s="24">
        <f>IF(ISNUMBER(H179),H179-IF(ISNUMBER(I179),I179,30),"")</f>
        <v/>
      </c>
      <c r="K179" s="25">
        <f>IF(H179="","",IF(ISNUMBER(H179),H179-TODAY(),"Check date"))</f>
        <v/>
      </c>
      <c r="L179" s="26">
        <f>IF(K179="","",IF(ISNUMBER(K179),IF(K179&lt;0,"Expired",IF(K179&lt;=30,"Due ≤30 days",IF(K179&lt;=90,"Due ≤90 days","OK"))),"Check date"))</f>
        <v/>
      </c>
      <c r="M179" s="22" t="n"/>
      <c r="N179" s="24">
        <f>IF(ISNUMBER(M179),DATE(YEAR(M179)+2,MONTH(M179),DAY(M179)),"")</f>
        <v/>
      </c>
      <c r="O179" s="21" t="n"/>
      <c r="P179" s="21" t="n"/>
      <c r="Q179" s="21" t="n"/>
    </row>
    <row r="180">
      <c r="A180" s="21" t="n"/>
      <c r="B180" s="21" t="n"/>
      <c r="C180" s="22" t="n"/>
      <c r="D180" s="21" t="n"/>
      <c r="E180" s="21" t="n"/>
      <c r="F180" s="22" t="n"/>
      <c r="G180" s="21" t="n"/>
      <c r="H180" s="22" t="n"/>
      <c r="I180" s="23" t="n"/>
      <c r="J180" s="24">
        <f>IF(ISNUMBER(H180),H180-IF(ISNUMBER(I180),I180,30),"")</f>
        <v/>
      </c>
      <c r="K180" s="25">
        <f>IF(H180="","",IF(ISNUMBER(H180),H180-TODAY(),"Check date"))</f>
        <v/>
      </c>
      <c r="L180" s="26">
        <f>IF(K180="","",IF(ISNUMBER(K180),IF(K180&lt;0,"Expired",IF(K180&lt;=30,"Due ≤30 days",IF(K180&lt;=90,"Due ≤90 days","OK"))),"Check date"))</f>
        <v/>
      </c>
      <c r="M180" s="22" t="n"/>
      <c r="N180" s="24">
        <f>IF(ISNUMBER(M180),DATE(YEAR(M180)+2,MONTH(M180),DAY(M180)),"")</f>
        <v/>
      </c>
      <c r="O180" s="21" t="n"/>
      <c r="P180" s="21" t="n"/>
      <c r="Q180" s="21" t="n"/>
    </row>
    <row r="181">
      <c r="A181" s="21" t="n"/>
      <c r="B181" s="21" t="n"/>
      <c r="C181" s="22" t="n"/>
      <c r="D181" s="21" t="n"/>
      <c r="E181" s="21" t="n"/>
      <c r="F181" s="22" t="n"/>
      <c r="G181" s="21" t="n"/>
      <c r="H181" s="22" t="n"/>
      <c r="I181" s="23" t="n"/>
      <c r="J181" s="24">
        <f>IF(ISNUMBER(H181),H181-IF(ISNUMBER(I181),I181,30),"")</f>
        <v/>
      </c>
      <c r="K181" s="25">
        <f>IF(H181="","",IF(ISNUMBER(H181),H181-TODAY(),"Check date"))</f>
        <v/>
      </c>
      <c r="L181" s="26">
        <f>IF(K181="","",IF(ISNUMBER(K181),IF(K181&lt;0,"Expired",IF(K181&lt;=30,"Due ≤30 days",IF(K181&lt;=90,"Due ≤90 days","OK"))),"Check date"))</f>
        <v/>
      </c>
      <c r="M181" s="22" t="n"/>
      <c r="N181" s="24">
        <f>IF(ISNUMBER(M181),DATE(YEAR(M181)+2,MONTH(M181),DAY(M181)),"")</f>
        <v/>
      </c>
      <c r="O181" s="21" t="n"/>
      <c r="P181" s="21" t="n"/>
      <c r="Q181" s="21" t="n"/>
    </row>
    <row r="182">
      <c r="A182" s="21" t="n"/>
      <c r="B182" s="21" t="n"/>
      <c r="C182" s="22" t="n"/>
      <c r="D182" s="21" t="n"/>
      <c r="E182" s="21" t="n"/>
      <c r="F182" s="22" t="n"/>
      <c r="G182" s="21" t="n"/>
      <c r="H182" s="22" t="n"/>
      <c r="I182" s="23" t="n"/>
      <c r="J182" s="24">
        <f>IF(ISNUMBER(H182),H182-IF(ISNUMBER(I182),I182,30),"")</f>
        <v/>
      </c>
      <c r="K182" s="25">
        <f>IF(H182="","",IF(ISNUMBER(H182),H182-TODAY(),"Check date"))</f>
        <v/>
      </c>
      <c r="L182" s="26">
        <f>IF(K182="","",IF(ISNUMBER(K182),IF(K182&lt;0,"Expired",IF(K182&lt;=30,"Due ≤30 days",IF(K182&lt;=90,"Due ≤90 days","OK"))),"Check date"))</f>
        <v/>
      </c>
      <c r="M182" s="22" t="n"/>
      <c r="N182" s="24">
        <f>IF(ISNUMBER(M182),DATE(YEAR(M182)+2,MONTH(M182),DAY(M182)),"")</f>
        <v/>
      </c>
      <c r="O182" s="21" t="n"/>
      <c r="P182" s="21" t="n"/>
      <c r="Q182" s="21" t="n"/>
    </row>
    <row r="183">
      <c r="A183" s="21" t="n"/>
      <c r="B183" s="21" t="n"/>
      <c r="C183" s="22" t="n"/>
      <c r="D183" s="21" t="n"/>
      <c r="E183" s="21" t="n"/>
      <c r="F183" s="22" t="n"/>
      <c r="G183" s="21" t="n"/>
      <c r="H183" s="22" t="n"/>
      <c r="I183" s="23" t="n"/>
      <c r="J183" s="24">
        <f>IF(ISNUMBER(H183),H183-IF(ISNUMBER(I183),I183,30),"")</f>
        <v/>
      </c>
      <c r="K183" s="25">
        <f>IF(H183="","",IF(ISNUMBER(H183),H183-TODAY(),"Check date"))</f>
        <v/>
      </c>
      <c r="L183" s="26">
        <f>IF(K183="","",IF(ISNUMBER(K183),IF(K183&lt;0,"Expired",IF(K183&lt;=30,"Due ≤30 days",IF(K183&lt;=90,"Due ≤90 days","OK"))),"Check date"))</f>
        <v/>
      </c>
      <c r="M183" s="22" t="n"/>
      <c r="N183" s="24">
        <f>IF(ISNUMBER(M183),DATE(YEAR(M183)+2,MONTH(M183),DAY(M183)),"")</f>
        <v/>
      </c>
      <c r="O183" s="21" t="n"/>
      <c r="P183" s="21" t="n"/>
      <c r="Q183" s="21" t="n"/>
    </row>
    <row r="184">
      <c r="A184" s="21" t="n"/>
      <c r="B184" s="21" t="n"/>
      <c r="C184" s="22" t="n"/>
      <c r="D184" s="21" t="n"/>
      <c r="E184" s="21" t="n"/>
      <c r="F184" s="22" t="n"/>
      <c r="G184" s="21" t="n"/>
      <c r="H184" s="22" t="n"/>
      <c r="I184" s="23" t="n"/>
      <c r="J184" s="24">
        <f>IF(ISNUMBER(H184),H184-IF(ISNUMBER(I184),I184,30),"")</f>
        <v/>
      </c>
      <c r="K184" s="25">
        <f>IF(H184="","",IF(ISNUMBER(H184),H184-TODAY(),"Check date"))</f>
        <v/>
      </c>
      <c r="L184" s="26">
        <f>IF(K184="","",IF(ISNUMBER(K184),IF(K184&lt;0,"Expired",IF(K184&lt;=30,"Due ≤30 days",IF(K184&lt;=90,"Due ≤90 days","OK"))),"Check date"))</f>
        <v/>
      </c>
      <c r="M184" s="22" t="n"/>
      <c r="N184" s="24">
        <f>IF(ISNUMBER(M184),DATE(YEAR(M184)+2,MONTH(M184),DAY(M184)),"")</f>
        <v/>
      </c>
      <c r="O184" s="21" t="n"/>
      <c r="P184" s="21" t="n"/>
      <c r="Q184" s="21" t="n"/>
    </row>
    <row r="185">
      <c r="A185" s="21" t="n"/>
      <c r="B185" s="21" t="n"/>
      <c r="C185" s="22" t="n"/>
      <c r="D185" s="21" t="n"/>
      <c r="E185" s="21" t="n"/>
      <c r="F185" s="22" t="n"/>
      <c r="G185" s="21" t="n"/>
      <c r="H185" s="22" t="n"/>
      <c r="I185" s="23" t="n"/>
      <c r="J185" s="24">
        <f>IF(ISNUMBER(H185),H185-IF(ISNUMBER(I185),I185,30),"")</f>
        <v/>
      </c>
      <c r="K185" s="25">
        <f>IF(H185="","",IF(ISNUMBER(H185),H185-TODAY(),"Check date"))</f>
        <v/>
      </c>
      <c r="L185" s="26">
        <f>IF(K185="","",IF(ISNUMBER(K185),IF(K185&lt;0,"Expired",IF(K185&lt;=30,"Due ≤30 days",IF(K185&lt;=90,"Due ≤90 days","OK"))),"Check date"))</f>
        <v/>
      </c>
      <c r="M185" s="22" t="n"/>
      <c r="N185" s="24">
        <f>IF(ISNUMBER(M185),DATE(YEAR(M185)+2,MONTH(M185),DAY(M185)),"")</f>
        <v/>
      </c>
      <c r="O185" s="21" t="n"/>
      <c r="P185" s="21" t="n"/>
      <c r="Q185" s="21" t="n"/>
    </row>
    <row r="186">
      <c r="A186" s="21" t="n"/>
      <c r="B186" s="21" t="n"/>
      <c r="C186" s="22" t="n"/>
      <c r="D186" s="21" t="n"/>
      <c r="E186" s="21" t="n"/>
      <c r="F186" s="22" t="n"/>
      <c r="G186" s="21" t="n"/>
      <c r="H186" s="22" t="n"/>
      <c r="I186" s="23" t="n"/>
      <c r="J186" s="24">
        <f>IF(ISNUMBER(H186),H186-IF(ISNUMBER(I186),I186,30),"")</f>
        <v/>
      </c>
      <c r="K186" s="25">
        <f>IF(H186="","",IF(ISNUMBER(H186),H186-TODAY(),"Check date"))</f>
        <v/>
      </c>
      <c r="L186" s="26">
        <f>IF(K186="","",IF(ISNUMBER(K186),IF(K186&lt;0,"Expired",IF(K186&lt;=30,"Due ≤30 days",IF(K186&lt;=90,"Due ≤90 days","OK"))),"Check date"))</f>
        <v/>
      </c>
      <c r="M186" s="22" t="n"/>
      <c r="N186" s="24">
        <f>IF(ISNUMBER(M186),DATE(YEAR(M186)+2,MONTH(M186),DAY(M186)),"")</f>
        <v/>
      </c>
      <c r="O186" s="21" t="n"/>
      <c r="P186" s="21" t="n"/>
      <c r="Q186" s="21" t="n"/>
    </row>
    <row r="187">
      <c r="A187" s="21" t="n"/>
      <c r="B187" s="21" t="n"/>
      <c r="C187" s="22" t="n"/>
      <c r="D187" s="21" t="n"/>
      <c r="E187" s="21" t="n"/>
      <c r="F187" s="22" t="n"/>
      <c r="G187" s="21" t="n"/>
      <c r="H187" s="22" t="n"/>
      <c r="I187" s="23" t="n"/>
      <c r="J187" s="24">
        <f>IF(ISNUMBER(H187),H187-IF(ISNUMBER(I187),I187,30),"")</f>
        <v/>
      </c>
      <c r="K187" s="25">
        <f>IF(H187="","",IF(ISNUMBER(H187),H187-TODAY(),"Check date"))</f>
        <v/>
      </c>
      <c r="L187" s="26">
        <f>IF(K187="","",IF(ISNUMBER(K187),IF(K187&lt;0,"Expired",IF(K187&lt;=30,"Due ≤30 days",IF(K187&lt;=90,"Due ≤90 days","OK"))),"Check date"))</f>
        <v/>
      </c>
      <c r="M187" s="22" t="n"/>
      <c r="N187" s="24">
        <f>IF(ISNUMBER(M187),DATE(YEAR(M187)+2,MONTH(M187),DAY(M187)),"")</f>
        <v/>
      </c>
      <c r="O187" s="21" t="n"/>
      <c r="P187" s="21" t="n"/>
      <c r="Q187" s="21" t="n"/>
    </row>
    <row r="188">
      <c r="A188" s="21" t="n"/>
      <c r="B188" s="21" t="n"/>
      <c r="C188" s="22" t="n"/>
      <c r="D188" s="21" t="n"/>
      <c r="E188" s="21" t="n"/>
      <c r="F188" s="22" t="n"/>
      <c r="G188" s="21" t="n"/>
      <c r="H188" s="22" t="n"/>
      <c r="I188" s="23" t="n"/>
      <c r="J188" s="24">
        <f>IF(ISNUMBER(H188),H188-IF(ISNUMBER(I188),I188,30),"")</f>
        <v/>
      </c>
      <c r="K188" s="25">
        <f>IF(H188="","",IF(ISNUMBER(H188),H188-TODAY(),"Check date"))</f>
        <v/>
      </c>
      <c r="L188" s="26">
        <f>IF(K188="","",IF(ISNUMBER(K188),IF(K188&lt;0,"Expired",IF(K188&lt;=30,"Due ≤30 days",IF(K188&lt;=90,"Due ≤90 days","OK"))),"Check date"))</f>
        <v/>
      </c>
      <c r="M188" s="22" t="n"/>
      <c r="N188" s="24">
        <f>IF(ISNUMBER(M188),DATE(YEAR(M188)+2,MONTH(M188),DAY(M188)),"")</f>
        <v/>
      </c>
      <c r="O188" s="21" t="n"/>
      <c r="P188" s="21" t="n"/>
      <c r="Q188" s="21" t="n"/>
    </row>
    <row r="189">
      <c r="A189" s="21" t="n"/>
      <c r="B189" s="21" t="n"/>
      <c r="C189" s="22" t="n"/>
      <c r="D189" s="21" t="n"/>
      <c r="E189" s="21" t="n"/>
      <c r="F189" s="22" t="n"/>
      <c r="G189" s="21" t="n"/>
      <c r="H189" s="22" t="n"/>
      <c r="I189" s="23" t="n"/>
      <c r="J189" s="24">
        <f>IF(ISNUMBER(H189),H189-IF(ISNUMBER(I189),I189,30),"")</f>
        <v/>
      </c>
      <c r="K189" s="25">
        <f>IF(H189="","",IF(ISNUMBER(H189),H189-TODAY(),"Check date"))</f>
        <v/>
      </c>
      <c r="L189" s="26">
        <f>IF(K189="","",IF(ISNUMBER(K189),IF(K189&lt;0,"Expired",IF(K189&lt;=30,"Due ≤30 days",IF(K189&lt;=90,"Due ≤90 days","OK"))),"Check date"))</f>
        <v/>
      </c>
      <c r="M189" s="22" t="n"/>
      <c r="N189" s="24">
        <f>IF(ISNUMBER(M189),DATE(YEAR(M189)+2,MONTH(M189),DAY(M189)),"")</f>
        <v/>
      </c>
      <c r="O189" s="21" t="n"/>
      <c r="P189" s="21" t="n"/>
      <c r="Q189" s="21" t="n"/>
    </row>
    <row r="190">
      <c r="A190" s="21" t="n"/>
      <c r="B190" s="21" t="n"/>
      <c r="C190" s="22" t="n"/>
      <c r="D190" s="21" t="n"/>
      <c r="E190" s="21" t="n"/>
      <c r="F190" s="22" t="n"/>
      <c r="G190" s="21" t="n"/>
      <c r="H190" s="22" t="n"/>
      <c r="I190" s="23" t="n"/>
      <c r="J190" s="24">
        <f>IF(ISNUMBER(H190),H190-IF(ISNUMBER(I190),I190,30),"")</f>
        <v/>
      </c>
      <c r="K190" s="25">
        <f>IF(H190="","",IF(ISNUMBER(H190),H190-TODAY(),"Check date"))</f>
        <v/>
      </c>
      <c r="L190" s="26">
        <f>IF(K190="","",IF(ISNUMBER(K190),IF(K190&lt;0,"Expired",IF(K190&lt;=30,"Due ≤30 days",IF(K190&lt;=90,"Due ≤90 days","OK"))),"Check date"))</f>
        <v/>
      </c>
      <c r="M190" s="22" t="n"/>
      <c r="N190" s="24">
        <f>IF(ISNUMBER(M190),DATE(YEAR(M190)+2,MONTH(M190),DAY(M190)),"")</f>
        <v/>
      </c>
      <c r="O190" s="21" t="n"/>
      <c r="P190" s="21" t="n"/>
      <c r="Q190" s="21" t="n"/>
    </row>
    <row r="191">
      <c r="A191" s="21" t="n"/>
      <c r="B191" s="21" t="n"/>
      <c r="C191" s="22" t="n"/>
      <c r="D191" s="21" t="n"/>
      <c r="E191" s="21" t="n"/>
      <c r="F191" s="22" t="n"/>
      <c r="G191" s="21" t="n"/>
      <c r="H191" s="22" t="n"/>
      <c r="I191" s="23" t="n"/>
      <c r="J191" s="24">
        <f>IF(ISNUMBER(H191),H191-IF(ISNUMBER(I191),I191,30),"")</f>
        <v/>
      </c>
      <c r="K191" s="25">
        <f>IF(H191="","",IF(ISNUMBER(H191),H191-TODAY(),"Check date"))</f>
        <v/>
      </c>
      <c r="L191" s="26">
        <f>IF(K191="","",IF(ISNUMBER(K191),IF(K191&lt;0,"Expired",IF(K191&lt;=30,"Due ≤30 days",IF(K191&lt;=90,"Due ≤90 days","OK"))),"Check date"))</f>
        <v/>
      </c>
      <c r="M191" s="22" t="n"/>
      <c r="N191" s="24">
        <f>IF(ISNUMBER(M191),DATE(YEAR(M191)+2,MONTH(M191),DAY(M191)),"")</f>
        <v/>
      </c>
      <c r="O191" s="21" t="n"/>
      <c r="P191" s="21" t="n"/>
      <c r="Q191" s="21" t="n"/>
    </row>
    <row r="192">
      <c r="A192" s="21" t="n"/>
      <c r="B192" s="21" t="n"/>
      <c r="C192" s="22" t="n"/>
      <c r="D192" s="21" t="n"/>
      <c r="E192" s="21" t="n"/>
      <c r="F192" s="22" t="n"/>
      <c r="G192" s="21" t="n"/>
      <c r="H192" s="22" t="n"/>
      <c r="I192" s="23" t="n"/>
      <c r="J192" s="24">
        <f>IF(ISNUMBER(H192),H192-IF(ISNUMBER(I192),I192,30),"")</f>
        <v/>
      </c>
      <c r="K192" s="25">
        <f>IF(H192="","",IF(ISNUMBER(H192),H192-TODAY(),"Check date"))</f>
        <v/>
      </c>
      <c r="L192" s="26">
        <f>IF(K192="","",IF(ISNUMBER(K192),IF(K192&lt;0,"Expired",IF(K192&lt;=30,"Due ≤30 days",IF(K192&lt;=90,"Due ≤90 days","OK"))),"Check date"))</f>
        <v/>
      </c>
      <c r="M192" s="22" t="n"/>
      <c r="N192" s="24">
        <f>IF(ISNUMBER(M192),DATE(YEAR(M192)+2,MONTH(M192),DAY(M192)),"")</f>
        <v/>
      </c>
      <c r="O192" s="21" t="n"/>
      <c r="P192" s="21" t="n"/>
      <c r="Q192" s="21" t="n"/>
    </row>
    <row r="193">
      <c r="A193" s="21" t="n"/>
      <c r="B193" s="21" t="n"/>
      <c r="C193" s="22" t="n"/>
      <c r="D193" s="21" t="n"/>
      <c r="E193" s="21" t="n"/>
      <c r="F193" s="22" t="n"/>
      <c r="G193" s="21" t="n"/>
      <c r="H193" s="22" t="n"/>
      <c r="I193" s="23" t="n"/>
      <c r="J193" s="24">
        <f>IF(ISNUMBER(H193),H193-IF(ISNUMBER(I193),I193,30),"")</f>
        <v/>
      </c>
      <c r="K193" s="25">
        <f>IF(H193="","",IF(ISNUMBER(H193),H193-TODAY(),"Check date"))</f>
        <v/>
      </c>
      <c r="L193" s="26">
        <f>IF(K193="","",IF(ISNUMBER(K193),IF(K193&lt;0,"Expired",IF(K193&lt;=30,"Due ≤30 days",IF(K193&lt;=90,"Due ≤90 days","OK"))),"Check date"))</f>
        <v/>
      </c>
      <c r="M193" s="22" t="n"/>
      <c r="N193" s="24">
        <f>IF(ISNUMBER(M193),DATE(YEAR(M193)+2,MONTH(M193),DAY(M193)),"")</f>
        <v/>
      </c>
      <c r="O193" s="21" t="n"/>
      <c r="P193" s="21" t="n"/>
      <c r="Q193" s="21" t="n"/>
    </row>
    <row r="194">
      <c r="A194" s="21" t="n"/>
      <c r="B194" s="21" t="n"/>
      <c r="C194" s="22" t="n"/>
      <c r="D194" s="21" t="n"/>
      <c r="E194" s="21" t="n"/>
      <c r="F194" s="22" t="n"/>
      <c r="G194" s="21" t="n"/>
      <c r="H194" s="22" t="n"/>
      <c r="I194" s="23" t="n"/>
      <c r="J194" s="24">
        <f>IF(ISNUMBER(H194),H194-IF(ISNUMBER(I194),I194,30),"")</f>
        <v/>
      </c>
      <c r="K194" s="25">
        <f>IF(H194="","",IF(ISNUMBER(H194),H194-TODAY(),"Check date"))</f>
        <v/>
      </c>
      <c r="L194" s="26">
        <f>IF(K194="","",IF(ISNUMBER(K194),IF(K194&lt;0,"Expired",IF(K194&lt;=30,"Due ≤30 days",IF(K194&lt;=90,"Due ≤90 days","OK"))),"Check date"))</f>
        <v/>
      </c>
      <c r="M194" s="22" t="n"/>
      <c r="N194" s="24">
        <f>IF(ISNUMBER(M194),DATE(YEAR(M194)+2,MONTH(M194),DAY(M194)),"")</f>
        <v/>
      </c>
      <c r="O194" s="21" t="n"/>
      <c r="P194" s="21" t="n"/>
      <c r="Q194" s="21" t="n"/>
    </row>
    <row r="195">
      <c r="A195" s="21" t="n"/>
      <c r="B195" s="21" t="n"/>
      <c r="C195" s="22" t="n"/>
      <c r="D195" s="21" t="n"/>
      <c r="E195" s="21" t="n"/>
      <c r="F195" s="22" t="n"/>
      <c r="G195" s="21" t="n"/>
      <c r="H195" s="22" t="n"/>
      <c r="I195" s="23" t="n"/>
      <c r="J195" s="24">
        <f>IF(ISNUMBER(H195),H195-IF(ISNUMBER(I195),I195,30),"")</f>
        <v/>
      </c>
      <c r="K195" s="25">
        <f>IF(H195="","",IF(ISNUMBER(H195),H195-TODAY(),"Check date"))</f>
        <v/>
      </c>
      <c r="L195" s="26">
        <f>IF(K195="","",IF(ISNUMBER(K195),IF(K195&lt;0,"Expired",IF(K195&lt;=30,"Due ≤30 days",IF(K195&lt;=90,"Due ≤90 days","OK"))),"Check date"))</f>
        <v/>
      </c>
      <c r="M195" s="22" t="n"/>
      <c r="N195" s="24">
        <f>IF(ISNUMBER(M195),DATE(YEAR(M195)+2,MONTH(M195),DAY(M195)),"")</f>
        <v/>
      </c>
      <c r="O195" s="21" t="n"/>
      <c r="P195" s="21" t="n"/>
      <c r="Q195" s="21" t="n"/>
    </row>
    <row r="196">
      <c r="A196" s="21" t="n"/>
      <c r="B196" s="21" t="n"/>
      <c r="C196" s="22" t="n"/>
      <c r="D196" s="21" t="n"/>
      <c r="E196" s="21" t="n"/>
      <c r="F196" s="22" t="n"/>
      <c r="G196" s="21" t="n"/>
      <c r="H196" s="22" t="n"/>
      <c r="I196" s="23" t="n"/>
      <c r="J196" s="24">
        <f>IF(ISNUMBER(H196),H196-IF(ISNUMBER(I196),I196,30),"")</f>
        <v/>
      </c>
      <c r="K196" s="25">
        <f>IF(H196="","",IF(ISNUMBER(H196),H196-TODAY(),"Check date"))</f>
        <v/>
      </c>
      <c r="L196" s="26">
        <f>IF(K196="","",IF(ISNUMBER(K196),IF(K196&lt;0,"Expired",IF(K196&lt;=30,"Due ≤30 days",IF(K196&lt;=90,"Due ≤90 days","OK"))),"Check date"))</f>
        <v/>
      </c>
      <c r="M196" s="22" t="n"/>
      <c r="N196" s="24">
        <f>IF(ISNUMBER(M196),DATE(YEAR(M196)+2,MONTH(M196),DAY(M196)),"")</f>
        <v/>
      </c>
      <c r="O196" s="21" t="n"/>
      <c r="P196" s="21" t="n"/>
      <c r="Q196" s="21" t="n"/>
    </row>
    <row r="197">
      <c r="A197" s="21" t="n"/>
      <c r="B197" s="21" t="n"/>
      <c r="C197" s="22" t="n"/>
      <c r="D197" s="21" t="n"/>
      <c r="E197" s="21" t="n"/>
      <c r="F197" s="22" t="n"/>
      <c r="G197" s="21" t="n"/>
      <c r="H197" s="22" t="n"/>
      <c r="I197" s="23" t="n"/>
      <c r="J197" s="24">
        <f>IF(ISNUMBER(H197),H197-IF(ISNUMBER(I197),I197,30),"")</f>
        <v/>
      </c>
      <c r="K197" s="25">
        <f>IF(H197="","",IF(ISNUMBER(H197),H197-TODAY(),"Check date"))</f>
        <v/>
      </c>
      <c r="L197" s="26">
        <f>IF(K197="","",IF(ISNUMBER(K197),IF(K197&lt;0,"Expired",IF(K197&lt;=30,"Due ≤30 days",IF(K197&lt;=90,"Due ≤90 days","OK"))),"Check date"))</f>
        <v/>
      </c>
      <c r="M197" s="22" t="n"/>
      <c r="N197" s="24">
        <f>IF(ISNUMBER(M197),DATE(YEAR(M197)+2,MONTH(M197),DAY(M197)),"")</f>
        <v/>
      </c>
      <c r="O197" s="21" t="n"/>
      <c r="P197" s="21" t="n"/>
      <c r="Q197" s="21" t="n"/>
    </row>
    <row r="198">
      <c r="A198" s="21" t="n"/>
      <c r="B198" s="21" t="n"/>
      <c r="C198" s="22" t="n"/>
      <c r="D198" s="21" t="n"/>
      <c r="E198" s="21" t="n"/>
      <c r="F198" s="22" t="n"/>
      <c r="G198" s="21" t="n"/>
      <c r="H198" s="22" t="n"/>
      <c r="I198" s="23" t="n"/>
      <c r="J198" s="24">
        <f>IF(ISNUMBER(H198),H198-IF(ISNUMBER(I198),I198,30),"")</f>
        <v/>
      </c>
      <c r="K198" s="25">
        <f>IF(H198="","",IF(ISNUMBER(H198),H198-TODAY(),"Check date"))</f>
        <v/>
      </c>
      <c r="L198" s="26">
        <f>IF(K198="","",IF(ISNUMBER(K198),IF(K198&lt;0,"Expired",IF(K198&lt;=30,"Due ≤30 days",IF(K198&lt;=90,"Due ≤90 days","OK"))),"Check date"))</f>
        <v/>
      </c>
      <c r="M198" s="22" t="n"/>
      <c r="N198" s="24">
        <f>IF(ISNUMBER(M198),DATE(YEAR(M198)+2,MONTH(M198),DAY(M198)),"")</f>
        <v/>
      </c>
      <c r="O198" s="21" t="n"/>
      <c r="P198" s="21" t="n"/>
      <c r="Q198" s="21" t="n"/>
    </row>
    <row r="199">
      <c r="A199" s="21" t="n"/>
      <c r="B199" s="21" t="n"/>
      <c r="C199" s="22" t="n"/>
      <c r="D199" s="21" t="n"/>
      <c r="E199" s="21" t="n"/>
      <c r="F199" s="22" t="n"/>
      <c r="G199" s="21" t="n"/>
      <c r="H199" s="22" t="n"/>
      <c r="I199" s="23" t="n"/>
      <c r="J199" s="24">
        <f>IF(ISNUMBER(H199),H199-IF(ISNUMBER(I199),I199,30),"")</f>
        <v/>
      </c>
      <c r="K199" s="25">
        <f>IF(H199="","",IF(ISNUMBER(H199),H199-TODAY(),"Check date"))</f>
        <v/>
      </c>
      <c r="L199" s="26">
        <f>IF(K199="","",IF(ISNUMBER(K199),IF(K199&lt;0,"Expired",IF(K199&lt;=30,"Due ≤30 days",IF(K199&lt;=90,"Due ≤90 days","OK"))),"Check date"))</f>
        <v/>
      </c>
      <c r="M199" s="22" t="n"/>
      <c r="N199" s="24">
        <f>IF(ISNUMBER(M199),DATE(YEAR(M199)+2,MONTH(M199),DAY(M199)),"")</f>
        <v/>
      </c>
      <c r="O199" s="21" t="n"/>
      <c r="P199" s="21" t="n"/>
      <c r="Q199" s="21" t="n"/>
    </row>
    <row r="200">
      <c r="A200" s="21" t="n"/>
      <c r="B200" s="21" t="n"/>
      <c r="C200" s="22" t="n"/>
      <c r="D200" s="21" t="n"/>
      <c r="E200" s="21" t="n"/>
      <c r="F200" s="22" t="n"/>
      <c r="G200" s="21" t="n"/>
      <c r="H200" s="22" t="n"/>
      <c r="I200" s="23" t="n"/>
      <c r="J200" s="24">
        <f>IF(ISNUMBER(H200),H200-IF(ISNUMBER(I200),I200,30),"")</f>
        <v/>
      </c>
      <c r="K200" s="25">
        <f>IF(H200="","",IF(ISNUMBER(H200),H200-TODAY(),"Check date"))</f>
        <v/>
      </c>
      <c r="L200" s="26">
        <f>IF(K200="","",IF(ISNUMBER(K200),IF(K200&lt;0,"Expired",IF(K200&lt;=30,"Due ≤30 days",IF(K200&lt;=90,"Due ≤90 days","OK"))),"Check date"))</f>
        <v/>
      </c>
      <c r="M200" s="22" t="n"/>
      <c r="N200" s="24">
        <f>IF(ISNUMBER(M200),DATE(YEAR(M200)+2,MONTH(M200),DAY(M200)),"")</f>
        <v/>
      </c>
      <c r="O200" s="21" t="n"/>
      <c r="P200" s="21" t="n"/>
      <c r="Q200" s="21" t="n"/>
    </row>
    <row r="201">
      <c r="A201" s="21" t="n"/>
      <c r="B201" s="21" t="n"/>
      <c r="C201" s="22" t="n"/>
      <c r="D201" s="21" t="n"/>
      <c r="E201" s="21" t="n"/>
      <c r="F201" s="22" t="n"/>
      <c r="G201" s="21" t="n"/>
      <c r="H201" s="22" t="n"/>
      <c r="I201" s="23" t="n"/>
      <c r="J201" s="24">
        <f>IF(ISNUMBER(H201),H201-IF(ISNUMBER(I201),I201,30),"")</f>
        <v/>
      </c>
      <c r="K201" s="25">
        <f>IF(H201="","",IF(ISNUMBER(H201),H201-TODAY(),"Check date"))</f>
        <v/>
      </c>
      <c r="L201" s="26">
        <f>IF(K201="","",IF(ISNUMBER(K201),IF(K201&lt;0,"Expired",IF(K201&lt;=30,"Due ≤30 days",IF(K201&lt;=90,"Due ≤90 days","OK"))),"Check date"))</f>
        <v/>
      </c>
      <c r="M201" s="22" t="n"/>
      <c r="N201" s="24">
        <f>IF(ISNUMBER(M201),DATE(YEAR(M201)+2,MONTH(M201),DAY(M201)),"")</f>
        <v/>
      </c>
      <c r="O201" s="21" t="n"/>
      <c r="P201" s="21" t="n"/>
      <c r="Q201" s="21" t="n"/>
    </row>
    <row r="202">
      <c r="A202" s="21" t="n"/>
      <c r="B202" s="21" t="n"/>
      <c r="C202" s="22" t="n"/>
      <c r="D202" s="21" t="n"/>
      <c r="E202" s="21" t="n"/>
      <c r="F202" s="22" t="n"/>
      <c r="G202" s="21" t="n"/>
      <c r="H202" s="22" t="n"/>
      <c r="I202" s="23" t="n"/>
      <c r="J202" s="24">
        <f>IF(ISNUMBER(H202),H202-IF(ISNUMBER(I202),I202,30),"")</f>
        <v/>
      </c>
      <c r="K202" s="25">
        <f>IF(H202="","",IF(ISNUMBER(H202),H202-TODAY(),"Check date"))</f>
        <v/>
      </c>
      <c r="L202" s="26">
        <f>IF(K202="","",IF(ISNUMBER(K202),IF(K202&lt;0,"Expired",IF(K202&lt;=30,"Due ≤30 days",IF(K202&lt;=90,"Due ≤90 days","OK"))),"Check date"))</f>
        <v/>
      </c>
      <c r="M202" s="22" t="n"/>
      <c r="N202" s="24">
        <f>IF(ISNUMBER(M202),DATE(YEAR(M202)+2,MONTH(M202),DAY(M202)),"")</f>
        <v/>
      </c>
      <c r="O202" s="21" t="n"/>
      <c r="P202" s="21" t="n"/>
      <c r="Q202" s="21" t="n"/>
    </row>
    <row r="203">
      <c r="A203" s="21" t="n"/>
      <c r="B203" s="21" t="n"/>
      <c r="C203" s="22" t="n"/>
      <c r="D203" s="21" t="n"/>
      <c r="E203" s="21" t="n"/>
      <c r="F203" s="22" t="n"/>
      <c r="G203" s="21" t="n"/>
      <c r="H203" s="22" t="n"/>
      <c r="I203" s="23" t="n"/>
      <c r="J203" s="24">
        <f>IF(ISNUMBER(H203),H203-IF(ISNUMBER(I203),I203,30),"")</f>
        <v/>
      </c>
      <c r="K203" s="25">
        <f>IF(H203="","",IF(ISNUMBER(H203),H203-TODAY(),"Check date"))</f>
        <v/>
      </c>
      <c r="L203" s="26">
        <f>IF(K203="","",IF(ISNUMBER(K203),IF(K203&lt;0,"Expired",IF(K203&lt;=30,"Due ≤30 days",IF(K203&lt;=90,"Due ≤90 days","OK"))),"Check date"))</f>
        <v/>
      </c>
      <c r="M203" s="22" t="n"/>
      <c r="N203" s="24">
        <f>IF(ISNUMBER(M203),DATE(YEAR(M203)+2,MONTH(M203),DAY(M203)),"")</f>
        <v/>
      </c>
      <c r="O203" s="21" t="n"/>
      <c r="P203" s="21" t="n"/>
      <c r="Q203" s="21" t="n"/>
    </row>
    <row r="204">
      <c r="A204" s="21" t="n"/>
      <c r="B204" s="21" t="n"/>
      <c r="C204" s="22" t="n"/>
      <c r="D204" s="21" t="n"/>
      <c r="E204" s="21" t="n"/>
      <c r="F204" s="22" t="n"/>
      <c r="G204" s="21" t="n"/>
      <c r="H204" s="22" t="n"/>
      <c r="I204" s="23" t="n"/>
      <c r="J204" s="24">
        <f>IF(ISNUMBER(H204),H204-IF(ISNUMBER(I204),I204,30),"")</f>
        <v/>
      </c>
      <c r="K204" s="25">
        <f>IF(H204="","",IF(ISNUMBER(H204),H204-TODAY(),"Check date"))</f>
        <v/>
      </c>
      <c r="L204" s="26">
        <f>IF(K204="","",IF(ISNUMBER(K204),IF(K204&lt;0,"Expired",IF(K204&lt;=30,"Due ≤30 days",IF(K204&lt;=90,"Due ≤90 days","OK"))),"Check date"))</f>
        <v/>
      </c>
      <c r="M204" s="22" t="n"/>
      <c r="N204" s="24">
        <f>IF(ISNUMBER(M204),DATE(YEAR(M204)+2,MONTH(M204),DAY(M204)),"")</f>
        <v/>
      </c>
      <c r="O204" s="21" t="n"/>
      <c r="P204" s="21" t="n"/>
      <c r="Q204" s="21" t="n"/>
    </row>
    <row r="205">
      <c r="A205" s="21" t="n"/>
      <c r="B205" s="21" t="n"/>
      <c r="C205" s="22" t="n"/>
      <c r="D205" s="21" t="n"/>
      <c r="E205" s="21" t="n"/>
      <c r="F205" s="22" t="n"/>
      <c r="G205" s="21" t="n"/>
      <c r="H205" s="22" t="n"/>
      <c r="I205" s="23" t="n"/>
      <c r="J205" s="24">
        <f>IF(ISNUMBER(H205),H205-IF(ISNUMBER(I205),I205,30),"")</f>
        <v/>
      </c>
      <c r="K205" s="25">
        <f>IF(H205="","",IF(ISNUMBER(H205),H205-TODAY(),"Check date"))</f>
        <v/>
      </c>
      <c r="L205" s="26">
        <f>IF(K205="","",IF(ISNUMBER(K205),IF(K205&lt;0,"Expired",IF(K205&lt;=30,"Due ≤30 days",IF(K205&lt;=90,"Due ≤90 days","OK"))),"Check date"))</f>
        <v/>
      </c>
      <c r="M205" s="22" t="n"/>
      <c r="N205" s="24">
        <f>IF(ISNUMBER(M205),DATE(YEAR(M205)+2,MONTH(M205),DAY(M205)),"")</f>
        <v/>
      </c>
      <c r="O205" s="21" t="n"/>
      <c r="P205" s="21" t="n"/>
      <c r="Q205" s="21" t="n"/>
    </row>
    <row r="206">
      <c r="A206" s="21" t="n"/>
      <c r="B206" s="21" t="n"/>
      <c r="C206" s="22" t="n"/>
      <c r="D206" s="21" t="n"/>
      <c r="E206" s="21" t="n"/>
      <c r="F206" s="22" t="n"/>
      <c r="G206" s="21" t="n"/>
      <c r="H206" s="22" t="n"/>
      <c r="I206" s="23" t="n"/>
      <c r="J206" s="24">
        <f>IF(ISNUMBER(H206),H206-IF(ISNUMBER(I206),I206,30),"")</f>
        <v/>
      </c>
      <c r="K206" s="25">
        <f>IF(H206="","",IF(ISNUMBER(H206),H206-TODAY(),"Check date"))</f>
        <v/>
      </c>
      <c r="L206" s="26">
        <f>IF(K206="","",IF(ISNUMBER(K206),IF(K206&lt;0,"Expired",IF(K206&lt;=30,"Due ≤30 days",IF(K206&lt;=90,"Due ≤90 days","OK"))),"Check date"))</f>
        <v/>
      </c>
      <c r="M206" s="22" t="n"/>
      <c r="N206" s="24">
        <f>IF(ISNUMBER(M206),DATE(YEAR(M206)+2,MONTH(M206),DAY(M206)),"")</f>
        <v/>
      </c>
      <c r="O206" s="21" t="n"/>
      <c r="P206" s="21" t="n"/>
      <c r="Q206" s="21" t="n"/>
    </row>
    <row r="207">
      <c r="A207" s="21" t="n"/>
      <c r="B207" s="21" t="n"/>
      <c r="C207" s="22" t="n"/>
      <c r="D207" s="21" t="n"/>
      <c r="E207" s="21" t="n"/>
      <c r="F207" s="22" t="n"/>
      <c r="G207" s="21" t="n"/>
      <c r="H207" s="22" t="n"/>
      <c r="I207" s="23" t="n"/>
      <c r="J207" s="24">
        <f>IF(ISNUMBER(H207),H207-IF(ISNUMBER(I207),I207,30),"")</f>
        <v/>
      </c>
      <c r="K207" s="25">
        <f>IF(H207="","",IF(ISNUMBER(H207),H207-TODAY(),"Check date"))</f>
        <v/>
      </c>
      <c r="L207" s="26">
        <f>IF(K207="","",IF(ISNUMBER(K207),IF(K207&lt;0,"Expired",IF(K207&lt;=30,"Due ≤30 days",IF(K207&lt;=90,"Due ≤90 days","OK"))),"Check date"))</f>
        <v/>
      </c>
      <c r="M207" s="22" t="n"/>
      <c r="N207" s="24">
        <f>IF(ISNUMBER(M207),DATE(YEAR(M207)+2,MONTH(M207),DAY(M207)),"")</f>
        <v/>
      </c>
      <c r="O207" s="21" t="n"/>
      <c r="P207" s="21" t="n"/>
      <c r="Q207" s="21" t="n"/>
    </row>
    <row r="208">
      <c r="A208" s="21" t="n"/>
      <c r="B208" s="21" t="n"/>
      <c r="C208" s="22" t="n"/>
      <c r="D208" s="21" t="n"/>
      <c r="E208" s="21" t="n"/>
      <c r="F208" s="22" t="n"/>
      <c r="G208" s="21" t="n"/>
      <c r="H208" s="22" t="n"/>
      <c r="I208" s="23" t="n"/>
      <c r="J208" s="24">
        <f>IF(ISNUMBER(H208),H208-IF(ISNUMBER(I208),I208,30),"")</f>
        <v/>
      </c>
      <c r="K208" s="25">
        <f>IF(H208="","",IF(ISNUMBER(H208),H208-TODAY(),"Check date"))</f>
        <v/>
      </c>
      <c r="L208" s="26">
        <f>IF(K208="","",IF(ISNUMBER(K208),IF(K208&lt;0,"Expired",IF(K208&lt;=30,"Due ≤30 days",IF(K208&lt;=90,"Due ≤90 days","OK"))),"Check date"))</f>
        <v/>
      </c>
      <c r="M208" s="22" t="n"/>
      <c r="N208" s="24">
        <f>IF(ISNUMBER(M208),DATE(YEAR(M208)+2,MONTH(M208),DAY(M208)),"")</f>
        <v/>
      </c>
      <c r="O208" s="21" t="n"/>
      <c r="P208" s="21" t="n"/>
      <c r="Q208" s="21" t="n"/>
    </row>
    <row r="209">
      <c r="A209" s="21" t="n"/>
      <c r="B209" s="21" t="n"/>
      <c r="C209" s="22" t="n"/>
      <c r="D209" s="21" t="n"/>
      <c r="E209" s="21" t="n"/>
      <c r="F209" s="22" t="n"/>
      <c r="G209" s="21" t="n"/>
      <c r="H209" s="22" t="n"/>
      <c r="I209" s="23" t="n"/>
      <c r="J209" s="24">
        <f>IF(ISNUMBER(H209),H209-IF(ISNUMBER(I209),I209,30),"")</f>
        <v/>
      </c>
      <c r="K209" s="25">
        <f>IF(H209="","",IF(ISNUMBER(H209),H209-TODAY(),"Check date"))</f>
        <v/>
      </c>
      <c r="L209" s="26">
        <f>IF(K209="","",IF(ISNUMBER(K209),IF(K209&lt;0,"Expired",IF(K209&lt;=30,"Due ≤30 days",IF(K209&lt;=90,"Due ≤90 days","OK"))),"Check date"))</f>
        <v/>
      </c>
      <c r="M209" s="22" t="n"/>
      <c r="N209" s="24">
        <f>IF(ISNUMBER(M209),DATE(YEAR(M209)+2,MONTH(M209),DAY(M209)),"")</f>
        <v/>
      </c>
      <c r="O209" s="21" t="n"/>
      <c r="P209" s="21" t="n"/>
      <c r="Q209" s="21" t="n"/>
    </row>
    <row r="210">
      <c r="A210" s="21" t="n"/>
      <c r="B210" s="21" t="n"/>
      <c r="C210" s="22" t="n"/>
      <c r="D210" s="21" t="n"/>
      <c r="E210" s="21" t="n"/>
      <c r="F210" s="22" t="n"/>
      <c r="G210" s="21" t="n"/>
      <c r="H210" s="22" t="n"/>
      <c r="I210" s="23" t="n"/>
      <c r="J210" s="24">
        <f>IF(ISNUMBER(H210),H210-IF(ISNUMBER(I210),I210,30),"")</f>
        <v/>
      </c>
      <c r="K210" s="25">
        <f>IF(H210="","",IF(ISNUMBER(H210),H210-TODAY(),"Check date"))</f>
        <v/>
      </c>
      <c r="L210" s="26">
        <f>IF(K210="","",IF(ISNUMBER(K210),IF(K210&lt;0,"Expired",IF(K210&lt;=30,"Due ≤30 days",IF(K210&lt;=90,"Due ≤90 days","OK"))),"Check date"))</f>
        <v/>
      </c>
      <c r="M210" s="22" t="n"/>
      <c r="N210" s="24">
        <f>IF(ISNUMBER(M210),DATE(YEAR(M210)+2,MONTH(M210),DAY(M210)),"")</f>
        <v/>
      </c>
      <c r="O210" s="21" t="n"/>
      <c r="P210" s="21" t="n"/>
      <c r="Q210" s="21" t="n"/>
    </row>
    <row r="211">
      <c r="A211" s="21" t="n"/>
      <c r="B211" s="21" t="n"/>
      <c r="C211" s="22" t="n"/>
      <c r="D211" s="21" t="n"/>
      <c r="E211" s="21" t="n"/>
      <c r="F211" s="22" t="n"/>
      <c r="G211" s="21" t="n"/>
      <c r="H211" s="22" t="n"/>
      <c r="I211" s="23" t="n"/>
      <c r="J211" s="24">
        <f>IF(ISNUMBER(H211),H211-IF(ISNUMBER(I211),I211,30),"")</f>
        <v/>
      </c>
      <c r="K211" s="25">
        <f>IF(H211="","",IF(ISNUMBER(H211),H211-TODAY(),"Check date"))</f>
        <v/>
      </c>
      <c r="L211" s="26">
        <f>IF(K211="","",IF(ISNUMBER(K211),IF(K211&lt;0,"Expired",IF(K211&lt;=30,"Due ≤30 days",IF(K211&lt;=90,"Due ≤90 days","OK"))),"Check date"))</f>
        <v/>
      </c>
      <c r="M211" s="22" t="n"/>
      <c r="N211" s="24">
        <f>IF(ISNUMBER(M211),DATE(YEAR(M211)+2,MONTH(M211),DAY(M211)),"")</f>
        <v/>
      </c>
      <c r="O211" s="21" t="n"/>
      <c r="P211" s="21" t="n"/>
      <c r="Q211" s="21" t="n"/>
    </row>
    <row r="212">
      <c r="A212" s="21" t="n"/>
      <c r="B212" s="21" t="n"/>
      <c r="C212" s="22" t="n"/>
      <c r="D212" s="21" t="n"/>
      <c r="E212" s="21" t="n"/>
      <c r="F212" s="22" t="n"/>
      <c r="G212" s="21" t="n"/>
      <c r="H212" s="22" t="n"/>
      <c r="I212" s="23" t="n"/>
      <c r="J212" s="24">
        <f>IF(ISNUMBER(H212),H212-IF(ISNUMBER(I212),I212,30),"")</f>
        <v/>
      </c>
      <c r="K212" s="25">
        <f>IF(H212="","",IF(ISNUMBER(H212),H212-TODAY(),"Check date"))</f>
        <v/>
      </c>
      <c r="L212" s="26">
        <f>IF(K212="","",IF(ISNUMBER(K212),IF(K212&lt;0,"Expired",IF(K212&lt;=30,"Due ≤30 days",IF(K212&lt;=90,"Due ≤90 days","OK"))),"Check date"))</f>
        <v/>
      </c>
      <c r="M212" s="22" t="n"/>
      <c r="N212" s="24">
        <f>IF(ISNUMBER(M212),DATE(YEAR(M212)+2,MONTH(M212),DAY(M212)),"")</f>
        <v/>
      </c>
      <c r="O212" s="21" t="n"/>
      <c r="P212" s="21" t="n"/>
      <c r="Q212" s="21" t="n"/>
    </row>
    <row r="213">
      <c r="A213" s="21" t="n"/>
      <c r="B213" s="21" t="n"/>
      <c r="C213" s="22" t="n"/>
      <c r="D213" s="21" t="n"/>
      <c r="E213" s="21" t="n"/>
      <c r="F213" s="22" t="n"/>
      <c r="G213" s="21" t="n"/>
      <c r="H213" s="22" t="n"/>
      <c r="I213" s="23" t="n"/>
      <c r="J213" s="24">
        <f>IF(ISNUMBER(H213),H213-IF(ISNUMBER(I213),I213,30),"")</f>
        <v/>
      </c>
      <c r="K213" s="25">
        <f>IF(H213="","",IF(ISNUMBER(H213),H213-TODAY(),"Check date"))</f>
        <v/>
      </c>
      <c r="L213" s="26">
        <f>IF(K213="","",IF(ISNUMBER(K213),IF(K213&lt;0,"Expired",IF(K213&lt;=30,"Due ≤30 days",IF(K213&lt;=90,"Due ≤90 days","OK"))),"Check date"))</f>
        <v/>
      </c>
      <c r="M213" s="22" t="n"/>
      <c r="N213" s="24">
        <f>IF(ISNUMBER(M213),DATE(YEAR(M213)+2,MONTH(M213),DAY(M213)),"")</f>
        <v/>
      </c>
      <c r="O213" s="21" t="n"/>
      <c r="P213" s="21" t="n"/>
      <c r="Q213" s="21" t="n"/>
    </row>
    <row r="214">
      <c r="A214" s="21" t="n"/>
      <c r="B214" s="21" t="n"/>
      <c r="C214" s="22" t="n"/>
      <c r="D214" s="21" t="n"/>
      <c r="E214" s="21" t="n"/>
      <c r="F214" s="22" t="n"/>
      <c r="G214" s="21" t="n"/>
      <c r="H214" s="22" t="n"/>
      <c r="I214" s="23" t="n"/>
      <c r="J214" s="24">
        <f>IF(ISNUMBER(H214),H214-IF(ISNUMBER(I214),I214,30),"")</f>
        <v/>
      </c>
      <c r="K214" s="25">
        <f>IF(H214="","",IF(ISNUMBER(H214),H214-TODAY(),"Check date"))</f>
        <v/>
      </c>
      <c r="L214" s="26">
        <f>IF(K214="","",IF(ISNUMBER(K214),IF(K214&lt;0,"Expired",IF(K214&lt;=30,"Due ≤30 days",IF(K214&lt;=90,"Due ≤90 days","OK"))),"Check date"))</f>
        <v/>
      </c>
      <c r="M214" s="22" t="n"/>
      <c r="N214" s="24">
        <f>IF(ISNUMBER(M214),DATE(YEAR(M214)+2,MONTH(M214),DAY(M214)),"")</f>
        <v/>
      </c>
      <c r="O214" s="21" t="n"/>
      <c r="P214" s="21" t="n"/>
      <c r="Q214" s="21" t="n"/>
    </row>
    <row r="215">
      <c r="A215" s="21" t="n"/>
      <c r="B215" s="21" t="n"/>
      <c r="C215" s="22" t="n"/>
      <c r="D215" s="21" t="n"/>
      <c r="E215" s="21" t="n"/>
      <c r="F215" s="22" t="n"/>
      <c r="G215" s="21" t="n"/>
      <c r="H215" s="22" t="n"/>
      <c r="I215" s="23" t="n"/>
      <c r="J215" s="24">
        <f>IF(ISNUMBER(H215),H215-IF(ISNUMBER(I215),I215,30),"")</f>
        <v/>
      </c>
      <c r="K215" s="25">
        <f>IF(H215="","",IF(ISNUMBER(H215),H215-TODAY(),"Check date"))</f>
        <v/>
      </c>
      <c r="L215" s="26">
        <f>IF(K215="","",IF(ISNUMBER(K215),IF(K215&lt;0,"Expired",IF(K215&lt;=30,"Due ≤30 days",IF(K215&lt;=90,"Due ≤90 days","OK"))),"Check date"))</f>
        <v/>
      </c>
      <c r="M215" s="22" t="n"/>
      <c r="N215" s="24">
        <f>IF(ISNUMBER(M215),DATE(YEAR(M215)+2,MONTH(M215),DAY(M215)),"")</f>
        <v/>
      </c>
      <c r="O215" s="21" t="n"/>
      <c r="P215" s="21" t="n"/>
      <c r="Q215" s="21" t="n"/>
    </row>
    <row r="216">
      <c r="A216" s="21" t="n"/>
      <c r="B216" s="21" t="n"/>
      <c r="C216" s="22" t="n"/>
      <c r="D216" s="21" t="n"/>
      <c r="E216" s="21" t="n"/>
      <c r="F216" s="22" t="n"/>
      <c r="G216" s="21" t="n"/>
      <c r="H216" s="22" t="n"/>
      <c r="I216" s="23" t="n"/>
      <c r="J216" s="24">
        <f>IF(ISNUMBER(H216),H216-IF(ISNUMBER(I216),I216,30),"")</f>
        <v/>
      </c>
      <c r="K216" s="25">
        <f>IF(H216="","",IF(ISNUMBER(H216),H216-TODAY(),"Check date"))</f>
        <v/>
      </c>
      <c r="L216" s="26">
        <f>IF(K216="","",IF(ISNUMBER(K216),IF(K216&lt;0,"Expired",IF(K216&lt;=30,"Due ≤30 days",IF(K216&lt;=90,"Due ≤90 days","OK"))),"Check date"))</f>
        <v/>
      </c>
      <c r="M216" s="22" t="n"/>
      <c r="N216" s="24">
        <f>IF(ISNUMBER(M216),DATE(YEAR(M216)+2,MONTH(M216),DAY(M216)),"")</f>
        <v/>
      </c>
      <c r="O216" s="21" t="n"/>
      <c r="P216" s="21" t="n"/>
      <c r="Q216" s="21" t="n"/>
    </row>
    <row r="217">
      <c r="A217" s="21" t="n"/>
      <c r="B217" s="21" t="n"/>
      <c r="C217" s="22" t="n"/>
      <c r="D217" s="21" t="n"/>
      <c r="E217" s="21" t="n"/>
      <c r="F217" s="22" t="n"/>
      <c r="G217" s="21" t="n"/>
      <c r="H217" s="22" t="n"/>
      <c r="I217" s="23" t="n"/>
      <c r="J217" s="24">
        <f>IF(ISNUMBER(H217),H217-IF(ISNUMBER(I217),I217,30),"")</f>
        <v/>
      </c>
      <c r="K217" s="25">
        <f>IF(H217="","",IF(ISNUMBER(H217),H217-TODAY(),"Check date"))</f>
        <v/>
      </c>
      <c r="L217" s="26">
        <f>IF(K217="","",IF(ISNUMBER(K217),IF(K217&lt;0,"Expired",IF(K217&lt;=30,"Due ≤30 days",IF(K217&lt;=90,"Due ≤90 days","OK"))),"Check date"))</f>
        <v/>
      </c>
      <c r="M217" s="22" t="n"/>
      <c r="N217" s="24">
        <f>IF(ISNUMBER(M217),DATE(YEAR(M217)+2,MONTH(M217),DAY(M217)),"")</f>
        <v/>
      </c>
      <c r="O217" s="21" t="n"/>
      <c r="P217" s="21" t="n"/>
      <c r="Q217" s="21" t="n"/>
    </row>
    <row r="218">
      <c r="A218" s="21" t="n"/>
      <c r="B218" s="21" t="n"/>
      <c r="C218" s="22" t="n"/>
      <c r="D218" s="21" t="n"/>
      <c r="E218" s="21" t="n"/>
      <c r="F218" s="22" t="n"/>
      <c r="G218" s="21" t="n"/>
      <c r="H218" s="22" t="n"/>
      <c r="I218" s="23" t="n"/>
      <c r="J218" s="24">
        <f>IF(ISNUMBER(H218),H218-IF(ISNUMBER(I218),I218,30),"")</f>
        <v/>
      </c>
      <c r="K218" s="25">
        <f>IF(H218="","",IF(ISNUMBER(H218),H218-TODAY(),"Check date"))</f>
        <v/>
      </c>
      <c r="L218" s="26">
        <f>IF(K218="","",IF(ISNUMBER(K218),IF(K218&lt;0,"Expired",IF(K218&lt;=30,"Due ≤30 days",IF(K218&lt;=90,"Due ≤90 days","OK"))),"Check date"))</f>
        <v/>
      </c>
      <c r="M218" s="22" t="n"/>
      <c r="N218" s="24">
        <f>IF(ISNUMBER(M218),DATE(YEAR(M218)+2,MONTH(M218),DAY(M218)),"")</f>
        <v/>
      </c>
      <c r="O218" s="21" t="n"/>
      <c r="P218" s="21" t="n"/>
      <c r="Q218" s="21" t="n"/>
    </row>
    <row r="219">
      <c r="A219" s="21" t="n"/>
      <c r="B219" s="21" t="n"/>
      <c r="C219" s="22" t="n"/>
      <c r="D219" s="21" t="n"/>
      <c r="E219" s="21" t="n"/>
      <c r="F219" s="22" t="n"/>
      <c r="G219" s="21" t="n"/>
      <c r="H219" s="22" t="n"/>
      <c r="I219" s="23" t="n"/>
      <c r="J219" s="24">
        <f>IF(ISNUMBER(H219),H219-IF(ISNUMBER(I219),I219,30),"")</f>
        <v/>
      </c>
      <c r="K219" s="25">
        <f>IF(H219="","",IF(ISNUMBER(H219),H219-TODAY(),"Check date"))</f>
        <v/>
      </c>
      <c r="L219" s="26">
        <f>IF(K219="","",IF(ISNUMBER(K219),IF(K219&lt;0,"Expired",IF(K219&lt;=30,"Due ≤30 days",IF(K219&lt;=90,"Due ≤90 days","OK"))),"Check date"))</f>
        <v/>
      </c>
      <c r="M219" s="22" t="n"/>
      <c r="N219" s="24">
        <f>IF(ISNUMBER(M219),DATE(YEAR(M219)+2,MONTH(M219),DAY(M219)),"")</f>
        <v/>
      </c>
      <c r="O219" s="21" t="n"/>
      <c r="P219" s="21" t="n"/>
      <c r="Q219" s="21" t="n"/>
    </row>
    <row r="220">
      <c r="A220" s="21" t="n"/>
      <c r="B220" s="21" t="n"/>
      <c r="C220" s="22" t="n"/>
      <c r="D220" s="21" t="n"/>
      <c r="E220" s="21" t="n"/>
      <c r="F220" s="22" t="n"/>
      <c r="G220" s="21" t="n"/>
      <c r="H220" s="22" t="n"/>
      <c r="I220" s="23" t="n"/>
      <c r="J220" s="24">
        <f>IF(ISNUMBER(H220),H220-IF(ISNUMBER(I220),I220,30),"")</f>
        <v/>
      </c>
      <c r="K220" s="25">
        <f>IF(H220="","",IF(ISNUMBER(H220),H220-TODAY(),"Check date"))</f>
        <v/>
      </c>
      <c r="L220" s="26">
        <f>IF(K220="","",IF(ISNUMBER(K220),IF(K220&lt;0,"Expired",IF(K220&lt;=30,"Due ≤30 days",IF(K220&lt;=90,"Due ≤90 days","OK"))),"Check date"))</f>
        <v/>
      </c>
      <c r="M220" s="22" t="n"/>
      <c r="N220" s="24">
        <f>IF(ISNUMBER(M220),DATE(YEAR(M220)+2,MONTH(M220),DAY(M220)),"")</f>
        <v/>
      </c>
      <c r="O220" s="21" t="n"/>
      <c r="P220" s="21" t="n"/>
      <c r="Q220" s="21" t="n"/>
    </row>
    <row r="221">
      <c r="A221" s="21" t="n"/>
      <c r="B221" s="21" t="n"/>
      <c r="C221" s="22" t="n"/>
      <c r="D221" s="21" t="n"/>
      <c r="E221" s="21" t="n"/>
      <c r="F221" s="22" t="n"/>
      <c r="G221" s="21" t="n"/>
      <c r="H221" s="22" t="n"/>
      <c r="I221" s="23" t="n"/>
      <c r="J221" s="24">
        <f>IF(ISNUMBER(H221),H221-IF(ISNUMBER(I221),I221,30),"")</f>
        <v/>
      </c>
      <c r="K221" s="25">
        <f>IF(H221="","",IF(ISNUMBER(H221),H221-TODAY(),"Check date"))</f>
        <v/>
      </c>
      <c r="L221" s="26">
        <f>IF(K221="","",IF(ISNUMBER(K221),IF(K221&lt;0,"Expired",IF(K221&lt;=30,"Due ≤30 days",IF(K221&lt;=90,"Due ≤90 days","OK"))),"Check date"))</f>
        <v/>
      </c>
      <c r="M221" s="22" t="n"/>
      <c r="N221" s="24">
        <f>IF(ISNUMBER(M221),DATE(YEAR(M221)+2,MONTH(M221),DAY(M221)),"")</f>
        <v/>
      </c>
      <c r="O221" s="21" t="n"/>
      <c r="P221" s="21" t="n"/>
      <c r="Q221" s="21" t="n"/>
    </row>
    <row r="222">
      <c r="A222" s="21" t="n"/>
      <c r="B222" s="21" t="n"/>
      <c r="C222" s="22" t="n"/>
      <c r="D222" s="21" t="n"/>
      <c r="E222" s="21" t="n"/>
      <c r="F222" s="22" t="n"/>
      <c r="G222" s="21" t="n"/>
      <c r="H222" s="22" t="n"/>
      <c r="I222" s="23" t="n"/>
      <c r="J222" s="24">
        <f>IF(ISNUMBER(H222),H222-IF(ISNUMBER(I222),I222,30),"")</f>
        <v/>
      </c>
      <c r="K222" s="25">
        <f>IF(H222="","",IF(ISNUMBER(H222),H222-TODAY(),"Check date"))</f>
        <v/>
      </c>
      <c r="L222" s="26">
        <f>IF(K222="","",IF(ISNUMBER(K222),IF(K222&lt;0,"Expired",IF(K222&lt;=30,"Due ≤30 days",IF(K222&lt;=90,"Due ≤90 days","OK"))),"Check date"))</f>
        <v/>
      </c>
      <c r="M222" s="22" t="n"/>
      <c r="N222" s="24">
        <f>IF(ISNUMBER(M222),DATE(YEAR(M222)+2,MONTH(M222),DAY(M222)),"")</f>
        <v/>
      </c>
      <c r="O222" s="21" t="n"/>
      <c r="P222" s="21" t="n"/>
      <c r="Q222" s="21" t="n"/>
    </row>
    <row r="223">
      <c r="A223" s="21" t="n"/>
      <c r="B223" s="21" t="n"/>
      <c r="C223" s="22" t="n"/>
      <c r="D223" s="21" t="n"/>
      <c r="E223" s="21" t="n"/>
      <c r="F223" s="22" t="n"/>
      <c r="G223" s="21" t="n"/>
      <c r="H223" s="22" t="n"/>
      <c r="I223" s="23" t="n"/>
      <c r="J223" s="24">
        <f>IF(ISNUMBER(H223),H223-IF(ISNUMBER(I223),I223,30),"")</f>
        <v/>
      </c>
      <c r="K223" s="25">
        <f>IF(H223="","",IF(ISNUMBER(H223),H223-TODAY(),"Check date"))</f>
        <v/>
      </c>
      <c r="L223" s="26">
        <f>IF(K223="","",IF(ISNUMBER(K223),IF(K223&lt;0,"Expired",IF(K223&lt;=30,"Due ≤30 days",IF(K223&lt;=90,"Due ≤90 days","OK"))),"Check date"))</f>
        <v/>
      </c>
      <c r="M223" s="22" t="n"/>
      <c r="N223" s="24">
        <f>IF(ISNUMBER(M223),DATE(YEAR(M223)+2,MONTH(M223),DAY(M223)),"")</f>
        <v/>
      </c>
      <c r="O223" s="21" t="n"/>
      <c r="P223" s="21" t="n"/>
      <c r="Q223" s="21" t="n"/>
    </row>
    <row r="224">
      <c r="A224" s="21" t="n"/>
      <c r="B224" s="21" t="n"/>
      <c r="C224" s="22" t="n"/>
      <c r="D224" s="21" t="n"/>
      <c r="E224" s="21" t="n"/>
      <c r="F224" s="22" t="n"/>
      <c r="G224" s="21" t="n"/>
      <c r="H224" s="22" t="n"/>
      <c r="I224" s="23" t="n"/>
      <c r="J224" s="24">
        <f>IF(ISNUMBER(H224),H224-IF(ISNUMBER(I224),I224,30),"")</f>
        <v/>
      </c>
      <c r="K224" s="25">
        <f>IF(H224="","",IF(ISNUMBER(H224),H224-TODAY(),"Check date"))</f>
        <v/>
      </c>
      <c r="L224" s="26">
        <f>IF(K224="","",IF(ISNUMBER(K224),IF(K224&lt;0,"Expired",IF(K224&lt;=30,"Due ≤30 days",IF(K224&lt;=90,"Due ≤90 days","OK"))),"Check date"))</f>
        <v/>
      </c>
      <c r="M224" s="22" t="n"/>
      <c r="N224" s="24">
        <f>IF(ISNUMBER(M224),DATE(YEAR(M224)+2,MONTH(M224),DAY(M224)),"")</f>
        <v/>
      </c>
      <c r="O224" s="21" t="n"/>
      <c r="P224" s="21" t="n"/>
      <c r="Q224" s="21" t="n"/>
    </row>
    <row r="225">
      <c r="A225" s="21" t="n"/>
      <c r="B225" s="21" t="n"/>
      <c r="C225" s="22" t="n"/>
      <c r="D225" s="21" t="n"/>
      <c r="E225" s="21" t="n"/>
      <c r="F225" s="22" t="n"/>
      <c r="G225" s="21" t="n"/>
      <c r="H225" s="22" t="n"/>
      <c r="I225" s="23" t="n"/>
      <c r="J225" s="24">
        <f>IF(ISNUMBER(H225),H225-IF(ISNUMBER(I225),I225,30),"")</f>
        <v/>
      </c>
      <c r="K225" s="25">
        <f>IF(H225="","",IF(ISNUMBER(H225),H225-TODAY(),"Check date"))</f>
        <v/>
      </c>
      <c r="L225" s="26">
        <f>IF(K225="","",IF(ISNUMBER(K225),IF(K225&lt;0,"Expired",IF(K225&lt;=30,"Due ≤30 days",IF(K225&lt;=90,"Due ≤90 days","OK"))),"Check date"))</f>
        <v/>
      </c>
      <c r="M225" s="22" t="n"/>
      <c r="N225" s="24">
        <f>IF(ISNUMBER(M225),DATE(YEAR(M225)+2,MONTH(M225),DAY(M225)),"")</f>
        <v/>
      </c>
      <c r="O225" s="21" t="n"/>
      <c r="P225" s="21" t="n"/>
      <c r="Q225" s="21" t="n"/>
    </row>
    <row r="226">
      <c r="A226" s="21" t="n"/>
      <c r="B226" s="21" t="n"/>
      <c r="C226" s="22" t="n"/>
      <c r="D226" s="21" t="n"/>
      <c r="E226" s="21" t="n"/>
      <c r="F226" s="22" t="n"/>
      <c r="G226" s="21" t="n"/>
      <c r="H226" s="22" t="n"/>
      <c r="I226" s="23" t="n"/>
      <c r="J226" s="24">
        <f>IF(ISNUMBER(H226),H226-IF(ISNUMBER(I226),I226,30),"")</f>
        <v/>
      </c>
      <c r="K226" s="25">
        <f>IF(H226="","",IF(ISNUMBER(H226),H226-TODAY(),"Check date"))</f>
        <v/>
      </c>
      <c r="L226" s="26">
        <f>IF(K226="","",IF(ISNUMBER(K226),IF(K226&lt;0,"Expired",IF(K226&lt;=30,"Due ≤30 days",IF(K226&lt;=90,"Due ≤90 days","OK"))),"Check date"))</f>
        <v/>
      </c>
      <c r="M226" s="22" t="n"/>
      <c r="N226" s="24">
        <f>IF(ISNUMBER(M226),DATE(YEAR(M226)+2,MONTH(M226),DAY(M226)),"")</f>
        <v/>
      </c>
      <c r="O226" s="21" t="n"/>
      <c r="P226" s="21" t="n"/>
      <c r="Q226" s="21" t="n"/>
    </row>
    <row r="227">
      <c r="A227" s="21" t="n"/>
      <c r="B227" s="21" t="n"/>
      <c r="C227" s="22" t="n"/>
      <c r="D227" s="21" t="n"/>
      <c r="E227" s="21" t="n"/>
      <c r="F227" s="22" t="n"/>
      <c r="G227" s="21" t="n"/>
      <c r="H227" s="22" t="n"/>
      <c r="I227" s="23" t="n"/>
      <c r="J227" s="24">
        <f>IF(ISNUMBER(H227),H227-IF(ISNUMBER(I227),I227,30),"")</f>
        <v/>
      </c>
      <c r="K227" s="25">
        <f>IF(H227="","",IF(ISNUMBER(H227),H227-TODAY(),"Check date"))</f>
        <v/>
      </c>
      <c r="L227" s="26">
        <f>IF(K227="","",IF(ISNUMBER(K227),IF(K227&lt;0,"Expired",IF(K227&lt;=30,"Due ≤30 days",IF(K227&lt;=90,"Due ≤90 days","OK"))),"Check date"))</f>
        <v/>
      </c>
      <c r="M227" s="22" t="n"/>
      <c r="N227" s="24">
        <f>IF(ISNUMBER(M227),DATE(YEAR(M227)+2,MONTH(M227),DAY(M227)),"")</f>
        <v/>
      </c>
      <c r="O227" s="21" t="n"/>
      <c r="P227" s="21" t="n"/>
      <c r="Q227" s="21" t="n"/>
    </row>
    <row r="228">
      <c r="A228" s="21" t="n"/>
      <c r="B228" s="21" t="n"/>
      <c r="C228" s="22" t="n"/>
      <c r="D228" s="21" t="n"/>
      <c r="E228" s="21" t="n"/>
      <c r="F228" s="22" t="n"/>
      <c r="G228" s="21" t="n"/>
      <c r="H228" s="22" t="n"/>
      <c r="I228" s="23" t="n"/>
      <c r="J228" s="24">
        <f>IF(ISNUMBER(H228),H228-IF(ISNUMBER(I228),I228,30),"")</f>
        <v/>
      </c>
      <c r="K228" s="25">
        <f>IF(H228="","",IF(ISNUMBER(H228),H228-TODAY(),"Check date"))</f>
        <v/>
      </c>
      <c r="L228" s="26">
        <f>IF(K228="","",IF(ISNUMBER(K228),IF(K228&lt;0,"Expired",IF(K228&lt;=30,"Due ≤30 days",IF(K228&lt;=90,"Due ≤90 days","OK"))),"Check date"))</f>
        <v/>
      </c>
      <c r="M228" s="22" t="n"/>
      <c r="N228" s="24">
        <f>IF(ISNUMBER(M228),DATE(YEAR(M228)+2,MONTH(M228),DAY(M228)),"")</f>
        <v/>
      </c>
      <c r="O228" s="21" t="n"/>
      <c r="P228" s="21" t="n"/>
      <c r="Q228" s="21" t="n"/>
    </row>
    <row r="229">
      <c r="A229" s="21" t="n"/>
      <c r="B229" s="21" t="n"/>
      <c r="C229" s="22" t="n"/>
      <c r="D229" s="21" t="n"/>
      <c r="E229" s="21" t="n"/>
      <c r="F229" s="22" t="n"/>
      <c r="G229" s="21" t="n"/>
      <c r="H229" s="22" t="n"/>
      <c r="I229" s="23" t="n"/>
      <c r="J229" s="24">
        <f>IF(ISNUMBER(H229),H229-IF(ISNUMBER(I229),I229,30),"")</f>
        <v/>
      </c>
      <c r="K229" s="25">
        <f>IF(H229="","",IF(ISNUMBER(H229),H229-TODAY(),"Check date"))</f>
        <v/>
      </c>
      <c r="L229" s="26">
        <f>IF(K229="","",IF(ISNUMBER(K229),IF(K229&lt;0,"Expired",IF(K229&lt;=30,"Due ≤30 days",IF(K229&lt;=90,"Due ≤90 days","OK"))),"Check date"))</f>
        <v/>
      </c>
      <c r="M229" s="22" t="n"/>
      <c r="N229" s="24">
        <f>IF(ISNUMBER(M229),DATE(YEAR(M229)+2,MONTH(M229),DAY(M229)),"")</f>
        <v/>
      </c>
      <c r="O229" s="21" t="n"/>
      <c r="P229" s="21" t="n"/>
      <c r="Q229" s="21" t="n"/>
    </row>
    <row r="230">
      <c r="A230" s="21" t="n"/>
      <c r="B230" s="21" t="n"/>
      <c r="C230" s="22" t="n"/>
      <c r="D230" s="21" t="n"/>
      <c r="E230" s="21" t="n"/>
      <c r="F230" s="22" t="n"/>
      <c r="G230" s="21" t="n"/>
      <c r="H230" s="22" t="n"/>
      <c r="I230" s="23" t="n"/>
      <c r="J230" s="24">
        <f>IF(ISNUMBER(H230),H230-IF(ISNUMBER(I230),I230,30),"")</f>
        <v/>
      </c>
      <c r="K230" s="25">
        <f>IF(H230="","",IF(ISNUMBER(H230),H230-TODAY(),"Check date"))</f>
        <v/>
      </c>
      <c r="L230" s="26">
        <f>IF(K230="","",IF(ISNUMBER(K230),IF(K230&lt;0,"Expired",IF(K230&lt;=30,"Due ≤30 days",IF(K230&lt;=90,"Due ≤90 days","OK"))),"Check date"))</f>
        <v/>
      </c>
      <c r="M230" s="22" t="n"/>
      <c r="N230" s="24">
        <f>IF(ISNUMBER(M230),DATE(YEAR(M230)+2,MONTH(M230),DAY(M230)),"")</f>
        <v/>
      </c>
      <c r="O230" s="21" t="n"/>
      <c r="P230" s="21" t="n"/>
      <c r="Q230" s="21" t="n"/>
    </row>
    <row r="231">
      <c r="A231" s="21" t="n"/>
      <c r="B231" s="21" t="n"/>
      <c r="C231" s="22" t="n"/>
      <c r="D231" s="21" t="n"/>
      <c r="E231" s="21" t="n"/>
      <c r="F231" s="22" t="n"/>
      <c r="G231" s="21" t="n"/>
      <c r="H231" s="22" t="n"/>
      <c r="I231" s="23" t="n"/>
      <c r="J231" s="24">
        <f>IF(ISNUMBER(H231),H231-IF(ISNUMBER(I231),I231,30),"")</f>
        <v/>
      </c>
      <c r="K231" s="25">
        <f>IF(H231="","",IF(ISNUMBER(H231),H231-TODAY(),"Check date"))</f>
        <v/>
      </c>
      <c r="L231" s="26">
        <f>IF(K231="","",IF(ISNUMBER(K231),IF(K231&lt;0,"Expired",IF(K231&lt;=30,"Due ≤30 days",IF(K231&lt;=90,"Due ≤90 days","OK"))),"Check date"))</f>
        <v/>
      </c>
      <c r="M231" s="22" t="n"/>
      <c r="N231" s="24">
        <f>IF(ISNUMBER(M231),DATE(YEAR(M231)+2,MONTH(M231),DAY(M231)),"")</f>
        <v/>
      </c>
      <c r="O231" s="21" t="n"/>
      <c r="P231" s="21" t="n"/>
      <c r="Q231" s="21" t="n"/>
    </row>
    <row r="232">
      <c r="A232" s="21" t="n"/>
      <c r="B232" s="21" t="n"/>
      <c r="C232" s="22" t="n"/>
      <c r="D232" s="21" t="n"/>
      <c r="E232" s="21" t="n"/>
      <c r="F232" s="22" t="n"/>
      <c r="G232" s="21" t="n"/>
      <c r="H232" s="22" t="n"/>
      <c r="I232" s="23" t="n"/>
      <c r="J232" s="24">
        <f>IF(ISNUMBER(H232),H232-IF(ISNUMBER(I232),I232,30),"")</f>
        <v/>
      </c>
      <c r="K232" s="25">
        <f>IF(H232="","",IF(ISNUMBER(H232),H232-TODAY(),"Check date"))</f>
        <v/>
      </c>
      <c r="L232" s="26">
        <f>IF(K232="","",IF(ISNUMBER(K232),IF(K232&lt;0,"Expired",IF(K232&lt;=30,"Due ≤30 days",IF(K232&lt;=90,"Due ≤90 days","OK"))),"Check date"))</f>
        <v/>
      </c>
      <c r="M232" s="22" t="n"/>
      <c r="N232" s="24">
        <f>IF(ISNUMBER(M232),DATE(YEAR(M232)+2,MONTH(M232),DAY(M232)),"")</f>
        <v/>
      </c>
      <c r="O232" s="21" t="n"/>
      <c r="P232" s="21" t="n"/>
      <c r="Q232" s="21" t="n"/>
    </row>
    <row r="233">
      <c r="A233" s="21" t="n"/>
      <c r="B233" s="21" t="n"/>
      <c r="C233" s="22" t="n"/>
      <c r="D233" s="21" t="n"/>
      <c r="E233" s="21" t="n"/>
      <c r="F233" s="22" t="n"/>
      <c r="G233" s="21" t="n"/>
      <c r="H233" s="22" t="n"/>
      <c r="I233" s="23" t="n"/>
      <c r="J233" s="24">
        <f>IF(ISNUMBER(H233),H233-IF(ISNUMBER(I233),I233,30),"")</f>
        <v/>
      </c>
      <c r="K233" s="25">
        <f>IF(H233="","",IF(ISNUMBER(H233),H233-TODAY(),"Check date"))</f>
        <v/>
      </c>
      <c r="L233" s="26">
        <f>IF(K233="","",IF(ISNUMBER(K233),IF(K233&lt;0,"Expired",IF(K233&lt;=30,"Due ≤30 days",IF(K233&lt;=90,"Due ≤90 days","OK"))),"Check date"))</f>
        <v/>
      </c>
      <c r="M233" s="22" t="n"/>
      <c r="N233" s="24">
        <f>IF(ISNUMBER(M233),DATE(YEAR(M233)+2,MONTH(M233),DAY(M233)),"")</f>
        <v/>
      </c>
      <c r="O233" s="21" t="n"/>
      <c r="P233" s="21" t="n"/>
      <c r="Q233" s="21" t="n"/>
    </row>
    <row r="234">
      <c r="A234" s="21" t="n"/>
      <c r="B234" s="21" t="n"/>
      <c r="C234" s="22" t="n"/>
      <c r="D234" s="21" t="n"/>
      <c r="E234" s="21" t="n"/>
      <c r="F234" s="22" t="n"/>
      <c r="G234" s="21" t="n"/>
      <c r="H234" s="22" t="n"/>
      <c r="I234" s="23" t="n"/>
      <c r="J234" s="24">
        <f>IF(ISNUMBER(H234),H234-IF(ISNUMBER(I234),I234,30),"")</f>
        <v/>
      </c>
      <c r="K234" s="25">
        <f>IF(H234="","",IF(ISNUMBER(H234),H234-TODAY(),"Check date"))</f>
        <v/>
      </c>
      <c r="L234" s="26">
        <f>IF(K234="","",IF(ISNUMBER(K234),IF(K234&lt;0,"Expired",IF(K234&lt;=30,"Due ≤30 days",IF(K234&lt;=90,"Due ≤90 days","OK"))),"Check date"))</f>
        <v/>
      </c>
      <c r="M234" s="22" t="n"/>
      <c r="N234" s="24">
        <f>IF(ISNUMBER(M234),DATE(YEAR(M234)+2,MONTH(M234),DAY(M234)),"")</f>
        <v/>
      </c>
      <c r="O234" s="21" t="n"/>
      <c r="P234" s="21" t="n"/>
      <c r="Q234" s="21" t="n"/>
    </row>
    <row r="235">
      <c r="A235" s="21" t="n"/>
      <c r="B235" s="21" t="n"/>
      <c r="C235" s="22" t="n"/>
      <c r="D235" s="21" t="n"/>
      <c r="E235" s="21" t="n"/>
      <c r="F235" s="22" t="n"/>
      <c r="G235" s="21" t="n"/>
      <c r="H235" s="22" t="n"/>
      <c r="I235" s="23" t="n"/>
      <c r="J235" s="24">
        <f>IF(ISNUMBER(H235),H235-IF(ISNUMBER(I235),I235,30),"")</f>
        <v/>
      </c>
      <c r="K235" s="25">
        <f>IF(H235="","",IF(ISNUMBER(H235),H235-TODAY(),"Check date"))</f>
        <v/>
      </c>
      <c r="L235" s="26">
        <f>IF(K235="","",IF(ISNUMBER(K235),IF(K235&lt;0,"Expired",IF(K235&lt;=30,"Due ≤30 days",IF(K235&lt;=90,"Due ≤90 days","OK"))),"Check date"))</f>
        <v/>
      </c>
      <c r="M235" s="22" t="n"/>
      <c r="N235" s="24">
        <f>IF(ISNUMBER(M235),DATE(YEAR(M235)+2,MONTH(M235),DAY(M235)),"")</f>
        <v/>
      </c>
      <c r="O235" s="21" t="n"/>
      <c r="P235" s="21" t="n"/>
      <c r="Q235" s="21" t="n"/>
    </row>
    <row r="236">
      <c r="A236" s="21" t="n"/>
      <c r="B236" s="21" t="n"/>
      <c r="C236" s="22" t="n"/>
      <c r="D236" s="21" t="n"/>
      <c r="E236" s="21" t="n"/>
      <c r="F236" s="22" t="n"/>
      <c r="G236" s="21" t="n"/>
      <c r="H236" s="22" t="n"/>
      <c r="I236" s="23" t="n"/>
      <c r="J236" s="24">
        <f>IF(ISNUMBER(H236),H236-IF(ISNUMBER(I236),I236,30),"")</f>
        <v/>
      </c>
      <c r="K236" s="25">
        <f>IF(H236="","",IF(ISNUMBER(H236),H236-TODAY(),"Check date"))</f>
        <v/>
      </c>
      <c r="L236" s="26">
        <f>IF(K236="","",IF(ISNUMBER(K236),IF(K236&lt;0,"Expired",IF(K236&lt;=30,"Due ≤30 days",IF(K236&lt;=90,"Due ≤90 days","OK"))),"Check date"))</f>
        <v/>
      </c>
      <c r="M236" s="22" t="n"/>
      <c r="N236" s="24">
        <f>IF(ISNUMBER(M236),DATE(YEAR(M236)+2,MONTH(M236),DAY(M236)),"")</f>
        <v/>
      </c>
      <c r="O236" s="21" t="n"/>
      <c r="P236" s="21" t="n"/>
      <c r="Q236" s="21" t="n"/>
    </row>
    <row r="237">
      <c r="A237" s="21" t="n"/>
      <c r="B237" s="21" t="n"/>
      <c r="C237" s="22" t="n"/>
      <c r="D237" s="21" t="n"/>
      <c r="E237" s="21" t="n"/>
      <c r="F237" s="22" t="n"/>
      <c r="G237" s="21" t="n"/>
      <c r="H237" s="22" t="n"/>
      <c r="I237" s="23" t="n"/>
      <c r="J237" s="24">
        <f>IF(ISNUMBER(H237),H237-IF(ISNUMBER(I237),I237,30),"")</f>
        <v/>
      </c>
      <c r="K237" s="25">
        <f>IF(H237="","",IF(ISNUMBER(H237),H237-TODAY(),"Check date"))</f>
        <v/>
      </c>
      <c r="L237" s="26">
        <f>IF(K237="","",IF(ISNUMBER(K237),IF(K237&lt;0,"Expired",IF(K237&lt;=30,"Due ≤30 days",IF(K237&lt;=90,"Due ≤90 days","OK"))),"Check date"))</f>
        <v/>
      </c>
      <c r="M237" s="22" t="n"/>
      <c r="N237" s="24">
        <f>IF(ISNUMBER(M237),DATE(YEAR(M237)+2,MONTH(M237),DAY(M237)),"")</f>
        <v/>
      </c>
      <c r="O237" s="21" t="n"/>
      <c r="P237" s="21" t="n"/>
      <c r="Q237" s="21" t="n"/>
    </row>
    <row r="238">
      <c r="A238" s="21" t="n"/>
      <c r="B238" s="21" t="n"/>
      <c r="C238" s="22" t="n"/>
      <c r="D238" s="21" t="n"/>
      <c r="E238" s="21" t="n"/>
      <c r="F238" s="22" t="n"/>
      <c r="G238" s="21" t="n"/>
      <c r="H238" s="22" t="n"/>
      <c r="I238" s="23" t="n"/>
      <c r="J238" s="24">
        <f>IF(ISNUMBER(H238),H238-IF(ISNUMBER(I238),I238,30),"")</f>
        <v/>
      </c>
      <c r="K238" s="25">
        <f>IF(H238="","",IF(ISNUMBER(H238),H238-TODAY(),"Check date"))</f>
        <v/>
      </c>
      <c r="L238" s="26">
        <f>IF(K238="","",IF(ISNUMBER(K238),IF(K238&lt;0,"Expired",IF(K238&lt;=30,"Due ≤30 days",IF(K238&lt;=90,"Due ≤90 days","OK"))),"Check date"))</f>
        <v/>
      </c>
      <c r="M238" s="22" t="n"/>
      <c r="N238" s="24">
        <f>IF(ISNUMBER(M238),DATE(YEAR(M238)+2,MONTH(M238),DAY(M238)),"")</f>
        <v/>
      </c>
      <c r="O238" s="21" t="n"/>
      <c r="P238" s="21" t="n"/>
      <c r="Q238" s="21" t="n"/>
    </row>
    <row r="239">
      <c r="A239" s="21" t="n"/>
      <c r="B239" s="21" t="n"/>
      <c r="C239" s="22" t="n"/>
      <c r="D239" s="21" t="n"/>
      <c r="E239" s="21" t="n"/>
      <c r="F239" s="22" t="n"/>
      <c r="G239" s="21" t="n"/>
      <c r="H239" s="22" t="n"/>
      <c r="I239" s="23" t="n"/>
      <c r="J239" s="24">
        <f>IF(ISNUMBER(H239),H239-IF(ISNUMBER(I239),I239,30),"")</f>
        <v/>
      </c>
      <c r="K239" s="25">
        <f>IF(H239="","",IF(ISNUMBER(H239),H239-TODAY(),"Check date"))</f>
        <v/>
      </c>
      <c r="L239" s="26">
        <f>IF(K239="","",IF(ISNUMBER(K239),IF(K239&lt;0,"Expired",IF(K239&lt;=30,"Due ≤30 days",IF(K239&lt;=90,"Due ≤90 days","OK"))),"Check date"))</f>
        <v/>
      </c>
      <c r="M239" s="22" t="n"/>
      <c r="N239" s="24">
        <f>IF(ISNUMBER(M239),DATE(YEAR(M239)+2,MONTH(M239),DAY(M239)),"")</f>
        <v/>
      </c>
      <c r="O239" s="21" t="n"/>
      <c r="P239" s="21" t="n"/>
      <c r="Q239" s="21" t="n"/>
    </row>
    <row r="240">
      <c r="A240" s="21" t="n"/>
      <c r="B240" s="21" t="n"/>
      <c r="C240" s="22" t="n"/>
      <c r="D240" s="21" t="n"/>
      <c r="E240" s="21" t="n"/>
      <c r="F240" s="22" t="n"/>
      <c r="G240" s="21" t="n"/>
      <c r="H240" s="22" t="n"/>
      <c r="I240" s="23" t="n"/>
      <c r="J240" s="24">
        <f>IF(ISNUMBER(H240),H240-IF(ISNUMBER(I240),I240,30),"")</f>
        <v/>
      </c>
      <c r="K240" s="25">
        <f>IF(H240="","",IF(ISNUMBER(H240),H240-TODAY(),"Check date"))</f>
        <v/>
      </c>
      <c r="L240" s="26">
        <f>IF(K240="","",IF(ISNUMBER(K240),IF(K240&lt;0,"Expired",IF(K240&lt;=30,"Due ≤30 days",IF(K240&lt;=90,"Due ≤90 days","OK"))),"Check date"))</f>
        <v/>
      </c>
      <c r="M240" s="22" t="n"/>
      <c r="N240" s="24">
        <f>IF(ISNUMBER(M240),DATE(YEAR(M240)+2,MONTH(M240),DAY(M240)),"")</f>
        <v/>
      </c>
      <c r="O240" s="21" t="n"/>
      <c r="P240" s="21" t="n"/>
      <c r="Q240" s="21" t="n"/>
    </row>
    <row r="241">
      <c r="A241" s="21" t="n"/>
      <c r="B241" s="21" t="n"/>
      <c r="C241" s="22" t="n"/>
      <c r="D241" s="21" t="n"/>
      <c r="E241" s="21" t="n"/>
      <c r="F241" s="22" t="n"/>
      <c r="G241" s="21" t="n"/>
      <c r="H241" s="22" t="n"/>
      <c r="I241" s="23" t="n"/>
      <c r="J241" s="24">
        <f>IF(ISNUMBER(H241),H241-IF(ISNUMBER(I241),I241,30),"")</f>
        <v/>
      </c>
      <c r="K241" s="25">
        <f>IF(H241="","",IF(ISNUMBER(H241),H241-TODAY(),"Check date"))</f>
        <v/>
      </c>
      <c r="L241" s="26">
        <f>IF(K241="","",IF(ISNUMBER(K241),IF(K241&lt;0,"Expired",IF(K241&lt;=30,"Due ≤30 days",IF(K241&lt;=90,"Due ≤90 days","OK"))),"Check date"))</f>
        <v/>
      </c>
      <c r="M241" s="22" t="n"/>
      <c r="N241" s="24">
        <f>IF(ISNUMBER(M241),DATE(YEAR(M241)+2,MONTH(M241),DAY(M241)),"")</f>
        <v/>
      </c>
      <c r="O241" s="21" t="n"/>
      <c r="P241" s="21" t="n"/>
      <c r="Q241" s="21" t="n"/>
    </row>
    <row r="242">
      <c r="A242" s="21" t="n"/>
      <c r="B242" s="21" t="n"/>
      <c r="C242" s="22" t="n"/>
      <c r="D242" s="21" t="n"/>
      <c r="E242" s="21" t="n"/>
      <c r="F242" s="22" t="n"/>
      <c r="G242" s="21" t="n"/>
      <c r="H242" s="22" t="n"/>
      <c r="I242" s="23" t="n"/>
      <c r="J242" s="24">
        <f>IF(ISNUMBER(H242),H242-IF(ISNUMBER(I242),I242,30),"")</f>
        <v/>
      </c>
      <c r="K242" s="25">
        <f>IF(H242="","",IF(ISNUMBER(H242),H242-TODAY(),"Check date"))</f>
        <v/>
      </c>
      <c r="L242" s="26">
        <f>IF(K242="","",IF(ISNUMBER(K242),IF(K242&lt;0,"Expired",IF(K242&lt;=30,"Due ≤30 days",IF(K242&lt;=90,"Due ≤90 days","OK"))),"Check date"))</f>
        <v/>
      </c>
      <c r="M242" s="22" t="n"/>
      <c r="N242" s="24">
        <f>IF(ISNUMBER(M242),DATE(YEAR(M242)+2,MONTH(M242),DAY(M242)),"")</f>
        <v/>
      </c>
      <c r="O242" s="21" t="n"/>
      <c r="P242" s="21" t="n"/>
      <c r="Q242" s="21" t="n"/>
    </row>
    <row r="243">
      <c r="A243" s="21" t="n"/>
      <c r="B243" s="21" t="n"/>
      <c r="C243" s="22" t="n"/>
      <c r="D243" s="21" t="n"/>
      <c r="E243" s="21" t="n"/>
      <c r="F243" s="22" t="n"/>
      <c r="G243" s="21" t="n"/>
      <c r="H243" s="22" t="n"/>
      <c r="I243" s="23" t="n"/>
      <c r="J243" s="24">
        <f>IF(ISNUMBER(H243),H243-IF(ISNUMBER(I243),I243,30),"")</f>
        <v/>
      </c>
      <c r="K243" s="25">
        <f>IF(H243="","",IF(ISNUMBER(H243),H243-TODAY(),"Check date"))</f>
        <v/>
      </c>
      <c r="L243" s="26">
        <f>IF(K243="","",IF(ISNUMBER(K243),IF(K243&lt;0,"Expired",IF(K243&lt;=30,"Due ≤30 days",IF(K243&lt;=90,"Due ≤90 days","OK"))),"Check date"))</f>
        <v/>
      </c>
      <c r="M243" s="22" t="n"/>
      <c r="N243" s="24">
        <f>IF(ISNUMBER(M243),DATE(YEAR(M243)+2,MONTH(M243),DAY(M243)),"")</f>
        <v/>
      </c>
      <c r="O243" s="21" t="n"/>
      <c r="P243" s="21" t="n"/>
      <c r="Q243" s="21" t="n"/>
    </row>
    <row r="244">
      <c r="A244" s="21" t="n"/>
      <c r="B244" s="21" t="n"/>
      <c r="C244" s="22" t="n"/>
      <c r="D244" s="21" t="n"/>
      <c r="E244" s="21" t="n"/>
      <c r="F244" s="22" t="n"/>
      <c r="G244" s="21" t="n"/>
      <c r="H244" s="22" t="n"/>
      <c r="I244" s="23" t="n"/>
      <c r="J244" s="24">
        <f>IF(ISNUMBER(H244),H244-IF(ISNUMBER(I244),I244,30),"")</f>
        <v/>
      </c>
      <c r="K244" s="25">
        <f>IF(H244="","",IF(ISNUMBER(H244),H244-TODAY(),"Check date"))</f>
        <v/>
      </c>
      <c r="L244" s="26">
        <f>IF(K244="","",IF(ISNUMBER(K244),IF(K244&lt;0,"Expired",IF(K244&lt;=30,"Due ≤30 days",IF(K244&lt;=90,"Due ≤90 days","OK"))),"Check date"))</f>
        <v/>
      </c>
      <c r="M244" s="22" t="n"/>
      <c r="N244" s="24">
        <f>IF(ISNUMBER(M244),DATE(YEAR(M244)+2,MONTH(M244),DAY(M244)),"")</f>
        <v/>
      </c>
      <c r="O244" s="21" t="n"/>
      <c r="P244" s="21" t="n"/>
      <c r="Q244" s="21" t="n"/>
    </row>
    <row r="245">
      <c r="A245" s="21" t="n"/>
      <c r="B245" s="21" t="n"/>
      <c r="C245" s="22" t="n"/>
      <c r="D245" s="21" t="n"/>
      <c r="E245" s="21" t="n"/>
      <c r="F245" s="22" t="n"/>
      <c r="G245" s="21" t="n"/>
      <c r="H245" s="22" t="n"/>
      <c r="I245" s="23" t="n"/>
      <c r="J245" s="24">
        <f>IF(ISNUMBER(H245),H245-IF(ISNUMBER(I245),I245,30),"")</f>
        <v/>
      </c>
      <c r="K245" s="25">
        <f>IF(H245="","",IF(ISNUMBER(H245),H245-TODAY(),"Check date"))</f>
        <v/>
      </c>
      <c r="L245" s="26">
        <f>IF(K245="","",IF(ISNUMBER(K245),IF(K245&lt;0,"Expired",IF(K245&lt;=30,"Due ≤30 days",IF(K245&lt;=90,"Due ≤90 days","OK"))),"Check date"))</f>
        <v/>
      </c>
      <c r="M245" s="22" t="n"/>
      <c r="N245" s="24">
        <f>IF(ISNUMBER(M245),DATE(YEAR(M245)+2,MONTH(M245),DAY(M245)),"")</f>
        <v/>
      </c>
      <c r="O245" s="21" t="n"/>
      <c r="P245" s="21" t="n"/>
      <c r="Q245" s="21" t="n"/>
    </row>
    <row r="246">
      <c r="A246" s="21" t="n"/>
      <c r="B246" s="21" t="n"/>
      <c r="C246" s="22" t="n"/>
      <c r="D246" s="21" t="n"/>
      <c r="E246" s="21" t="n"/>
      <c r="F246" s="22" t="n"/>
      <c r="G246" s="21" t="n"/>
      <c r="H246" s="22" t="n"/>
      <c r="I246" s="23" t="n"/>
      <c r="J246" s="24">
        <f>IF(ISNUMBER(H246),H246-IF(ISNUMBER(I246),I246,30),"")</f>
        <v/>
      </c>
      <c r="K246" s="25">
        <f>IF(H246="","",IF(ISNUMBER(H246),H246-TODAY(),"Check date"))</f>
        <v/>
      </c>
      <c r="L246" s="26">
        <f>IF(K246="","",IF(ISNUMBER(K246),IF(K246&lt;0,"Expired",IF(K246&lt;=30,"Due ≤30 days",IF(K246&lt;=90,"Due ≤90 days","OK"))),"Check date"))</f>
        <v/>
      </c>
      <c r="M246" s="22" t="n"/>
      <c r="N246" s="24">
        <f>IF(ISNUMBER(M246),DATE(YEAR(M246)+2,MONTH(M246),DAY(M246)),"")</f>
        <v/>
      </c>
      <c r="O246" s="21" t="n"/>
      <c r="P246" s="21" t="n"/>
      <c r="Q246" s="21" t="n"/>
    </row>
    <row r="247">
      <c r="A247" s="21" t="n"/>
      <c r="B247" s="21" t="n"/>
      <c r="C247" s="22" t="n"/>
      <c r="D247" s="21" t="n"/>
      <c r="E247" s="21" t="n"/>
      <c r="F247" s="22" t="n"/>
      <c r="G247" s="21" t="n"/>
      <c r="H247" s="22" t="n"/>
      <c r="I247" s="23" t="n"/>
      <c r="J247" s="24">
        <f>IF(ISNUMBER(H247),H247-IF(ISNUMBER(I247),I247,30),"")</f>
        <v/>
      </c>
      <c r="K247" s="25">
        <f>IF(H247="","",IF(ISNUMBER(H247),H247-TODAY(),"Check date"))</f>
        <v/>
      </c>
      <c r="L247" s="26">
        <f>IF(K247="","",IF(ISNUMBER(K247),IF(K247&lt;0,"Expired",IF(K247&lt;=30,"Due ≤30 days",IF(K247&lt;=90,"Due ≤90 days","OK"))),"Check date"))</f>
        <v/>
      </c>
      <c r="M247" s="22" t="n"/>
      <c r="N247" s="24">
        <f>IF(ISNUMBER(M247),DATE(YEAR(M247)+2,MONTH(M247),DAY(M247)),"")</f>
        <v/>
      </c>
      <c r="O247" s="21" t="n"/>
      <c r="P247" s="21" t="n"/>
      <c r="Q247" s="21" t="n"/>
    </row>
    <row r="248">
      <c r="A248" s="21" t="n"/>
      <c r="B248" s="21" t="n"/>
      <c r="C248" s="22" t="n"/>
      <c r="D248" s="21" t="n"/>
      <c r="E248" s="21" t="n"/>
      <c r="F248" s="22" t="n"/>
      <c r="G248" s="21" t="n"/>
      <c r="H248" s="22" t="n"/>
      <c r="I248" s="23" t="n"/>
      <c r="J248" s="24">
        <f>IF(ISNUMBER(H248),H248-IF(ISNUMBER(I248),I248,30),"")</f>
        <v/>
      </c>
      <c r="K248" s="25">
        <f>IF(H248="","",IF(ISNUMBER(H248),H248-TODAY(),"Check date"))</f>
        <v/>
      </c>
      <c r="L248" s="26">
        <f>IF(K248="","",IF(ISNUMBER(K248),IF(K248&lt;0,"Expired",IF(K248&lt;=30,"Due ≤30 days",IF(K248&lt;=90,"Due ≤90 days","OK"))),"Check date"))</f>
        <v/>
      </c>
      <c r="M248" s="22" t="n"/>
      <c r="N248" s="24">
        <f>IF(ISNUMBER(M248),DATE(YEAR(M248)+2,MONTH(M248),DAY(M248)),"")</f>
        <v/>
      </c>
      <c r="O248" s="21" t="n"/>
      <c r="P248" s="21" t="n"/>
      <c r="Q248" s="21" t="n"/>
    </row>
    <row r="249">
      <c r="A249" s="21" t="n"/>
      <c r="B249" s="21" t="n"/>
      <c r="C249" s="22" t="n"/>
      <c r="D249" s="21" t="n"/>
      <c r="E249" s="21" t="n"/>
      <c r="F249" s="22" t="n"/>
      <c r="G249" s="21" t="n"/>
      <c r="H249" s="22" t="n"/>
      <c r="I249" s="23" t="n"/>
      <c r="J249" s="24">
        <f>IF(ISNUMBER(H249),H249-IF(ISNUMBER(I249),I249,30),"")</f>
        <v/>
      </c>
      <c r="K249" s="25">
        <f>IF(H249="","",IF(ISNUMBER(H249),H249-TODAY(),"Check date"))</f>
        <v/>
      </c>
      <c r="L249" s="26">
        <f>IF(K249="","",IF(ISNUMBER(K249),IF(K249&lt;0,"Expired",IF(K249&lt;=30,"Due ≤30 days",IF(K249&lt;=90,"Due ≤90 days","OK"))),"Check date"))</f>
        <v/>
      </c>
      <c r="M249" s="22" t="n"/>
      <c r="N249" s="24">
        <f>IF(ISNUMBER(M249),DATE(YEAR(M249)+2,MONTH(M249),DAY(M249)),"")</f>
        <v/>
      </c>
      <c r="O249" s="21" t="n"/>
      <c r="P249" s="21" t="n"/>
      <c r="Q249" s="21" t="n"/>
    </row>
    <row r="250">
      <c r="A250" s="21" t="n"/>
      <c r="B250" s="21" t="n"/>
      <c r="C250" s="22" t="n"/>
      <c r="D250" s="21" t="n"/>
      <c r="E250" s="21" t="n"/>
      <c r="F250" s="22" t="n"/>
      <c r="G250" s="21" t="n"/>
      <c r="H250" s="22" t="n"/>
      <c r="I250" s="23" t="n"/>
      <c r="J250" s="24">
        <f>IF(ISNUMBER(H250),H250-IF(ISNUMBER(I250),I250,30),"")</f>
        <v/>
      </c>
      <c r="K250" s="25">
        <f>IF(H250="","",IF(ISNUMBER(H250),H250-TODAY(),"Check date"))</f>
        <v/>
      </c>
      <c r="L250" s="26">
        <f>IF(K250="","",IF(ISNUMBER(K250),IF(K250&lt;0,"Expired",IF(K250&lt;=30,"Due ≤30 days",IF(K250&lt;=90,"Due ≤90 days","OK"))),"Check date"))</f>
        <v/>
      </c>
      <c r="M250" s="22" t="n"/>
      <c r="N250" s="24">
        <f>IF(ISNUMBER(M250),DATE(YEAR(M250)+2,MONTH(M250),DAY(M250)),"")</f>
        <v/>
      </c>
      <c r="O250" s="21" t="n"/>
      <c r="P250" s="21" t="n"/>
      <c r="Q250" s="21" t="n"/>
    </row>
    <row r="251">
      <c r="A251" s="21" t="n"/>
      <c r="B251" s="21" t="n"/>
      <c r="C251" s="22" t="n"/>
      <c r="D251" s="21" t="n"/>
      <c r="E251" s="21" t="n"/>
      <c r="F251" s="22" t="n"/>
      <c r="G251" s="21" t="n"/>
      <c r="H251" s="22" t="n"/>
      <c r="I251" s="23" t="n"/>
      <c r="J251" s="24">
        <f>IF(ISNUMBER(H251),H251-IF(ISNUMBER(I251),I251,30),"")</f>
        <v/>
      </c>
      <c r="K251" s="25">
        <f>IF(H251="","",IF(ISNUMBER(H251),H251-TODAY(),"Check date"))</f>
        <v/>
      </c>
      <c r="L251" s="26">
        <f>IF(K251="","",IF(ISNUMBER(K251),IF(K251&lt;0,"Expired",IF(K251&lt;=30,"Due ≤30 days",IF(K251&lt;=90,"Due ≤90 days","OK"))),"Check date"))</f>
        <v/>
      </c>
      <c r="M251" s="22" t="n"/>
      <c r="N251" s="24">
        <f>IF(ISNUMBER(M251),DATE(YEAR(M251)+2,MONTH(M251),DAY(M251)),"")</f>
        <v/>
      </c>
      <c r="O251" s="21" t="n"/>
      <c r="P251" s="21" t="n"/>
      <c r="Q251" s="21" t="n"/>
    </row>
    <row r="252">
      <c r="A252" s="21" t="n"/>
      <c r="B252" s="21" t="n"/>
      <c r="C252" s="22" t="n"/>
      <c r="D252" s="21" t="n"/>
      <c r="E252" s="21" t="n"/>
      <c r="F252" s="22" t="n"/>
      <c r="G252" s="21" t="n"/>
      <c r="H252" s="22" t="n"/>
      <c r="I252" s="23" t="n"/>
      <c r="J252" s="24">
        <f>IF(ISNUMBER(H252),H252-IF(ISNUMBER(I252),I252,30),"")</f>
        <v/>
      </c>
      <c r="K252" s="25">
        <f>IF(H252="","",IF(ISNUMBER(H252),H252-TODAY(),"Check date"))</f>
        <v/>
      </c>
      <c r="L252" s="26">
        <f>IF(K252="","",IF(ISNUMBER(K252),IF(K252&lt;0,"Expired",IF(K252&lt;=30,"Due ≤30 days",IF(K252&lt;=90,"Due ≤90 days","OK"))),"Check date"))</f>
        <v/>
      </c>
      <c r="M252" s="22" t="n"/>
      <c r="N252" s="24">
        <f>IF(ISNUMBER(M252),DATE(YEAR(M252)+2,MONTH(M252),DAY(M252)),"")</f>
        <v/>
      </c>
      <c r="O252" s="21" t="n"/>
      <c r="P252" s="21" t="n"/>
      <c r="Q252" s="21" t="n"/>
    </row>
    <row r="253">
      <c r="A253" s="21" t="n"/>
      <c r="B253" s="21" t="n"/>
      <c r="C253" s="22" t="n"/>
      <c r="D253" s="21" t="n"/>
      <c r="E253" s="21" t="n"/>
      <c r="F253" s="22" t="n"/>
      <c r="G253" s="21" t="n"/>
      <c r="H253" s="22" t="n"/>
      <c r="I253" s="23" t="n"/>
      <c r="J253" s="24">
        <f>IF(ISNUMBER(H253),H253-IF(ISNUMBER(I253),I253,30),"")</f>
        <v/>
      </c>
      <c r="K253" s="25">
        <f>IF(H253="","",IF(ISNUMBER(H253),H253-TODAY(),"Check date"))</f>
        <v/>
      </c>
      <c r="L253" s="26">
        <f>IF(K253="","",IF(ISNUMBER(K253),IF(K253&lt;0,"Expired",IF(K253&lt;=30,"Due ≤30 days",IF(K253&lt;=90,"Due ≤90 days","OK"))),"Check date"))</f>
        <v/>
      </c>
      <c r="M253" s="22" t="n"/>
      <c r="N253" s="24">
        <f>IF(ISNUMBER(M253),DATE(YEAR(M253)+2,MONTH(M253),DAY(M253)),"")</f>
        <v/>
      </c>
      <c r="O253" s="21" t="n"/>
      <c r="P253" s="21" t="n"/>
      <c r="Q253" s="21" t="n"/>
    </row>
    <row r="254">
      <c r="A254" s="21" t="n"/>
      <c r="B254" s="21" t="n"/>
      <c r="C254" s="22" t="n"/>
      <c r="D254" s="21" t="n"/>
      <c r="E254" s="21" t="n"/>
      <c r="F254" s="22" t="n"/>
      <c r="G254" s="21" t="n"/>
      <c r="H254" s="22" t="n"/>
      <c r="I254" s="23" t="n"/>
      <c r="J254" s="24">
        <f>IF(ISNUMBER(H254),H254-IF(ISNUMBER(I254),I254,30),"")</f>
        <v/>
      </c>
      <c r="K254" s="25">
        <f>IF(H254="","",IF(ISNUMBER(H254),H254-TODAY(),"Check date"))</f>
        <v/>
      </c>
      <c r="L254" s="26">
        <f>IF(K254="","",IF(ISNUMBER(K254),IF(K254&lt;0,"Expired",IF(K254&lt;=30,"Due ≤30 days",IF(K254&lt;=90,"Due ≤90 days","OK"))),"Check date"))</f>
        <v/>
      </c>
      <c r="M254" s="22" t="n"/>
      <c r="N254" s="24">
        <f>IF(ISNUMBER(M254),DATE(YEAR(M254)+2,MONTH(M254),DAY(M254)),"")</f>
        <v/>
      </c>
      <c r="O254" s="21" t="n"/>
      <c r="P254" s="21" t="n"/>
      <c r="Q254" s="21" t="n"/>
    </row>
    <row r="255">
      <c r="A255" s="21" t="n"/>
      <c r="B255" s="21" t="n"/>
      <c r="C255" s="22" t="n"/>
      <c r="D255" s="21" t="n"/>
      <c r="E255" s="21" t="n"/>
      <c r="F255" s="22" t="n"/>
      <c r="G255" s="21" t="n"/>
      <c r="H255" s="22" t="n"/>
      <c r="I255" s="23" t="n"/>
      <c r="J255" s="24">
        <f>IF(ISNUMBER(H255),H255-IF(ISNUMBER(I255),I255,30),"")</f>
        <v/>
      </c>
      <c r="K255" s="25">
        <f>IF(H255="","",IF(ISNUMBER(H255),H255-TODAY(),"Check date"))</f>
        <v/>
      </c>
      <c r="L255" s="26">
        <f>IF(K255="","",IF(ISNUMBER(K255),IF(K255&lt;0,"Expired",IF(K255&lt;=30,"Due ≤30 days",IF(K255&lt;=90,"Due ≤90 days","OK"))),"Check date"))</f>
        <v/>
      </c>
      <c r="M255" s="22" t="n"/>
      <c r="N255" s="24">
        <f>IF(ISNUMBER(M255),DATE(YEAR(M255)+2,MONTH(M255),DAY(M255)),"")</f>
        <v/>
      </c>
      <c r="O255" s="21" t="n"/>
      <c r="P255" s="21" t="n"/>
      <c r="Q255" s="21" t="n"/>
    </row>
    <row r="256">
      <c r="A256" s="21" t="n"/>
      <c r="B256" s="21" t="n"/>
      <c r="C256" s="22" t="n"/>
      <c r="D256" s="21" t="n"/>
      <c r="E256" s="21" t="n"/>
      <c r="F256" s="22" t="n"/>
      <c r="G256" s="21" t="n"/>
      <c r="H256" s="22" t="n"/>
      <c r="I256" s="23" t="n"/>
      <c r="J256" s="24">
        <f>IF(ISNUMBER(H256),H256-IF(ISNUMBER(I256),I256,30),"")</f>
        <v/>
      </c>
      <c r="K256" s="25">
        <f>IF(H256="","",IF(ISNUMBER(H256),H256-TODAY(),"Check date"))</f>
        <v/>
      </c>
      <c r="L256" s="26">
        <f>IF(K256="","",IF(ISNUMBER(K256),IF(K256&lt;0,"Expired",IF(K256&lt;=30,"Due ≤30 days",IF(K256&lt;=90,"Due ≤90 days","OK"))),"Check date"))</f>
        <v/>
      </c>
      <c r="M256" s="22" t="n"/>
      <c r="N256" s="24">
        <f>IF(ISNUMBER(M256),DATE(YEAR(M256)+2,MONTH(M256),DAY(M256)),"")</f>
        <v/>
      </c>
      <c r="O256" s="21" t="n"/>
      <c r="P256" s="21" t="n"/>
      <c r="Q256" s="21" t="n"/>
    </row>
    <row r="257">
      <c r="A257" s="21" t="n"/>
      <c r="B257" s="21" t="n"/>
      <c r="C257" s="22" t="n"/>
      <c r="D257" s="21" t="n"/>
      <c r="E257" s="21" t="n"/>
      <c r="F257" s="22" t="n"/>
      <c r="G257" s="21" t="n"/>
      <c r="H257" s="22" t="n"/>
      <c r="I257" s="23" t="n"/>
      <c r="J257" s="24">
        <f>IF(ISNUMBER(H257),H257-IF(ISNUMBER(I257),I257,30),"")</f>
        <v/>
      </c>
      <c r="K257" s="25">
        <f>IF(H257="","",IF(ISNUMBER(H257),H257-TODAY(),"Check date"))</f>
        <v/>
      </c>
      <c r="L257" s="26">
        <f>IF(K257="","",IF(ISNUMBER(K257),IF(K257&lt;0,"Expired",IF(K257&lt;=30,"Due ≤30 days",IF(K257&lt;=90,"Due ≤90 days","OK"))),"Check date"))</f>
        <v/>
      </c>
      <c r="M257" s="22" t="n"/>
      <c r="N257" s="24">
        <f>IF(ISNUMBER(M257),DATE(YEAR(M257)+2,MONTH(M257),DAY(M257)),"")</f>
        <v/>
      </c>
      <c r="O257" s="21" t="n"/>
      <c r="P257" s="21" t="n"/>
      <c r="Q257" s="21" t="n"/>
    </row>
    <row r="258">
      <c r="A258" s="21" t="n"/>
      <c r="B258" s="21" t="n"/>
      <c r="C258" s="22" t="n"/>
      <c r="D258" s="21" t="n"/>
      <c r="E258" s="21" t="n"/>
      <c r="F258" s="22" t="n"/>
      <c r="G258" s="21" t="n"/>
      <c r="H258" s="22" t="n"/>
      <c r="I258" s="23" t="n"/>
      <c r="J258" s="24">
        <f>IF(ISNUMBER(H258),H258-IF(ISNUMBER(I258),I258,30),"")</f>
        <v/>
      </c>
      <c r="K258" s="25">
        <f>IF(H258="","",IF(ISNUMBER(H258),H258-TODAY(),"Check date"))</f>
        <v/>
      </c>
      <c r="L258" s="26">
        <f>IF(K258="","",IF(ISNUMBER(K258),IF(K258&lt;0,"Expired",IF(K258&lt;=30,"Due ≤30 days",IF(K258&lt;=90,"Due ≤90 days","OK"))),"Check date"))</f>
        <v/>
      </c>
      <c r="M258" s="22" t="n"/>
      <c r="N258" s="24">
        <f>IF(ISNUMBER(M258),DATE(YEAR(M258)+2,MONTH(M258),DAY(M258)),"")</f>
        <v/>
      </c>
      <c r="O258" s="21" t="n"/>
      <c r="P258" s="21" t="n"/>
      <c r="Q258" s="21" t="n"/>
    </row>
    <row r="259">
      <c r="A259" s="21" t="n"/>
      <c r="B259" s="21" t="n"/>
      <c r="C259" s="22" t="n"/>
      <c r="D259" s="21" t="n"/>
      <c r="E259" s="21" t="n"/>
      <c r="F259" s="22" t="n"/>
      <c r="G259" s="21" t="n"/>
      <c r="H259" s="22" t="n"/>
      <c r="I259" s="23" t="n"/>
      <c r="J259" s="24">
        <f>IF(ISNUMBER(H259),H259-IF(ISNUMBER(I259),I259,30),"")</f>
        <v/>
      </c>
      <c r="K259" s="25">
        <f>IF(H259="","",IF(ISNUMBER(H259),H259-TODAY(),"Check date"))</f>
        <v/>
      </c>
      <c r="L259" s="26">
        <f>IF(K259="","",IF(ISNUMBER(K259),IF(K259&lt;0,"Expired",IF(K259&lt;=30,"Due ≤30 days",IF(K259&lt;=90,"Due ≤90 days","OK"))),"Check date"))</f>
        <v/>
      </c>
      <c r="M259" s="22" t="n"/>
      <c r="N259" s="24">
        <f>IF(ISNUMBER(M259),DATE(YEAR(M259)+2,MONTH(M259),DAY(M259)),"")</f>
        <v/>
      </c>
      <c r="O259" s="21" t="n"/>
      <c r="P259" s="21" t="n"/>
      <c r="Q259" s="21" t="n"/>
    </row>
    <row r="260">
      <c r="A260" s="21" t="n"/>
      <c r="B260" s="21" t="n"/>
      <c r="C260" s="22" t="n"/>
      <c r="D260" s="21" t="n"/>
      <c r="E260" s="21" t="n"/>
      <c r="F260" s="22" t="n"/>
      <c r="G260" s="21" t="n"/>
      <c r="H260" s="22" t="n"/>
      <c r="I260" s="23" t="n"/>
      <c r="J260" s="24">
        <f>IF(ISNUMBER(H260),H260-IF(ISNUMBER(I260),I260,30),"")</f>
        <v/>
      </c>
      <c r="K260" s="25">
        <f>IF(H260="","",IF(ISNUMBER(H260),H260-TODAY(),"Check date"))</f>
        <v/>
      </c>
      <c r="L260" s="26">
        <f>IF(K260="","",IF(ISNUMBER(K260),IF(K260&lt;0,"Expired",IF(K260&lt;=30,"Due ≤30 days",IF(K260&lt;=90,"Due ≤90 days","OK"))),"Check date"))</f>
        <v/>
      </c>
      <c r="M260" s="22" t="n"/>
      <c r="N260" s="24">
        <f>IF(ISNUMBER(M260),DATE(YEAR(M260)+2,MONTH(M260),DAY(M260)),"")</f>
        <v/>
      </c>
      <c r="O260" s="21" t="n"/>
      <c r="P260" s="21" t="n"/>
      <c r="Q260" s="21" t="n"/>
    </row>
    <row r="261">
      <c r="A261" s="21" t="n"/>
      <c r="B261" s="21" t="n"/>
      <c r="C261" s="22" t="n"/>
      <c r="D261" s="21" t="n"/>
      <c r="E261" s="21" t="n"/>
      <c r="F261" s="22" t="n"/>
      <c r="G261" s="21" t="n"/>
      <c r="H261" s="22" t="n"/>
      <c r="I261" s="23" t="n"/>
      <c r="J261" s="24">
        <f>IF(ISNUMBER(H261),H261-IF(ISNUMBER(I261),I261,30),"")</f>
        <v/>
      </c>
      <c r="K261" s="25">
        <f>IF(H261="","",IF(ISNUMBER(H261),H261-TODAY(),"Check date"))</f>
        <v/>
      </c>
      <c r="L261" s="26">
        <f>IF(K261="","",IF(ISNUMBER(K261),IF(K261&lt;0,"Expired",IF(K261&lt;=30,"Due ≤30 days",IF(K261&lt;=90,"Due ≤90 days","OK"))),"Check date"))</f>
        <v/>
      </c>
      <c r="M261" s="22" t="n"/>
      <c r="N261" s="24">
        <f>IF(ISNUMBER(M261),DATE(YEAR(M261)+2,MONTH(M261),DAY(M261)),"")</f>
        <v/>
      </c>
      <c r="O261" s="21" t="n"/>
      <c r="P261" s="21" t="n"/>
      <c r="Q261" s="21" t="n"/>
    </row>
    <row r="262">
      <c r="A262" s="21" t="n"/>
      <c r="B262" s="21" t="n"/>
      <c r="C262" s="22" t="n"/>
      <c r="D262" s="21" t="n"/>
      <c r="E262" s="21" t="n"/>
      <c r="F262" s="22" t="n"/>
      <c r="G262" s="21" t="n"/>
      <c r="H262" s="22" t="n"/>
      <c r="I262" s="23" t="n"/>
      <c r="J262" s="24">
        <f>IF(ISNUMBER(H262),H262-IF(ISNUMBER(I262),I262,30),"")</f>
        <v/>
      </c>
      <c r="K262" s="25">
        <f>IF(H262="","",IF(ISNUMBER(H262),H262-TODAY(),"Check date"))</f>
        <v/>
      </c>
      <c r="L262" s="26">
        <f>IF(K262="","",IF(ISNUMBER(K262),IF(K262&lt;0,"Expired",IF(K262&lt;=30,"Due ≤30 days",IF(K262&lt;=90,"Due ≤90 days","OK"))),"Check date"))</f>
        <v/>
      </c>
      <c r="M262" s="22" t="n"/>
      <c r="N262" s="24">
        <f>IF(ISNUMBER(M262),DATE(YEAR(M262)+2,MONTH(M262),DAY(M262)),"")</f>
        <v/>
      </c>
      <c r="O262" s="21" t="n"/>
      <c r="P262" s="21" t="n"/>
      <c r="Q262" s="21" t="n"/>
    </row>
    <row r="263">
      <c r="A263" s="21" t="n"/>
      <c r="B263" s="21" t="n"/>
      <c r="C263" s="22" t="n"/>
      <c r="D263" s="21" t="n"/>
      <c r="E263" s="21" t="n"/>
      <c r="F263" s="22" t="n"/>
      <c r="G263" s="21" t="n"/>
      <c r="H263" s="22" t="n"/>
      <c r="I263" s="23" t="n"/>
      <c r="J263" s="24">
        <f>IF(ISNUMBER(H263),H263-IF(ISNUMBER(I263),I263,30),"")</f>
        <v/>
      </c>
      <c r="K263" s="25">
        <f>IF(H263="","",IF(ISNUMBER(H263),H263-TODAY(),"Check date"))</f>
        <v/>
      </c>
      <c r="L263" s="26">
        <f>IF(K263="","",IF(ISNUMBER(K263),IF(K263&lt;0,"Expired",IF(K263&lt;=30,"Due ≤30 days",IF(K263&lt;=90,"Due ≤90 days","OK"))),"Check date"))</f>
        <v/>
      </c>
      <c r="M263" s="22" t="n"/>
      <c r="N263" s="24">
        <f>IF(ISNUMBER(M263),DATE(YEAR(M263)+2,MONTH(M263),DAY(M263)),"")</f>
        <v/>
      </c>
      <c r="O263" s="21" t="n"/>
      <c r="P263" s="21" t="n"/>
      <c r="Q263" s="21" t="n"/>
    </row>
    <row r="264">
      <c r="A264" s="21" t="n"/>
      <c r="B264" s="21" t="n"/>
      <c r="C264" s="22" t="n"/>
      <c r="D264" s="21" t="n"/>
      <c r="E264" s="21" t="n"/>
      <c r="F264" s="22" t="n"/>
      <c r="G264" s="21" t="n"/>
      <c r="H264" s="22" t="n"/>
      <c r="I264" s="23" t="n"/>
      <c r="J264" s="24">
        <f>IF(ISNUMBER(H264),H264-IF(ISNUMBER(I264),I264,30),"")</f>
        <v/>
      </c>
      <c r="K264" s="25">
        <f>IF(H264="","",IF(ISNUMBER(H264),H264-TODAY(),"Check date"))</f>
        <v/>
      </c>
      <c r="L264" s="26">
        <f>IF(K264="","",IF(ISNUMBER(K264),IF(K264&lt;0,"Expired",IF(K264&lt;=30,"Due ≤30 days",IF(K264&lt;=90,"Due ≤90 days","OK"))),"Check date"))</f>
        <v/>
      </c>
      <c r="M264" s="22" t="n"/>
      <c r="N264" s="24">
        <f>IF(ISNUMBER(M264),DATE(YEAR(M264)+2,MONTH(M264),DAY(M264)),"")</f>
        <v/>
      </c>
      <c r="O264" s="21" t="n"/>
      <c r="P264" s="21" t="n"/>
      <c r="Q264" s="21" t="n"/>
    </row>
    <row r="265">
      <c r="A265" s="21" t="n"/>
      <c r="B265" s="21" t="n"/>
      <c r="C265" s="22" t="n"/>
      <c r="D265" s="21" t="n"/>
      <c r="E265" s="21" t="n"/>
      <c r="F265" s="22" t="n"/>
      <c r="G265" s="21" t="n"/>
      <c r="H265" s="22" t="n"/>
      <c r="I265" s="23" t="n"/>
      <c r="J265" s="24">
        <f>IF(ISNUMBER(H265),H265-IF(ISNUMBER(I265),I265,30),"")</f>
        <v/>
      </c>
      <c r="K265" s="25">
        <f>IF(H265="","",IF(ISNUMBER(H265),H265-TODAY(),"Check date"))</f>
        <v/>
      </c>
      <c r="L265" s="26">
        <f>IF(K265="","",IF(ISNUMBER(K265),IF(K265&lt;0,"Expired",IF(K265&lt;=30,"Due ≤30 days",IF(K265&lt;=90,"Due ≤90 days","OK"))),"Check date"))</f>
        <v/>
      </c>
      <c r="M265" s="22" t="n"/>
      <c r="N265" s="24">
        <f>IF(ISNUMBER(M265),DATE(YEAR(M265)+2,MONTH(M265),DAY(M265)),"")</f>
        <v/>
      </c>
      <c r="O265" s="21" t="n"/>
      <c r="P265" s="21" t="n"/>
      <c r="Q265" s="21" t="n"/>
    </row>
    <row r="266">
      <c r="A266" s="21" t="n"/>
      <c r="B266" s="21" t="n"/>
      <c r="C266" s="22" t="n"/>
      <c r="D266" s="21" t="n"/>
      <c r="E266" s="21" t="n"/>
      <c r="F266" s="22" t="n"/>
      <c r="G266" s="21" t="n"/>
      <c r="H266" s="22" t="n"/>
      <c r="I266" s="23" t="n"/>
      <c r="J266" s="24">
        <f>IF(ISNUMBER(H266),H266-IF(ISNUMBER(I266),I266,30),"")</f>
        <v/>
      </c>
      <c r="K266" s="25">
        <f>IF(H266="","",IF(ISNUMBER(H266),H266-TODAY(),"Check date"))</f>
        <v/>
      </c>
      <c r="L266" s="26">
        <f>IF(K266="","",IF(ISNUMBER(K266),IF(K266&lt;0,"Expired",IF(K266&lt;=30,"Due ≤30 days",IF(K266&lt;=90,"Due ≤90 days","OK"))),"Check date"))</f>
        <v/>
      </c>
      <c r="M266" s="22" t="n"/>
      <c r="N266" s="24">
        <f>IF(ISNUMBER(M266),DATE(YEAR(M266)+2,MONTH(M266),DAY(M266)),"")</f>
        <v/>
      </c>
      <c r="O266" s="21" t="n"/>
      <c r="P266" s="21" t="n"/>
      <c r="Q266" s="21" t="n"/>
    </row>
    <row r="267">
      <c r="A267" s="21" t="n"/>
      <c r="B267" s="21" t="n"/>
      <c r="C267" s="22" t="n"/>
      <c r="D267" s="21" t="n"/>
      <c r="E267" s="21" t="n"/>
      <c r="F267" s="22" t="n"/>
      <c r="G267" s="21" t="n"/>
      <c r="H267" s="22" t="n"/>
      <c r="I267" s="23" t="n"/>
      <c r="J267" s="24">
        <f>IF(ISNUMBER(H267),H267-IF(ISNUMBER(I267),I267,30),"")</f>
        <v/>
      </c>
      <c r="K267" s="25">
        <f>IF(H267="","",IF(ISNUMBER(H267),H267-TODAY(),"Check date"))</f>
        <v/>
      </c>
      <c r="L267" s="26">
        <f>IF(K267="","",IF(ISNUMBER(K267),IF(K267&lt;0,"Expired",IF(K267&lt;=30,"Due ≤30 days",IF(K267&lt;=90,"Due ≤90 days","OK"))),"Check date"))</f>
        <v/>
      </c>
      <c r="M267" s="22" t="n"/>
      <c r="N267" s="24">
        <f>IF(ISNUMBER(M267),DATE(YEAR(M267)+2,MONTH(M267),DAY(M267)),"")</f>
        <v/>
      </c>
      <c r="O267" s="21" t="n"/>
      <c r="P267" s="21" t="n"/>
      <c r="Q267" s="21" t="n"/>
    </row>
    <row r="268">
      <c r="A268" s="21" t="n"/>
      <c r="B268" s="21" t="n"/>
      <c r="C268" s="22" t="n"/>
      <c r="D268" s="21" t="n"/>
      <c r="E268" s="21" t="n"/>
      <c r="F268" s="22" t="n"/>
      <c r="G268" s="21" t="n"/>
      <c r="H268" s="22" t="n"/>
      <c r="I268" s="23" t="n"/>
      <c r="J268" s="24">
        <f>IF(ISNUMBER(H268),H268-IF(ISNUMBER(I268),I268,30),"")</f>
        <v/>
      </c>
      <c r="K268" s="25">
        <f>IF(H268="","",IF(ISNUMBER(H268),H268-TODAY(),"Check date"))</f>
        <v/>
      </c>
      <c r="L268" s="26">
        <f>IF(K268="","",IF(ISNUMBER(K268),IF(K268&lt;0,"Expired",IF(K268&lt;=30,"Due ≤30 days",IF(K268&lt;=90,"Due ≤90 days","OK"))),"Check date"))</f>
        <v/>
      </c>
      <c r="M268" s="22" t="n"/>
      <c r="N268" s="24">
        <f>IF(ISNUMBER(M268),DATE(YEAR(M268)+2,MONTH(M268),DAY(M268)),"")</f>
        <v/>
      </c>
      <c r="O268" s="21" t="n"/>
      <c r="P268" s="21" t="n"/>
      <c r="Q268" s="21" t="n"/>
    </row>
    <row r="269">
      <c r="A269" s="21" t="n"/>
      <c r="B269" s="21" t="n"/>
      <c r="C269" s="22" t="n"/>
      <c r="D269" s="21" t="n"/>
      <c r="E269" s="21" t="n"/>
      <c r="F269" s="22" t="n"/>
      <c r="G269" s="21" t="n"/>
      <c r="H269" s="22" t="n"/>
      <c r="I269" s="23" t="n"/>
      <c r="J269" s="24">
        <f>IF(ISNUMBER(H269),H269-IF(ISNUMBER(I269),I269,30),"")</f>
        <v/>
      </c>
      <c r="K269" s="25">
        <f>IF(H269="","",IF(ISNUMBER(H269),H269-TODAY(),"Check date"))</f>
        <v/>
      </c>
      <c r="L269" s="26">
        <f>IF(K269="","",IF(ISNUMBER(K269),IF(K269&lt;0,"Expired",IF(K269&lt;=30,"Due ≤30 days",IF(K269&lt;=90,"Due ≤90 days","OK"))),"Check date"))</f>
        <v/>
      </c>
      <c r="M269" s="22" t="n"/>
      <c r="N269" s="24">
        <f>IF(ISNUMBER(M269),DATE(YEAR(M269)+2,MONTH(M269),DAY(M269)),"")</f>
        <v/>
      </c>
      <c r="O269" s="21" t="n"/>
      <c r="P269" s="21" t="n"/>
      <c r="Q269" s="21" t="n"/>
    </row>
    <row r="270">
      <c r="A270" s="21" t="n"/>
      <c r="B270" s="21" t="n"/>
      <c r="C270" s="22" t="n"/>
      <c r="D270" s="21" t="n"/>
      <c r="E270" s="21" t="n"/>
      <c r="F270" s="22" t="n"/>
      <c r="G270" s="21" t="n"/>
      <c r="H270" s="22" t="n"/>
      <c r="I270" s="23" t="n"/>
      <c r="J270" s="24">
        <f>IF(ISNUMBER(H270),H270-IF(ISNUMBER(I270),I270,30),"")</f>
        <v/>
      </c>
      <c r="K270" s="25">
        <f>IF(H270="","",IF(ISNUMBER(H270),H270-TODAY(),"Check date"))</f>
        <v/>
      </c>
      <c r="L270" s="26">
        <f>IF(K270="","",IF(ISNUMBER(K270),IF(K270&lt;0,"Expired",IF(K270&lt;=30,"Due ≤30 days",IF(K270&lt;=90,"Due ≤90 days","OK"))),"Check date"))</f>
        <v/>
      </c>
      <c r="M270" s="22" t="n"/>
      <c r="N270" s="24">
        <f>IF(ISNUMBER(M270),DATE(YEAR(M270)+2,MONTH(M270),DAY(M270)),"")</f>
        <v/>
      </c>
      <c r="O270" s="21" t="n"/>
      <c r="P270" s="21" t="n"/>
      <c r="Q270" s="21" t="n"/>
    </row>
    <row r="271">
      <c r="A271" s="21" t="n"/>
      <c r="B271" s="21" t="n"/>
      <c r="C271" s="22" t="n"/>
      <c r="D271" s="21" t="n"/>
      <c r="E271" s="21" t="n"/>
      <c r="F271" s="22" t="n"/>
      <c r="G271" s="21" t="n"/>
      <c r="H271" s="22" t="n"/>
      <c r="I271" s="23" t="n"/>
      <c r="J271" s="24">
        <f>IF(ISNUMBER(H271),H271-IF(ISNUMBER(I271),I271,30),"")</f>
        <v/>
      </c>
      <c r="K271" s="25">
        <f>IF(H271="","",IF(ISNUMBER(H271),H271-TODAY(),"Check date"))</f>
        <v/>
      </c>
      <c r="L271" s="26">
        <f>IF(K271="","",IF(ISNUMBER(K271),IF(K271&lt;0,"Expired",IF(K271&lt;=30,"Due ≤30 days",IF(K271&lt;=90,"Due ≤90 days","OK"))),"Check date"))</f>
        <v/>
      </c>
      <c r="M271" s="22" t="n"/>
      <c r="N271" s="24">
        <f>IF(ISNUMBER(M271),DATE(YEAR(M271)+2,MONTH(M271),DAY(M271)),"")</f>
        <v/>
      </c>
      <c r="O271" s="21" t="n"/>
      <c r="P271" s="21" t="n"/>
      <c r="Q271" s="21" t="n"/>
    </row>
    <row r="272">
      <c r="A272" s="21" t="n"/>
      <c r="B272" s="21" t="n"/>
      <c r="C272" s="22" t="n"/>
      <c r="D272" s="21" t="n"/>
      <c r="E272" s="21" t="n"/>
      <c r="F272" s="22" t="n"/>
      <c r="G272" s="21" t="n"/>
      <c r="H272" s="22" t="n"/>
      <c r="I272" s="23" t="n"/>
      <c r="J272" s="24">
        <f>IF(ISNUMBER(H272),H272-IF(ISNUMBER(I272),I272,30),"")</f>
        <v/>
      </c>
      <c r="K272" s="25">
        <f>IF(H272="","",IF(ISNUMBER(H272),H272-TODAY(),"Check date"))</f>
        <v/>
      </c>
      <c r="L272" s="26">
        <f>IF(K272="","",IF(ISNUMBER(K272),IF(K272&lt;0,"Expired",IF(K272&lt;=30,"Due ≤30 days",IF(K272&lt;=90,"Due ≤90 days","OK"))),"Check date"))</f>
        <v/>
      </c>
      <c r="M272" s="22" t="n"/>
      <c r="N272" s="24">
        <f>IF(ISNUMBER(M272),DATE(YEAR(M272)+2,MONTH(M272),DAY(M272)),"")</f>
        <v/>
      </c>
      <c r="O272" s="21" t="n"/>
      <c r="P272" s="21" t="n"/>
      <c r="Q272" s="21" t="n"/>
    </row>
    <row r="273">
      <c r="A273" s="21" t="n"/>
      <c r="B273" s="21" t="n"/>
      <c r="C273" s="22" t="n"/>
      <c r="D273" s="21" t="n"/>
      <c r="E273" s="21" t="n"/>
      <c r="F273" s="22" t="n"/>
      <c r="G273" s="21" t="n"/>
      <c r="H273" s="22" t="n"/>
      <c r="I273" s="23" t="n"/>
      <c r="J273" s="24">
        <f>IF(ISNUMBER(H273),H273-IF(ISNUMBER(I273),I273,30),"")</f>
        <v/>
      </c>
      <c r="K273" s="25">
        <f>IF(H273="","",IF(ISNUMBER(H273),H273-TODAY(),"Check date"))</f>
        <v/>
      </c>
      <c r="L273" s="26">
        <f>IF(K273="","",IF(ISNUMBER(K273),IF(K273&lt;0,"Expired",IF(K273&lt;=30,"Due ≤30 days",IF(K273&lt;=90,"Due ≤90 days","OK"))),"Check date"))</f>
        <v/>
      </c>
      <c r="M273" s="22" t="n"/>
      <c r="N273" s="24">
        <f>IF(ISNUMBER(M273),DATE(YEAR(M273)+2,MONTH(M273),DAY(M273)),"")</f>
        <v/>
      </c>
      <c r="O273" s="21" t="n"/>
      <c r="P273" s="21" t="n"/>
      <c r="Q273" s="21" t="n"/>
    </row>
    <row r="274">
      <c r="A274" s="21" t="n"/>
      <c r="B274" s="21" t="n"/>
      <c r="C274" s="22" t="n"/>
      <c r="D274" s="21" t="n"/>
      <c r="E274" s="21" t="n"/>
      <c r="F274" s="22" t="n"/>
      <c r="G274" s="21" t="n"/>
      <c r="H274" s="22" t="n"/>
      <c r="I274" s="23" t="n"/>
      <c r="J274" s="24">
        <f>IF(ISNUMBER(H274),H274-IF(ISNUMBER(I274),I274,30),"")</f>
        <v/>
      </c>
      <c r="K274" s="25">
        <f>IF(H274="","",IF(ISNUMBER(H274),H274-TODAY(),"Check date"))</f>
        <v/>
      </c>
      <c r="L274" s="26">
        <f>IF(K274="","",IF(ISNUMBER(K274),IF(K274&lt;0,"Expired",IF(K274&lt;=30,"Due ≤30 days",IF(K274&lt;=90,"Due ≤90 days","OK"))),"Check date"))</f>
        <v/>
      </c>
      <c r="M274" s="22" t="n"/>
      <c r="N274" s="24">
        <f>IF(ISNUMBER(M274),DATE(YEAR(M274)+2,MONTH(M274),DAY(M274)),"")</f>
        <v/>
      </c>
      <c r="O274" s="21" t="n"/>
      <c r="P274" s="21" t="n"/>
      <c r="Q274" s="21" t="n"/>
    </row>
    <row r="275">
      <c r="A275" s="21" t="n"/>
      <c r="B275" s="21" t="n"/>
      <c r="C275" s="22" t="n"/>
      <c r="D275" s="21" t="n"/>
      <c r="E275" s="21" t="n"/>
      <c r="F275" s="22" t="n"/>
      <c r="G275" s="21" t="n"/>
      <c r="H275" s="22" t="n"/>
      <c r="I275" s="23" t="n"/>
      <c r="J275" s="24">
        <f>IF(ISNUMBER(H275),H275-IF(ISNUMBER(I275),I275,30),"")</f>
        <v/>
      </c>
      <c r="K275" s="25">
        <f>IF(H275="","",IF(ISNUMBER(H275),H275-TODAY(),"Check date"))</f>
        <v/>
      </c>
      <c r="L275" s="26">
        <f>IF(K275="","",IF(ISNUMBER(K275),IF(K275&lt;0,"Expired",IF(K275&lt;=30,"Due ≤30 days",IF(K275&lt;=90,"Due ≤90 days","OK"))),"Check date"))</f>
        <v/>
      </c>
      <c r="M275" s="22" t="n"/>
      <c r="N275" s="24">
        <f>IF(ISNUMBER(M275),DATE(YEAR(M275)+2,MONTH(M275),DAY(M275)),"")</f>
        <v/>
      </c>
      <c r="O275" s="21" t="n"/>
      <c r="P275" s="21" t="n"/>
      <c r="Q275" s="21" t="n"/>
    </row>
    <row r="276">
      <c r="A276" s="21" t="n"/>
      <c r="B276" s="21" t="n"/>
      <c r="C276" s="22" t="n"/>
      <c r="D276" s="21" t="n"/>
      <c r="E276" s="21" t="n"/>
      <c r="F276" s="22" t="n"/>
      <c r="G276" s="21" t="n"/>
      <c r="H276" s="22" t="n"/>
      <c r="I276" s="23" t="n"/>
      <c r="J276" s="24">
        <f>IF(ISNUMBER(H276),H276-IF(ISNUMBER(I276),I276,30),"")</f>
        <v/>
      </c>
      <c r="K276" s="25">
        <f>IF(H276="","",IF(ISNUMBER(H276),H276-TODAY(),"Check date"))</f>
        <v/>
      </c>
      <c r="L276" s="26">
        <f>IF(K276="","",IF(ISNUMBER(K276),IF(K276&lt;0,"Expired",IF(K276&lt;=30,"Due ≤30 days",IF(K276&lt;=90,"Due ≤90 days","OK"))),"Check date"))</f>
        <v/>
      </c>
      <c r="M276" s="22" t="n"/>
      <c r="N276" s="24">
        <f>IF(ISNUMBER(M276),DATE(YEAR(M276)+2,MONTH(M276),DAY(M276)),"")</f>
        <v/>
      </c>
      <c r="O276" s="21" t="n"/>
      <c r="P276" s="21" t="n"/>
      <c r="Q276" s="21" t="n"/>
    </row>
    <row r="277">
      <c r="A277" s="21" t="n"/>
      <c r="B277" s="21" t="n"/>
      <c r="C277" s="22" t="n"/>
      <c r="D277" s="21" t="n"/>
      <c r="E277" s="21" t="n"/>
      <c r="F277" s="22" t="n"/>
      <c r="G277" s="21" t="n"/>
      <c r="H277" s="22" t="n"/>
      <c r="I277" s="23" t="n"/>
      <c r="J277" s="24">
        <f>IF(ISNUMBER(H277),H277-IF(ISNUMBER(I277),I277,30),"")</f>
        <v/>
      </c>
      <c r="K277" s="25">
        <f>IF(H277="","",IF(ISNUMBER(H277),H277-TODAY(),"Check date"))</f>
        <v/>
      </c>
      <c r="L277" s="26">
        <f>IF(K277="","",IF(ISNUMBER(K277),IF(K277&lt;0,"Expired",IF(K277&lt;=30,"Due ≤30 days",IF(K277&lt;=90,"Due ≤90 days","OK"))),"Check date"))</f>
        <v/>
      </c>
      <c r="M277" s="22" t="n"/>
      <c r="N277" s="24">
        <f>IF(ISNUMBER(M277),DATE(YEAR(M277)+2,MONTH(M277),DAY(M277)),"")</f>
        <v/>
      </c>
      <c r="O277" s="21" t="n"/>
      <c r="P277" s="21" t="n"/>
      <c r="Q277" s="21" t="n"/>
    </row>
    <row r="278">
      <c r="A278" s="21" t="n"/>
      <c r="B278" s="21" t="n"/>
      <c r="C278" s="22" t="n"/>
      <c r="D278" s="21" t="n"/>
      <c r="E278" s="21" t="n"/>
      <c r="F278" s="22" t="n"/>
      <c r="G278" s="21" t="n"/>
      <c r="H278" s="22" t="n"/>
      <c r="I278" s="23" t="n"/>
      <c r="J278" s="24">
        <f>IF(ISNUMBER(H278),H278-IF(ISNUMBER(I278),I278,30),"")</f>
        <v/>
      </c>
      <c r="K278" s="25">
        <f>IF(H278="","",IF(ISNUMBER(H278),H278-TODAY(),"Check date"))</f>
        <v/>
      </c>
      <c r="L278" s="26">
        <f>IF(K278="","",IF(ISNUMBER(K278),IF(K278&lt;0,"Expired",IF(K278&lt;=30,"Due ≤30 days",IF(K278&lt;=90,"Due ≤90 days","OK"))),"Check date"))</f>
        <v/>
      </c>
      <c r="M278" s="22" t="n"/>
      <c r="N278" s="24">
        <f>IF(ISNUMBER(M278),DATE(YEAR(M278)+2,MONTH(M278),DAY(M278)),"")</f>
        <v/>
      </c>
      <c r="O278" s="21" t="n"/>
      <c r="P278" s="21" t="n"/>
      <c r="Q278" s="21" t="n"/>
    </row>
    <row r="279">
      <c r="A279" s="21" t="n"/>
      <c r="B279" s="21" t="n"/>
      <c r="C279" s="22" t="n"/>
      <c r="D279" s="21" t="n"/>
      <c r="E279" s="21" t="n"/>
      <c r="F279" s="22" t="n"/>
      <c r="G279" s="21" t="n"/>
      <c r="H279" s="22" t="n"/>
      <c r="I279" s="23" t="n"/>
      <c r="J279" s="24">
        <f>IF(ISNUMBER(H279),H279-IF(ISNUMBER(I279),I279,30),"")</f>
        <v/>
      </c>
      <c r="K279" s="25">
        <f>IF(H279="","",IF(ISNUMBER(H279),H279-TODAY(),"Check date"))</f>
        <v/>
      </c>
      <c r="L279" s="26">
        <f>IF(K279="","",IF(ISNUMBER(K279),IF(K279&lt;0,"Expired",IF(K279&lt;=30,"Due ≤30 days",IF(K279&lt;=90,"Due ≤90 days","OK"))),"Check date"))</f>
        <v/>
      </c>
      <c r="M279" s="22" t="n"/>
      <c r="N279" s="24">
        <f>IF(ISNUMBER(M279),DATE(YEAR(M279)+2,MONTH(M279),DAY(M279)),"")</f>
        <v/>
      </c>
      <c r="O279" s="21" t="n"/>
      <c r="P279" s="21" t="n"/>
      <c r="Q279" s="21" t="n"/>
    </row>
    <row r="280">
      <c r="A280" s="21" t="n"/>
      <c r="B280" s="21" t="n"/>
      <c r="C280" s="22" t="n"/>
      <c r="D280" s="21" t="n"/>
      <c r="E280" s="21" t="n"/>
      <c r="F280" s="22" t="n"/>
      <c r="G280" s="21" t="n"/>
      <c r="H280" s="22" t="n"/>
      <c r="I280" s="23" t="n"/>
      <c r="J280" s="24">
        <f>IF(ISNUMBER(H280),H280-IF(ISNUMBER(I280),I280,30),"")</f>
        <v/>
      </c>
      <c r="K280" s="25">
        <f>IF(H280="","",IF(ISNUMBER(H280),H280-TODAY(),"Check date"))</f>
        <v/>
      </c>
      <c r="L280" s="26">
        <f>IF(K280="","",IF(ISNUMBER(K280),IF(K280&lt;0,"Expired",IF(K280&lt;=30,"Due ≤30 days",IF(K280&lt;=90,"Due ≤90 days","OK"))),"Check date"))</f>
        <v/>
      </c>
      <c r="M280" s="22" t="n"/>
      <c r="N280" s="24">
        <f>IF(ISNUMBER(M280),DATE(YEAR(M280)+2,MONTH(M280),DAY(M280)),"")</f>
        <v/>
      </c>
      <c r="O280" s="21" t="n"/>
      <c r="P280" s="21" t="n"/>
      <c r="Q280" s="21" t="n"/>
    </row>
    <row r="281">
      <c r="A281" s="21" t="n"/>
      <c r="B281" s="21" t="n"/>
      <c r="C281" s="22" t="n"/>
      <c r="D281" s="21" t="n"/>
      <c r="E281" s="21" t="n"/>
      <c r="F281" s="22" t="n"/>
      <c r="G281" s="21" t="n"/>
      <c r="H281" s="22" t="n"/>
      <c r="I281" s="23" t="n"/>
      <c r="J281" s="24">
        <f>IF(ISNUMBER(H281),H281-IF(ISNUMBER(I281),I281,30),"")</f>
        <v/>
      </c>
      <c r="K281" s="25">
        <f>IF(H281="","",IF(ISNUMBER(H281),H281-TODAY(),"Check date"))</f>
        <v/>
      </c>
      <c r="L281" s="26">
        <f>IF(K281="","",IF(ISNUMBER(K281),IF(K281&lt;0,"Expired",IF(K281&lt;=30,"Due ≤30 days",IF(K281&lt;=90,"Due ≤90 days","OK"))),"Check date"))</f>
        <v/>
      </c>
      <c r="M281" s="22" t="n"/>
      <c r="N281" s="24">
        <f>IF(ISNUMBER(M281),DATE(YEAR(M281)+2,MONTH(M281),DAY(M281)),"")</f>
        <v/>
      </c>
      <c r="O281" s="21" t="n"/>
      <c r="P281" s="21" t="n"/>
      <c r="Q281" s="21" t="n"/>
    </row>
    <row r="282">
      <c r="A282" s="21" t="n"/>
      <c r="B282" s="21" t="n"/>
      <c r="C282" s="22" t="n"/>
      <c r="D282" s="21" t="n"/>
      <c r="E282" s="21" t="n"/>
      <c r="F282" s="22" t="n"/>
      <c r="G282" s="21" t="n"/>
      <c r="H282" s="22" t="n"/>
      <c r="I282" s="23" t="n"/>
      <c r="J282" s="24">
        <f>IF(ISNUMBER(H282),H282-IF(ISNUMBER(I282),I282,30),"")</f>
        <v/>
      </c>
      <c r="K282" s="25">
        <f>IF(H282="","",IF(ISNUMBER(H282),H282-TODAY(),"Check date"))</f>
        <v/>
      </c>
      <c r="L282" s="26">
        <f>IF(K282="","",IF(ISNUMBER(K282),IF(K282&lt;0,"Expired",IF(K282&lt;=30,"Due ≤30 days",IF(K282&lt;=90,"Due ≤90 days","OK"))),"Check date"))</f>
        <v/>
      </c>
      <c r="M282" s="22" t="n"/>
      <c r="N282" s="24">
        <f>IF(ISNUMBER(M282),DATE(YEAR(M282)+2,MONTH(M282),DAY(M282)),"")</f>
        <v/>
      </c>
      <c r="O282" s="21" t="n"/>
      <c r="P282" s="21" t="n"/>
      <c r="Q282" s="21" t="n"/>
    </row>
    <row r="283">
      <c r="A283" s="21" t="n"/>
      <c r="B283" s="21" t="n"/>
      <c r="C283" s="22" t="n"/>
      <c r="D283" s="21" t="n"/>
      <c r="E283" s="21" t="n"/>
      <c r="F283" s="22" t="n"/>
      <c r="G283" s="21" t="n"/>
      <c r="H283" s="22" t="n"/>
      <c r="I283" s="23" t="n"/>
      <c r="J283" s="24">
        <f>IF(ISNUMBER(H283),H283-IF(ISNUMBER(I283),I283,30),"")</f>
        <v/>
      </c>
      <c r="K283" s="25">
        <f>IF(H283="","",IF(ISNUMBER(H283),H283-TODAY(),"Check date"))</f>
        <v/>
      </c>
      <c r="L283" s="26">
        <f>IF(K283="","",IF(ISNUMBER(K283),IF(K283&lt;0,"Expired",IF(K283&lt;=30,"Due ≤30 days",IF(K283&lt;=90,"Due ≤90 days","OK"))),"Check date"))</f>
        <v/>
      </c>
      <c r="M283" s="22" t="n"/>
      <c r="N283" s="24">
        <f>IF(ISNUMBER(M283),DATE(YEAR(M283)+2,MONTH(M283),DAY(M283)),"")</f>
        <v/>
      </c>
      <c r="O283" s="21" t="n"/>
      <c r="P283" s="21" t="n"/>
      <c r="Q283" s="21" t="n"/>
    </row>
    <row r="284">
      <c r="A284" s="21" t="n"/>
      <c r="B284" s="21" t="n"/>
      <c r="C284" s="22" t="n"/>
      <c r="D284" s="21" t="n"/>
      <c r="E284" s="21" t="n"/>
      <c r="F284" s="22" t="n"/>
      <c r="G284" s="21" t="n"/>
      <c r="H284" s="22" t="n"/>
      <c r="I284" s="23" t="n"/>
      <c r="J284" s="24">
        <f>IF(ISNUMBER(H284),H284-IF(ISNUMBER(I284),I284,30),"")</f>
        <v/>
      </c>
      <c r="K284" s="25">
        <f>IF(H284="","",IF(ISNUMBER(H284),H284-TODAY(),"Check date"))</f>
        <v/>
      </c>
      <c r="L284" s="26">
        <f>IF(K284="","",IF(ISNUMBER(K284),IF(K284&lt;0,"Expired",IF(K284&lt;=30,"Due ≤30 days",IF(K284&lt;=90,"Due ≤90 days","OK"))),"Check date"))</f>
        <v/>
      </c>
      <c r="M284" s="22" t="n"/>
      <c r="N284" s="24">
        <f>IF(ISNUMBER(M284),DATE(YEAR(M284)+2,MONTH(M284),DAY(M284)),"")</f>
        <v/>
      </c>
      <c r="O284" s="21" t="n"/>
      <c r="P284" s="21" t="n"/>
      <c r="Q284" s="21" t="n"/>
    </row>
    <row r="285">
      <c r="A285" s="21" t="n"/>
      <c r="B285" s="21" t="n"/>
      <c r="C285" s="22" t="n"/>
      <c r="D285" s="21" t="n"/>
      <c r="E285" s="21" t="n"/>
      <c r="F285" s="22" t="n"/>
      <c r="G285" s="21" t="n"/>
      <c r="H285" s="22" t="n"/>
      <c r="I285" s="23" t="n"/>
      <c r="J285" s="24">
        <f>IF(ISNUMBER(H285),H285-IF(ISNUMBER(I285),I285,30),"")</f>
        <v/>
      </c>
      <c r="K285" s="25">
        <f>IF(H285="","",IF(ISNUMBER(H285),H285-TODAY(),"Check date"))</f>
        <v/>
      </c>
      <c r="L285" s="26">
        <f>IF(K285="","",IF(ISNUMBER(K285),IF(K285&lt;0,"Expired",IF(K285&lt;=30,"Due ≤30 days",IF(K285&lt;=90,"Due ≤90 days","OK"))),"Check date"))</f>
        <v/>
      </c>
      <c r="M285" s="22" t="n"/>
      <c r="N285" s="24">
        <f>IF(ISNUMBER(M285),DATE(YEAR(M285)+2,MONTH(M285),DAY(M285)),"")</f>
        <v/>
      </c>
      <c r="O285" s="21" t="n"/>
      <c r="P285" s="21" t="n"/>
      <c r="Q285" s="21" t="n"/>
    </row>
    <row r="286">
      <c r="A286" s="21" t="n"/>
      <c r="B286" s="21" t="n"/>
      <c r="C286" s="22" t="n"/>
      <c r="D286" s="21" t="n"/>
      <c r="E286" s="21" t="n"/>
      <c r="F286" s="22" t="n"/>
      <c r="G286" s="21" t="n"/>
      <c r="H286" s="22" t="n"/>
      <c r="I286" s="23" t="n"/>
      <c r="J286" s="24">
        <f>IF(ISNUMBER(H286),H286-IF(ISNUMBER(I286),I286,30),"")</f>
        <v/>
      </c>
      <c r="K286" s="25">
        <f>IF(H286="","",IF(ISNUMBER(H286),H286-TODAY(),"Check date"))</f>
        <v/>
      </c>
      <c r="L286" s="26">
        <f>IF(K286="","",IF(ISNUMBER(K286),IF(K286&lt;0,"Expired",IF(K286&lt;=30,"Due ≤30 days",IF(K286&lt;=90,"Due ≤90 days","OK"))),"Check date"))</f>
        <v/>
      </c>
      <c r="M286" s="22" t="n"/>
      <c r="N286" s="24">
        <f>IF(ISNUMBER(M286),DATE(YEAR(M286)+2,MONTH(M286),DAY(M286)),"")</f>
        <v/>
      </c>
      <c r="O286" s="21" t="n"/>
      <c r="P286" s="21" t="n"/>
      <c r="Q286" s="21" t="n"/>
    </row>
    <row r="287">
      <c r="A287" s="21" t="n"/>
      <c r="B287" s="21" t="n"/>
      <c r="C287" s="22" t="n"/>
      <c r="D287" s="21" t="n"/>
      <c r="E287" s="21" t="n"/>
      <c r="F287" s="22" t="n"/>
      <c r="G287" s="21" t="n"/>
      <c r="H287" s="22" t="n"/>
      <c r="I287" s="23" t="n"/>
      <c r="J287" s="24">
        <f>IF(ISNUMBER(H287),H287-IF(ISNUMBER(I287),I287,30),"")</f>
        <v/>
      </c>
      <c r="K287" s="25">
        <f>IF(H287="","",IF(ISNUMBER(H287),H287-TODAY(),"Check date"))</f>
        <v/>
      </c>
      <c r="L287" s="26">
        <f>IF(K287="","",IF(ISNUMBER(K287),IF(K287&lt;0,"Expired",IF(K287&lt;=30,"Due ≤30 days",IF(K287&lt;=90,"Due ≤90 days","OK"))),"Check date"))</f>
        <v/>
      </c>
      <c r="M287" s="22" t="n"/>
      <c r="N287" s="24">
        <f>IF(ISNUMBER(M287),DATE(YEAR(M287)+2,MONTH(M287),DAY(M287)),"")</f>
        <v/>
      </c>
      <c r="O287" s="21" t="n"/>
      <c r="P287" s="21" t="n"/>
      <c r="Q287" s="21" t="n"/>
    </row>
    <row r="288">
      <c r="A288" s="21" t="n"/>
      <c r="B288" s="21" t="n"/>
      <c r="C288" s="22" t="n"/>
      <c r="D288" s="21" t="n"/>
      <c r="E288" s="21" t="n"/>
      <c r="F288" s="22" t="n"/>
      <c r="G288" s="21" t="n"/>
      <c r="H288" s="22" t="n"/>
      <c r="I288" s="23" t="n"/>
      <c r="J288" s="24">
        <f>IF(ISNUMBER(H288),H288-IF(ISNUMBER(I288),I288,30),"")</f>
        <v/>
      </c>
      <c r="K288" s="25">
        <f>IF(H288="","",IF(ISNUMBER(H288),H288-TODAY(),"Check date"))</f>
        <v/>
      </c>
      <c r="L288" s="26">
        <f>IF(K288="","",IF(ISNUMBER(K288),IF(K288&lt;0,"Expired",IF(K288&lt;=30,"Due ≤30 days",IF(K288&lt;=90,"Due ≤90 days","OK"))),"Check date"))</f>
        <v/>
      </c>
      <c r="M288" s="22" t="n"/>
      <c r="N288" s="24">
        <f>IF(ISNUMBER(M288),DATE(YEAR(M288)+2,MONTH(M288),DAY(M288)),"")</f>
        <v/>
      </c>
      <c r="O288" s="21" t="n"/>
      <c r="P288" s="21" t="n"/>
      <c r="Q288" s="21" t="n"/>
    </row>
    <row r="289">
      <c r="A289" s="21" t="n"/>
      <c r="B289" s="21" t="n"/>
      <c r="C289" s="22" t="n"/>
      <c r="D289" s="21" t="n"/>
      <c r="E289" s="21" t="n"/>
      <c r="F289" s="22" t="n"/>
      <c r="G289" s="21" t="n"/>
      <c r="H289" s="22" t="n"/>
      <c r="I289" s="23" t="n"/>
      <c r="J289" s="24">
        <f>IF(ISNUMBER(H289),H289-IF(ISNUMBER(I289),I289,30),"")</f>
        <v/>
      </c>
      <c r="K289" s="25">
        <f>IF(H289="","",IF(ISNUMBER(H289),H289-TODAY(),"Check date"))</f>
        <v/>
      </c>
      <c r="L289" s="26">
        <f>IF(K289="","",IF(ISNUMBER(K289),IF(K289&lt;0,"Expired",IF(K289&lt;=30,"Due ≤30 days",IF(K289&lt;=90,"Due ≤90 days","OK"))),"Check date"))</f>
        <v/>
      </c>
      <c r="M289" s="22" t="n"/>
      <c r="N289" s="24">
        <f>IF(ISNUMBER(M289),DATE(YEAR(M289)+2,MONTH(M289),DAY(M289)),"")</f>
        <v/>
      </c>
      <c r="O289" s="21" t="n"/>
      <c r="P289" s="21" t="n"/>
      <c r="Q289" s="21" t="n"/>
    </row>
    <row r="290">
      <c r="A290" s="21" t="n"/>
      <c r="B290" s="21" t="n"/>
      <c r="C290" s="22" t="n"/>
      <c r="D290" s="21" t="n"/>
      <c r="E290" s="21" t="n"/>
      <c r="F290" s="22" t="n"/>
      <c r="G290" s="21" t="n"/>
      <c r="H290" s="22" t="n"/>
      <c r="I290" s="23" t="n"/>
      <c r="J290" s="24">
        <f>IF(ISNUMBER(H290),H290-IF(ISNUMBER(I290),I290,30),"")</f>
        <v/>
      </c>
      <c r="K290" s="25">
        <f>IF(H290="","",IF(ISNUMBER(H290),H290-TODAY(),"Check date"))</f>
        <v/>
      </c>
      <c r="L290" s="26">
        <f>IF(K290="","",IF(ISNUMBER(K290),IF(K290&lt;0,"Expired",IF(K290&lt;=30,"Due ≤30 days",IF(K290&lt;=90,"Due ≤90 days","OK"))),"Check date"))</f>
        <v/>
      </c>
      <c r="M290" s="22" t="n"/>
      <c r="N290" s="24">
        <f>IF(ISNUMBER(M290),DATE(YEAR(M290)+2,MONTH(M290),DAY(M290)),"")</f>
        <v/>
      </c>
      <c r="O290" s="21" t="n"/>
      <c r="P290" s="21" t="n"/>
      <c r="Q290" s="21" t="n"/>
    </row>
    <row r="291">
      <c r="A291" s="21" t="n"/>
      <c r="B291" s="21" t="n"/>
      <c r="C291" s="22" t="n"/>
      <c r="D291" s="21" t="n"/>
      <c r="E291" s="21" t="n"/>
      <c r="F291" s="22" t="n"/>
      <c r="G291" s="21" t="n"/>
      <c r="H291" s="22" t="n"/>
      <c r="I291" s="23" t="n"/>
      <c r="J291" s="24">
        <f>IF(ISNUMBER(H291),H291-IF(ISNUMBER(I291),I291,30),"")</f>
        <v/>
      </c>
      <c r="K291" s="25">
        <f>IF(H291="","",IF(ISNUMBER(H291),H291-TODAY(),"Check date"))</f>
        <v/>
      </c>
      <c r="L291" s="26">
        <f>IF(K291="","",IF(ISNUMBER(K291),IF(K291&lt;0,"Expired",IF(K291&lt;=30,"Due ≤30 days",IF(K291&lt;=90,"Due ≤90 days","OK"))),"Check date"))</f>
        <v/>
      </c>
      <c r="M291" s="22" t="n"/>
      <c r="N291" s="24">
        <f>IF(ISNUMBER(M291),DATE(YEAR(M291)+2,MONTH(M291),DAY(M291)),"")</f>
        <v/>
      </c>
      <c r="O291" s="21" t="n"/>
      <c r="P291" s="21" t="n"/>
      <c r="Q291" s="21" t="n"/>
    </row>
    <row r="292">
      <c r="A292" s="21" t="n"/>
      <c r="B292" s="21" t="n"/>
      <c r="C292" s="22" t="n"/>
      <c r="D292" s="21" t="n"/>
      <c r="E292" s="21" t="n"/>
      <c r="F292" s="22" t="n"/>
      <c r="G292" s="21" t="n"/>
      <c r="H292" s="22" t="n"/>
      <c r="I292" s="23" t="n"/>
      <c r="J292" s="24">
        <f>IF(ISNUMBER(H292),H292-IF(ISNUMBER(I292),I292,30),"")</f>
        <v/>
      </c>
      <c r="K292" s="25">
        <f>IF(H292="","",IF(ISNUMBER(H292),H292-TODAY(),"Check date"))</f>
        <v/>
      </c>
      <c r="L292" s="26">
        <f>IF(K292="","",IF(ISNUMBER(K292),IF(K292&lt;0,"Expired",IF(K292&lt;=30,"Due ≤30 days",IF(K292&lt;=90,"Due ≤90 days","OK"))),"Check date"))</f>
        <v/>
      </c>
      <c r="M292" s="22" t="n"/>
      <c r="N292" s="24">
        <f>IF(ISNUMBER(M292),DATE(YEAR(M292)+2,MONTH(M292),DAY(M292)),"")</f>
        <v/>
      </c>
      <c r="O292" s="21" t="n"/>
      <c r="P292" s="21" t="n"/>
      <c r="Q292" s="21" t="n"/>
    </row>
    <row r="293">
      <c r="A293" s="21" t="n"/>
      <c r="B293" s="21" t="n"/>
      <c r="C293" s="22" t="n"/>
      <c r="D293" s="21" t="n"/>
      <c r="E293" s="21" t="n"/>
      <c r="F293" s="22" t="n"/>
      <c r="G293" s="21" t="n"/>
      <c r="H293" s="22" t="n"/>
      <c r="I293" s="23" t="n"/>
      <c r="J293" s="24">
        <f>IF(ISNUMBER(H293),H293-IF(ISNUMBER(I293),I293,30),"")</f>
        <v/>
      </c>
      <c r="K293" s="25">
        <f>IF(H293="","",IF(ISNUMBER(H293),H293-TODAY(),"Check date"))</f>
        <v/>
      </c>
      <c r="L293" s="26">
        <f>IF(K293="","",IF(ISNUMBER(K293),IF(K293&lt;0,"Expired",IF(K293&lt;=30,"Due ≤30 days",IF(K293&lt;=90,"Due ≤90 days","OK"))),"Check date"))</f>
        <v/>
      </c>
      <c r="M293" s="22" t="n"/>
      <c r="N293" s="24">
        <f>IF(ISNUMBER(M293),DATE(YEAR(M293)+2,MONTH(M293),DAY(M293)),"")</f>
        <v/>
      </c>
      <c r="O293" s="21" t="n"/>
      <c r="P293" s="21" t="n"/>
      <c r="Q293" s="21" t="n"/>
    </row>
    <row r="294">
      <c r="A294" s="21" t="n"/>
      <c r="B294" s="21" t="n"/>
      <c r="C294" s="22" t="n"/>
      <c r="D294" s="21" t="n"/>
      <c r="E294" s="21" t="n"/>
      <c r="F294" s="22" t="n"/>
      <c r="G294" s="21" t="n"/>
      <c r="H294" s="22" t="n"/>
      <c r="I294" s="23" t="n"/>
      <c r="J294" s="24">
        <f>IF(ISNUMBER(H294),H294-IF(ISNUMBER(I294),I294,30),"")</f>
        <v/>
      </c>
      <c r="K294" s="25">
        <f>IF(H294="","",IF(ISNUMBER(H294),H294-TODAY(),"Check date"))</f>
        <v/>
      </c>
      <c r="L294" s="26">
        <f>IF(K294="","",IF(ISNUMBER(K294),IF(K294&lt;0,"Expired",IF(K294&lt;=30,"Due ≤30 days",IF(K294&lt;=90,"Due ≤90 days","OK"))),"Check date"))</f>
        <v/>
      </c>
      <c r="M294" s="22" t="n"/>
      <c r="N294" s="24">
        <f>IF(ISNUMBER(M294),DATE(YEAR(M294)+2,MONTH(M294),DAY(M294)),"")</f>
        <v/>
      </c>
      <c r="O294" s="21" t="n"/>
      <c r="P294" s="21" t="n"/>
      <c r="Q294" s="21" t="n"/>
    </row>
    <row r="295">
      <c r="A295" s="21" t="n"/>
      <c r="B295" s="21" t="n"/>
      <c r="C295" s="22" t="n"/>
      <c r="D295" s="21" t="n"/>
      <c r="E295" s="21" t="n"/>
      <c r="F295" s="22" t="n"/>
      <c r="G295" s="21" t="n"/>
      <c r="H295" s="22" t="n"/>
      <c r="I295" s="23" t="n"/>
      <c r="J295" s="24">
        <f>IF(ISNUMBER(H295),H295-IF(ISNUMBER(I295),I295,30),"")</f>
        <v/>
      </c>
      <c r="K295" s="25">
        <f>IF(H295="","",IF(ISNUMBER(H295),H295-TODAY(),"Check date"))</f>
        <v/>
      </c>
      <c r="L295" s="26">
        <f>IF(K295="","",IF(ISNUMBER(K295),IF(K295&lt;0,"Expired",IF(K295&lt;=30,"Due ≤30 days",IF(K295&lt;=90,"Due ≤90 days","OK"))),"Check date"))</f>
        <v/>
      </c>
      <c r="M295" s="22" t="n"/>
      <c r="N295" s="24">
        <f>IF(ISNUMBER(M295),DATE(YEAR(M295)+2,MONTH(M295),DAY(M295)),"")</f>
        <v/>
      </c>
      <c r="O295" s="21" t="n"/>
      <c r="P295" s="21" t="n"/>
      <c r="Q295" s="21" t="n"/>
    </row>
    <row r="296">
      <c r="A296" s="21" t="n"/>
      <c r="B296" s="21" t="n"/>
      <c r="C296" s="22" t="n"/>
      <c r="D296" s="21" t="n"/>
      <c r="E296" s="21" t="n"/>
      <c r="F296" s="22" t="n"/>
      <c r="G296" s="21" t="n"/>
      <c r="H296" s="22" t="n"/>
      <c r="I296" s="23" t="n"/>
      <c r="J296" s="24">
        <f>IF(ISNUMBER(H296),H296-IF(ISNUMBER(I296),I296,30),"")</f>
        <v/>
      </c>
      <c r="K296" s="25">
        <f>IF(H296="","",IF(ISNUMBER(H296),H296-TODAY(),"Check date"))</f>
        <v/>
      </c>
      <c r="L296" s="26">
        <f>IF(K296="","",IF(ISNUMBER(K296),IF(K296&lt;0,"Expired",IF(K296&lt;=30,"Due ≤30 days",IF(K296&lt;=90,"Due ≤90 days","OK"))),"Check date"))</f>
        <v/>
      </c>
      <c r="M296" s="22" t="n"/>
      <c r="N296" s="24">
        <f>IF(ISNUMBER(M296),DATE(YEAR(M296)+2,MONTH(M296),DAY(M296)),"")</f>
        <v/>
      </c>
      <c r="O296" s="21" t="n"/>
      <c r="P296" s="21" t="n"/>
      <c r="Q296" s="21" t="n"/>
    </row>
    <row r="297">
      <c r="A297" s="21" t="n"/>
      <c r="B297" s="21" t="n"/>
      <c r="C297" s="22" t="n"/>
      <c r="D297" s="21" t="n"/>
      <c r="E297" s="21" t="n"/>
      <c r="F297" s="22" t="n"/>
      <c r="G297" s="21" t="n"/>
      <c r="H297" s="22" t="n"/>
      <c r="I297" s="23" t="n"/>
      <c r="J297" s="24">
        <f>IF(ISNUMBER(H297),H297-IF(ISNUMBER(I297),I297,30),"")</f>
        <v/>
      </c>
      <c r="K297" s="25">
        <f>IF(H297="","",IF(ISNUMBER(H297),H297-TODAY(),"Check date"))</f>
        <v/>
      </c>
      <c r="L297" s="26">
        <f>IF(K297="","",IF(ISNUMBER(K297),IF(K297&lt;0,"Expired",IF(K297&lt;=30,"Due ≤30 days",IF(K297&lt;=90,"Due ≤90 days","OK"))),"Check date"))</f>
        <v/>
      </c>
      <c r="M297" s="22" t="n"/>
      <c r="N297" s="24">
        <f>IF(ISNUMBER(M297),DATE(YEAR(M297)+2,MONTH(M297),DAY(M297)),"")</f>
        <v/>
      </c>
      <c r="O297" s="21" t="n"/>
      <c r="P297" s="21" t="n"/>
      <c r="Q297" s="21" t="n"/>
    </row>
    <row r="298">
      <c r="A298" s="21" t="n"/>
      <c r="B298" s="21" t="n"/>
      <c r="C298" s="22" t="n"/>
      <c r="D298" s="21" t="n"/>
      <c r="E298" s="21" t="n"/>
      <c r="F298" s="22" t="n"/>
      <c r="G298" s="21" t="n"/>
      <c r="H298" s="22" t="n"/>
      <c r="I298" s="23" t="n"/>
      <c r="J298" s="24">
        <f>IF(ISNUMBER(H298),H298-IF(ISNUMBER(I298),I298,30),"")</f>
        <v/>
      </c>
      <c r="K298" s="25">
        <f>IF(H298="","",IF(ISNUMBER(H298),H298-TODAY(),"Check date"))</f>
        <v/>
      </c>
      <c r="L298" s="26">
        <f>IF(K298="","",IF(ISNUMBER(K298),IF(K298&lt;0,"Expired",IF(K298&lt;=30,"Due ≤30 days",IF(K298&lt;=90,"Due ≤90 days","OK"))),"Check date"))</f>
        <v/>
      </c>
      <c r="M298" s="22" t="n"/>
      <c r="N298" s="24">
        <f>IF(ISNUMBER(M298),DATE(YEAR(M298)+2,MONTH(M298),DAY(M298)),"")</f>
        <v/>
      </c>
      <c r="O298" s="21" t="n"/>
      <c r="P298" s="21" t="n"/>
      <c r="Q298" s="21" t="n"/>
    </row>
    <row r="299">
      <c r="A299" s="21" t="n"/>
      <c r="B299" s="21" t="n"/>
      <c r="C299" s="22" t="n"/>
      <c r="D299" s="21" t="n"/>
      <c r="E299" s="21" t="n"/>
      <c r="F299" s="22" t="n"/>
      <c r="G299" s="21" t="n"/>
      <c r="H299" s="22" t="n"/>
      <c r="I299" s="23" t="n"/>
      <c r="J299" s="24">
        <f>IF(ISNUMBER(H299),H299-IF(ISNUMBER(I299),I299,30),"")</f>
        <v/>
      </c>
      <c r="K299" s="25">
        <f>IF(H299="","",IF(ISNUMBER(H299),H299-TODAY(),"Check date"))</f>
        <v/>
      </c>
      <c r="L299" s="26">
        <f>IF(K299="","",IF(ISNUMBER(K299),IF(K299&lt;0,"Expired",IF(K299&lt;=30,"Due ≤30 days",IF(K299&lt;=90,"Due ≤90 days","OK"))),"Check date"))</f>
        <v/>
      </c>
      <c r="M299" s="22" t="n"/>
      <c r="N299" s="24">
        <f>IF(ISNUMBER(M299),DATE(YEAR(M299)+2,MONTH(M299),DAY(M299)),"")</f>
        <v/>
      </c>
      <c r="O299" s="21" t="n"/>
      <c r="P299" s="21" t="n"/>
      <c r="Q299" s="21" t="n"/>
    </row>
    <row r="300">
      <c r="A300" s="21" t="n"/>
      <c r="B300" s="21" t="n"/>
      <c r="C300" s="22" t="n"/>
      <c r="D300" s="21" t="n"/>
      <c r="E300" s="21" t="n"/>
      <c r="F300" s="22" t="n"/>
      <c r="G300" s="21" t="n"/>
      <c r="H300" s="22" t="n"/>
      <c r="I300" s="23" t="n"/>
      <c r="J300" s="24">
        <f>IF(ISNUMBER(H300),H300-IF(ISNUMBER(I300),I300,30),"")</f>
        <v/>
      </c>
      <c r="K300" s="25">
        <f>IF(H300="","",IF(ISNUMBER(H300),H300-TODAY(),"Check date"))</f>
        <v/>
      </c>
      <c r="L300" s="26">
        <f>IF(K300="","",IF(ISNUMBER(K300),IF(K300&lt;0,"Expired",IF(K300&lt;=30,"Due ≤30 days",IF(K300&lt;=90,"Due ≤90 days","OK"))),"Check date"))</f>
        <v/>
      </c>
      <c r="M300" s="22" t="n"/>
      <c r="N300" s="24">
        <f>IF(ISNUMBER(M300),DATE(YEAR(M300)+2,MONTH(M300),DAY(M300)),"")</f>
        <v/>
      </c>
      <c r="O300" s="21" t="n"/>
      <c r="P300" s="21" t="n"/>
      <c r="Q300" s="21" t="n"/>
    </row>
    <row r="301">
      <c r="A301" s="21" t="n"/>
      <c r="B301" s="21" t="n"/>
      <c r="C301" s="22" t="n"/>
      <c r="D301" s="21" t="n"/>
      <c r="E301" s="21" t="n"/>
      <c r="F301" s="22" t="n"/>
      <c r="G301" s="21" t="n"/>
      <c r="H301" s="22" t="n"/>
      <c r="I301" s="23" t="n"/>
      <c r="J301" s="24">
        <f>IF(ISNUMBER(H301),H301-IF(ISNUMBER(I301),I301,30),"")</f>
        <v/>
      </c>
      <c r="K301" s="25">
        <f>IF(H301="","",IF(ISNUMBER(H301),H301-TODAY(),"Check date"))</f>
        <v/>
      </c>
      <c r="L301" s="26">
        <f>IF(K301="","",IF(ISNUMBER(K301),IF(K301&lt;0,"Expired",IF(K301&lt;=30,"Due ≤30 days",IF(K301&lt;=90,"Due ≤90 days","OK"))),"Check date"))</f>
        <v/>
      </c>
      <c r="M301" s="22" t="n"/>
      <c r="N301" s="24">
        <f>IF(ISNUMBER(M301),DATE(YEAR(M301)+2,MONTH(M301),DAY(M301)),"")</f>
        <v/>
      </c>
      <c r="O301" s="21" t="n"/>
      <c r="P301" s="21" t="n"/>
      <c r="Q301" s="21" t="n"/>
    </row>
    <row r="302">
      <c r="A302" s="21" t="n"/>
      <c r="B302" s="21" t="n"/>
      <c r="C302" s="22" t="n"/>
      <c r="D302" s="21" t="n"/>
      <c r="E302" s="21" t="n"/>
      <c r="F302" s="22" t="n"/>
      <c r="G302" s="21" t="n"/>
      <c r="H302" s="22" t="n"/>
      <c r="I302" s="23" t="n"/>
      <c r="J302" s="24">
        <f>IF(ISNUMBER(H302),H302-IF(ISNUMBER(I302),I302,30),"")</f>
        <v/>
      </c>
      <c r="K302" s="25">
        <f>IF(H302="","",IF(ISNUMBER(H302),H302-TODAY(),"Check date"))</f>
        <v/>
      </c>
      <c r="L302" s="26">
        <f>IF(K302="","",IF(ISNUMBER(K302),IF(K302&lt;0,"Expired",IF(K302&lt;=30,"Due ≤30 days",IF(K302&lt;=90,"Due ≤90 days","OK"))),"Check date"))</f>
        <v/>
      </c>
      <c r="M302" s="22" t="n"/>
      <c r="N302" s="24">
        <f>IF(ISNUMBER(M302),DATE(YEAR(M302)+2,MONTH(M302),DAY(M302)),"")</f>
        <v/>
      </c>
      <c r="O302" s="21" t="n"/>
      <c r="P302" s="21" t="n"/>
      <c r="Q302" s="21" t="n"/>
    </row>
    <row r="303">
      <c r="A303" s="21" t="n"/>
      <c r="B303" s="21" t="n"/>
      <c r="C303" s="22" t="n"/>
      <c r="D303" s="21" t="n"/>
      <c r="E303" s="21" t="n"/>
      <c r="F303" s="22" t="n"/>
      <c r="G303" s="21" t="n"/>
      <c r="H303" s="22" t="n"/>
      <c r="I303" s="23" t="n"/>
      <c r="J303" s="24">
        <f>IF(ISNUMBER(H303),H303-IF(ISNUMBER(I303),I303,30),"")</f>
        <v/>
      </c>
      <c r="K303" s="25">
        <f>IF(H303="","",IF(ISNUMBER(H303),H303-TODAY(),"Check date"))</f>
        <v/>
      </c>
      <c r="L303" s="26">
        <f>IF(K303="","",IF(ISNUMBER(K303),IF(K303&lt;0,"Expired",IF(K303&lt;=30,"Due ≤30 days",IF(K303&lt;=90,"Due ≤90 days","OK"))),"Check date"))</f>
        <v/>
      </c>
      <c r="M303" s="22" t="n"/>
      <c r="N303" s="24">
        <f>IF(ISNUMBER(M303),DATE(YEAR(M303)+2,MONTH(M303),DAY(M303)),"")</f>
        <v/>
      </c>
      <c r="O303" s="21" t="n"/>
      <c r="P303" s="21" t="n"/>
      <c r="Q303" s="21" t="n"/>
    </row>
    <row r="304">
      <c r="A304" s="21" t="n"/>
      <c r="B304" s="21" t="n"/>
      <c r="C304" s="22" t="n"/>
      <c r="D304" s="21" t="n"/>
      <c r="E304" s="21" t="n"/>
      <c r="F304" s="22" t="n"/>
      <c r="G304" s="21" t="n"/>
      <c r="H304" s="22" t="n"/>
      <c r="I304" s="23" t="n"/>
      <c r="J304" s="24">
        <f>IF(ISNUMBER(H304),H304-IF(ISNUMBER(I304),I304,30),"")</f>
        <v/>
      </c>
      <c r="K304" s="25">
        <f>IF(H304="","",IF(ISNUMBER(H304),H304-TODAY(),"Check date"))</f>
        <v/>
      </c>
      <c r="L304" s="26">
        <f>IF(K304="","",IF(ISNUMBER(K304),IF(K304&lt;0,"Expired",IF(K304&lt;=30,"Due ≤30 days",IF(K304&lt;=90,"Due ≤90 days","OK"))),"Check date"))</f>
        <v/>
      </c>
      <c r="M304" s="22" t="n"/>
      <c r="N304" s="24">
        <f>IF(ISNUMBER(M304),DATE(YEAR(M304)+2,MONTH(M304),DAY(M304)),"")</f>
        <v/>
      </c>
      <c r="O304" s="21" t="n"/>
      <c r="P304" s="21" t="n"/>
      <c r="Q304" s="21" t="n"/>
    </row>
    <row r="305">
      <c r="A305" s="21" t="n"/>
      <c r="B305" s="21" t="n"/>
      <c r="C305" s="22" t="n"/>
      <c r="D305" s="21" t="n"/>
      <c r="E305" s="21" t="n"/>
      <c r="F305" s="22" t="n"/>
      <c r="G305" s="21" t="n"/>
      <c r="H305" s="22" t="n"/>
      <c r="I305" s="23" t="n"/>
      <c r="J305" s="24">
        <f>IF(ISNUMBER(H305),H305-IF(ISNUMBER(I305),I305,30),"")</f>
        <v/>
      </c>
      <c r="K305" s="25">
        <f>IF(H305="","",IF(ISNUMBER(H305),H305-TODAY(),"Check date"))</f>
        <v/>
      </c>
      <c r="L305" s="26">
        <f>IF(K305="","",IF(ISNUMBER(K305),IF(K305&lt;0,"Expired",IF(K305&lt;=30,"Due ≤30 days",IF(K305&lt;=90,"Due ≤90 days","OK"))),"Check date"))</f>
        <v/>
      </c>
      <c r="M305" s="22" t="n"/>
      <c r="N305" s="24">
        <f>IF(ISNUMBER(M305),DATE(YEAR(M305)+2,MONTH(M305),DAY(M305)),"")</f>
        <v/>
      </c>
      <c r="O305" s="21" t="n"/>
      <c r="P305" s="21" t="n"/>
      <c r="Q305" s="21" t="n"/>
    </row>
    <row r="306">
      <c r="A306" s="21" t="n"/>
      <c r="B306" s="21" t="n"/>
      <c r="C306" s="22" t="n"/>
      <c r="D306" s="21" t="n"/>
      <c r="E306" s="21" t="n"/>
      <c r="F306" s="22" t="n"/>
      <c r="G306" s="21" t="n"/>
      <c r="H306" s="22" t="n"/>
      <c r="I306" s="23" t="n"/>
      <c r="J306" s="24">
        <f>IF(ISNUMBER(H306),H306-IF(ISNUMBER(I306),I306,30),"")</f>
        <v/>
      </c>
      <c r="K306" s="25">
        <f>IF(H306="","",IF(ISNUMBER(H306),H306-TODAY(),"Check date"))</f>
        <v/>
      </c>
      <c r="L306" s="26">
        <f>IF(K306="","",IF(ISNUMBER(K306),IF(K306&lt;0,"Expired",IF(K306&lt;=30,"Due ≤30 days",IF(K306&lt;=90,"Due ≤90 days","OK"))),"Check date"))</f>
        <v/>
      </c>
      <c r="M306" s="22" t="n"/>
      <c r="N306" s="24">
        <f>IF(ISNUMBER(M306),DATE(YEAR(M306)+2,MONTH(M306),DAY(M306)),"")</f>
        <v/>
      </c>
      <c r="O306" s="21" t="n"/>
      <c r="P306" s="21" t="n"/>
      <c r="Q306" s="21" t="n"/>
    </row>
    <row r="307">
      <c r="A307" s="21" t="n"/>
      <c r="B307" s="21" t="n"/>
      <c r="C307" s="22" t="n"/>
      <c r="D307" s="21" t="n"/>
      <c r="E307" s="21" t="n"/>
      <c r="F307" s="22" t="n"/>
      <c r="G307" s="21" t="n"/>
      <c r="H307" s="22" t="n"/>
      <c r="I307" s="23" t="n"/>
      <c r="J307" s="24">
        <f>IF(ISNUMBER(H307),H307-IF(ISNUMBER(I307),I307,30),"")</f>
        <v/>
      </c>
      <c r="K307" s="25">
        <f>IF(H307="","",IF(ISNUMBER(H307),H307-TODAY(),"Check date"))</f>
        <v/>
      </c>
      <c r="L307" s="26">
        <f>IF(K307="","",IF(ISNUMBER(K307),IF(K307&lt;0,"Expired",IF(K307&lt;=30,"Due ≤30 days",IF(K307&lt;=90,"Due ≤90 days","OK"))),"Check date"))</f>
        <v/>
      </c>
      <c r="M307" s="22" t="n"/>
      <c r="N307" s="24">
        <f>IF(ISNUMBER(M307),DATE(YEAR(M307)+2,MONTH(M307),DAY(M307)),"")</f>
        <v/>
      </c>
      <c r="O307" s="21" t="n"/>
      <c r="P307" s="21" t="n"/>
      <c r="Q307" s="21" t="n"/>
    </row>
    <row r="308">
      <c r="A308" s="21" t="n"/>
      <c r="B308" s="21" t="n"/>
      <c r="C308" s="22" t="n"/>
      <c r="D308" s="21" t="n"/>
      <c r="E308" s="21" t="n"/>
      <c r="F308" s="22" t="n"/>
      <c r="G308" s="21" t="n"/>
      <c r="H308" s="22" t="n"/>
      <c r="I308" s="23" t="n"/>
      <c r="J308" s="24">
        <f>IF(ISNUMBER(H308),H308-IF(ISNUMBER(I308),I308,30),"")</f>
        <v/>
      </c>
      <c r="K308" s="25">
        <f>IF(H308="","",IF(ISNUMBER(H308),H308-TODAY(),"Check date"))</f>
        <v/>
      </c>
      <c r="L308" s="26">
        <f>IF(K308="","",IF(ISNUMBER(K308),IF(K308&lt;0,"Expired",IF(K308&lt;=30,"Due ≤30 days",IF(K308&lt;=90,"Due ≤90 days","OK"))),"Check date"))</f>
        <v/>
      </c>
      <c r="M308" s="22" t="n"/>
      <c r="N308" s="24">
        <f>IF(ISNUMBER(M308),DATE(YEAR(M308)+2,MONTH(M308),DAY(M308)),"")</f>
        <v/>
      </c>
      <c r="O308" s="21" t="n"/>
      <c r="P308" s="21" t="n"/>
      <c r="Q308" s="21" t="n"/>
    </row>
    <row r="309">
      <c r="A309" s="21" t="n"/>
      <c r="B309" s="21" t="n"/>
      <c r="C309" s="22" t="n"/>
      <c r="D309" s="21" t="n"/>
      <c r="E309" s="21" t="n"/>
      <c r="F309" s="22" t="n"/>
      <c r="G309" s="21" t="n"/>
      <c r="H309" s="22" t="n"/>
      <c r="I309" s="23" t="n"/>
      <c r="J309" s="24">
        <f>IF(ISNUMBER(H309),H309-IF(ISNUMBER(I309),I309,30),"")</f>
        <v/>
      </c>
      <c r="K309" s="25">
        <f>IF(H309="","",IF(ISNUMBER(H309),H309-TODAY(),"Check date"))</f>
        <v/>
      </c>
      <c r="L309" s="26">
        <f>IF(K309="","",IF(ISNUMBER(K309),IF(K309&lt;0,"Expired",IF(K309&lt;=30,"Due ≤30 days",IF(K309&lt;=90,"Due ≤90 days","OK"))),"Check date"))</f>
        <v/>
      </c>
      <c r="M309" s="22" t="n"/>
      <c r="N309" s="24">
        <f>IF(ISNUMBER(M309),DATE(YEAR(M309)+2,MONTH(M309),DAY(M309)),"")</f>
        <v/>
      </c>
      <c r="O309" s="21" t="n"/>
      <c r="P309" s="21" t="n"/>
      <c r="Q309" s="21" t="n"/>
    </row>
    <row r="310">
      <c r="A310" s="21" t="n"/>
      <c r="B310" s="21" t="n"/>
      <c r="C310" s="22" t="n"/>
      <c r="D310" s="21" t="n"/>
      <c r="E310" s="21" t="n"/>
      <c r="F310" s="22" t="n"/>
      <c r="G310" s="21" t="n"/>
      <c r="H310" s="22" t="n"/>
      <c r="I310" s="23" t="n"/>
      <c r="J310" s="24">
        <f>IF(ISNUMBER(H310),H310-IF(ISNUMBER(I310),I310,30),"")</f>
        <v/>
      </c>
      <c r="K310" s="25">
        <f>IF(H310="","",IF(ISNUMBER(H310),H310-TODAY(),"Check date"))</f>
        <v/>
      </c>
      <c r="L310" s="26">
        <f>IF(K310="","",IF(ISNUMBER(K310),IF(K310&lt;0,"Expired",IF(K310&lt;=30,"Due ≤30 days",IF(K310&lt;=90,"Due ≤90 days","OK"))),"Check date"))</f>
        <v/>
      </c>
      <c r="M310" s="22" t="n"/>
      <c r="N310" s="24">
        <f>IF(ISNUMBER(M310),DATE(YEAR(M310)+2,MONTH(M310),DAY(M310)),"")</f>
        <v/>
      </c>
      <c r="O310" s="21" t="n"/>
      <c r="P310" s="21" t="n"/>
      <c r="Q310" s="21" t="n"/>
    </row>
    <row r="311">
      <c r="A311" s="21" t="n"/>
      <c r="B311" s="21" t="n"/>
      <c r="C311" s="22" t="n"/>
      <c r="D311" s="21" t="n"/>
      <c r="E311" s="21" t="n"/>
      <c r="F311" s="22" t="n"/>
      <c r="G311" s="21" t="n"/>
      <c r="H311" s="22" t="n"/>
      <c r="I311" s="23" t="n"/>
      <c r="J311" s="24">
        <f>IF(ISNUMBER(H311),H311-IF(ISNUMBER(I311),I311,30),"")</f>
        <v/>
      </c>
      <c r="K311" s="25">
        <f>IF(H311="","",IF(ISNUMBER(H311),H311-TODAY(),"Check date"))</f>
        <v/>
      </c>
      <c r="L311" s="26">
        <f>IF(K311="","",IF(ISNUMBER(K311),IF(K311&lt;0,"Expired",IF(K311&lt;=30,"Due ≤30 days",IF(K311&lt;=90,"Due ≤90 days","OK"))),"Check date"))</f>
        <v/>
      </c>
      <c r="M311" s="22" t="n"/>
      <c r="N311" s="24">
        <f>IF(ISNUMBER(M311),DATE(YEAR(M311)+2,MONTH(M311),DAY(M311)),"")</f>
        <v/>
      </c>
      <c r="O311" s="21" t="n"/>
      <c r="P311" s="21" t="n"/>
      <c r="Q311" s="21" t="n"/>
    </row>
    <row r="312">
      <c r="A312" s="21" t="n"/>
      <c r="B312" s="21" t="n"/>
      <c r="C312" s="22" t="n"/>
      <c r="D312" s="21" t="n"/>
      <c r="E312" s="21" t="n"/>
      <c r="F312" s="22" t="n"/>
      <c r="G312" s="21" t="n"/>
      <c r="H312" s="22" t="n"/>
      <c r="I312" s="23" t="n"/>
      <c r="J312" s="24">
        <f>IF(ISNUMBER(H312),H312-IF(ISNUMBER(I312),I312,30),"")</f>
        <v/>
      </c>
      <c r="K312" s="25">
        <f>IF(H312="","",IF(ISNUMBER(H312),H312-TODAY(),"Check date"))</f>
        <v/>
      </c>
      <c r="L312" s="26">
        <f>IF(K312="","",IF(ISNUMBER(K312),IF(K312&lt;0,"Expired",IF(K312&lt;=30,"Due ≤30 days",IF(K312&lt;=90,"Due ≤90 days","OK"))),"Check date"))</f>
        <v/>
      </c>
      <c r="M312" s="22" t="n"/>
      <c r="N312" s="24">
        <f>IF(ISNUMBER(M312),DATE(YEAR(M312)+2,MONTH(M312),DAY(M312)),"")</f>
        <v/>
      </c>
      <c r="O312" s="21" t="n"/>
      <c r="P312" s="21" t="n"/>
      <c r="Q312" s="21" t="n"/>
    </row>
    <row r="313">
      <c r="A313" s="21" t="n"/>
      <c r="B313" s="21" t="n"/>
      <c r="C313" s="22" t="n"/>
      <c r="D313" s="21" t="n"/>
      <c r="E313" s="21" t="n"/>
      <c r="F313" s="22" t="n"/>
      <c r="G313" s="21" t="n"/>
      <c r="H313" s="22" t="n"/>
      <c r="I313" s="23" t="n"/>
      <c r="J313" s="24">
        <f>IF(ISNUMBER(H313),H313-IF(ISNUMBER(I313),I313,30),"")</f>
        <v/>
      </c>
      <c r="K313" s="25">
        <f>IF(H313="","",IF(ISNUMBER(H313),H313-TODAY(),"Check date"))</f>
        <v/>
      </c>
      <c r="L313" s="26">
        <f>IF(K313="","",IF(ISNUMBER(K313),IF(K313&lt;0,"Expired",IF(K313&lt;=30,"Due ≤30 days",IF(K313&lt;=90,"Due ≤90 days","OK"))),"Check date"))</f>
        <v/>
      </c>
      <c r="M313" s="22" t="n"/>
      <c r="N313" s="24">
        <f>IF(ISNUMBER(M313),DATE(YEAR(M313)+2,MONTH(M313),DAY(M313)),"")</f>
        <v/>
      </c>
      <c r="O313" s="21" t="n"/>
      <c r="P313" s="21" t="n"/>
      <c r="Q313" s="21" t="n"/>
    </row>
    <row r="314">
      <c r="A314" s="21" t="n"/>
      <c r="B314" s="21" t="n"/>
      <c r="C314" s="22" t="n"/>
      <c r="D314" s="21" t="n"/>
      <c r="E314" s="21" t="n"/>
      <c r="F314" s="22" t="n"/>
      <c r="G314" s="21" t="n"/>
      <c r="H314" s="22" t="n"/>
      <c r="I314" s="23" t="n"/>
      <c r="J314" s="24">
        <f>IF(ISNUMBER(H314),H314-IF(ISNUMBER(I314),I314,30),"")</f>
        <v/>
      </c>
      <c r="K314" s="25">
        <f>IF(H314="","",IF(ISNUMBER(H314),H314-TODAY(),"Check date"))</f>
        <v/>
      </c>
      <c r="L314" s="26">
        <f>IF(K314="","",IF(ISNUMBER(K314),IF(K314&lt;0,"Expired",IF(K314&lt;=30,"Due ≤30 days",IF(K314&lt;=90,"Due ≤90 days","OK"))),"Check date"))</f>
        <v/>
      </c>
      <c r="M314" s="22" t="n"/>
      <c r="N314" s="24">
        <f>IF(ISNUMBER(M314),DATE(YEAR(M314)+2,MONTH(M314),DAY(M314)),"")</f>
        <v/>
      </c>
      <c r="O314" s="21" t="n"/>
      <c r="P314" s="21" t="n"/>
      <c r="Q314" s="21" t="n"/>
    </row>
    <row r="315">
      <c r="A315" s="21" t="n"/>
      <c r="B315" s="21" t="n"/>
      <c r="C315" s="22" t="n"/>
      <c r="D315" s="21" t="n"/>
      <c r="E315" s="21" t="n"/>
      <c r="F315" s="22" t="n"/>
      <c r="G315" s="21" t="n"/>
      <c r="H315" s="22" t="n"/>
      <c r="I315" s="23" t="n"/>
      <c r="J315" s="24">
        <f>IF(ISNUMBER(H315),H315-IF(ISNUMBER(I315),I315,30),"")</f>
        <v/>
      </c>
      <c r="K315" s="25">
        <f>IF(H315="","",IF(ISNUMBER(H315),H315-TODAY(),"Check date"))</f>
        <v/>
      </c>
      <c r="L315" s="26">
        <f>IF(K315="","",IF(ISNUMBER(K315),IF(K315&lt;0,"Expired",IF(K315&lt;=30,"Due ≤30 days",IF(K315&lt;=90,"Due ≤90 days","OK"))),"Check date"))</f>
        <v/>
      </c>
      <c r="M315" s="22" t="n"/>
      <c r="N315" s="24">
        <f>IF(ISNUMBER(M315),DATE(YEAR(M315)+2,MONTH(M315),DAY(M315)),"")</f>
        <v/>
      </c>
      <c r="O315" s="21" t="n"/>
      <c r="P315" s="21" t="n"/>
      <c r="Q315" s="21" t="n"/>
    </row>
    <row r="316">
      <c r="A316" s="21" t="n"/>
      <c r="B316" s="21" t="n"/>
      <c r="C316" s="22" t="n"/>
      <c r="D316" s="21" t="n"/>
      <c r="E316" s="21" t="n"/>
      <c r="F316" s="22" t="n"/>
      <c r="G316" s="21" t="n"/>
      <c r="H316" s="22" t="n"/>
      <c r="I316" s="23" t="n"/>
      <c r="J316" s="24">
        <f>IF(ISNUMBER(H316),H316-IF(ISNUMBER(I316),I316,30),"")</f>
        <v/>
      </c>
      <c r="K316" s="25">
        <f>IF(H316="","",IF(ISNUMBER(H316),H316-TODAY(),"Check date"))</f>
        <v/>
      </c>
      <c r="L316" s="26">
        <f>IF(K316="","",IF(ISNUMBER(K316),IF(K316&lt;0,"Expired",IF(K316&lt;=30,"Due ≤30 days",IF(K316&lt;=90,"Due ≤90 days","OK"))),"Check date"))</f>
        <v/>
      </c>
      <c r="M316" s="22" t="n"/>
      <c r="N316" s="24">
        <f>IF(ISNUMBER(M316),DATE(YEAR(M316)+2,MONTH(M316),DAY(M316)),"")</f>
        <v/>
      </c>
      <c r="O316" s="21" t="n"/>
      <c r="P316" s="21" t="n"/>
      <c r="Q316" s="21" t="n"/>
    </row>
    <row r="317">
      <c r="A317" s="21" t="n"/>
      <c r="B317" s="21" t="n"/>
      <c r="C317" s="22" t="n"/>
      <c r="D317" s="21" t="n"/>
      <c r="E317" s="21" t="n"/>
      <c r="F317" s="22" t="n"/>
      <c r="G317" s="21" t="n"/>
      <c r="H317" s="22" t="n"/>
      <c r="I317" s="23" t="n"/>
      <c r="J317" s="24">
        <f>IF(ISNUMBER(H317),H317-IF(ISNUMBER(I317),I317,30),"")</f>
        <v/>
      </c>
      <c r="K317" s="25">
        <f>IF(H317="","",IF(ISNUMBER(H317),H317-TODAY(),"Check date"))</f>
        <v/>
      </c>
      <c r="L317" s="26">
        <f>IF(K317="","",IF(ISNUMBER(K317),IF(K317&lt;0,"Expired",IF(K317&lt;=30,"Due ≤30 days",IF(K317&lt;=90,"Due ≤90 days","OK"))),"Check date"))</f>
        <v/>
      </c>
      <c r="M317" s="22" t="n"/>
      <c r="N317" s="24">
        <f>IF(ISNUMBER(M317),DATE(YEAR(M317)+2,MONTH(M317),DAY(M317)),"")</f>
        <v/>
      </c>
      <c r="O317" s="21" t="n"/>
      <c r="P317" s="21" t="n"/>
      <c r="Q317" s="21" t="n"/>
    </row>
    <row r="318">
      <c r="A318" s="21" t="n"/>
      <c r="B318" s="21" t="n"/>
      <c r="C318" s="22" t="n"/>
      <c r="D318" s="21" t="n"/>
      <c r="E318" s="21" t="n"/>
      <c r="F318" s="22" t="n"/>
      <c r="G318" s="21" t="n"/>
      <c r="H318" s="22" t="n"/>
      <c r="I318" s="23" t="n"/>
      <c r="J318" s="24">
        <f>IF(ISNUMBER(H318),H318-IF(ISNUMBER(I318),I318,30),"")</f>
        <v/>
      </c>
      <c r="K318" s="25">
        <f>IF(H318="","",IF(ISNUMBER(H318),H318-TODAY(),"Check date"))</f>
        <v/>
      </c>
      <c r="L318" s="26">
        <f>IF(K318="","",IF(ISNUMBER(K318),IF(K318&lt;0,"Expired",IF(K318&lt;=30,"Due ≤30 days",IF(K318&lt;=90,"Due ≤90 days","OK"))),"Check date"))</f>
        <v/>
      </c>
      <c r="M318" s="22" t="n"/>
      <c r="N318" s="24">
        <f>IF(ISNUMBER(M318),DATE(YEAR(M318)+2,MONTH(M318),DAY(M318)),"")</f>
        <v/>
      </c>
      <c r="O318" s="21" t="n"/>
      <c r="P318" s="21" t="n"/>
      <c r="Q318" s="21" t="n"/>
    </row>
    <row r="319">
      <c r="A319" s="21" t="n"/>
      <c r="B319" s="21" t="n"/>
      <c r="C319" s="22" t="n"/>
      <c r="D319" s="21" t="n"/>
      <c r="E319" s="21" t="n"/>
      <c r="F319" s="22" t="n"/>
      <c r="G319" s="21" t="n"/>
      <c r="H319" s="22" t="n"/>
      <c r="I319" s="23" t="n"/>
      <c r="J319" s="24">
        <f>IF(ISNUMBER(H319),H319-IF(ISNUMBER(I319),I319,30),"")</f>
        <v/>
      </c>
      <c r="K319" s="25">
        <f>IF(H319="","",IF(ISNUMBER(H319),H319-TODAY(),"Check date"))</f>
        <v/>
      </c>
      <c r="L319" s="26">
        <f>IF(K319="","",IF(ISNUMBER(K319),IF(K319&lt;0,"Expired",IF(K319&lt;=30,"Due ≤30 days",IF(K319&lt;=90,"Due ≤90 days","OK"))),"Check date"))</f>
        <v/>
      </c>
      <c r="M319" s="22" t="n"/>
      <c r="N319" s="24">
        <f>IF(ISNUMBER(M319),DATE(YEAR(M319)+2,MONTH(M319),DAY(M319)),"")</f>
        <v/>
      </c>
      <c r="O319" s="21" t="n"/>
      <c r="P319" s="21" t="n"/>
      <c r="Q319" s="21" t="n"/>
    </row>
    <row r="320">
      <c r="A320" s="21" t="n"/>
      <c r="B320" s="21" t="n"/>
      <c r="C320" s="22" t="n"/>
      <c r="D320" s="21" t="n"/>
      <c r="E320" s="21" t="n"/>
      <c r="F320" s="22" t="n"/>
      <c r="G320" s="21" t="n"/>
      <c r="H320" s="22" t="n"/>
      <c r="I320" s="23" t="n"/>
      <c r="J320" s="24">
        <f>IF(ISNUMBER(H320),H320-IF(ISNUMBER(I320),I320,30),"")</f>
        <v/>
      </c>
      <c r="K320" s="25">
        <f>IF(H320="","",IF(ISNUMBER(H320),H320-TODAY(),"Check date"))</f>
        <v/>
      </c>
      <c r="L320" s="26">
        <f>IF(K320="","",IF(ISNUMBER(K320),IF(K320&lt;0,"Expired",IF(K320&lt;=30,"Due ≤30 days",IF(K320&lt;=90,"Due ≤90 days","OK"))),"Check date"))</f>
        <v/>
      </c>
      <c r="M320" s="22" t="n"/>
      <c r="N320" s="24">
        <f>IF(ISNUMBER(M320),DATE(YEAR(M320)+2,MONTH(M320),DAY(M320)),"")</f>
        <v/>
      </c>
      <c r="O320" s="21" t="n"/>
      <c r="P320" s="21" t="n"/>
      <c r="Q320" s="21" t="n"/>
    </row>
    <row r="321">
      <c r="A321" s="21" t="n"/>
      <c r="B321" s="21" t="n"/>
      <c r="C321" s="22" t="n"/>
      <c r="D321" s="21" t="n"/>
      <c r="E321" s="21" t="n"/>
      <c r="F321" s="22" t="n"/>
      <c r="G321" s="21" t="n"/>
      <c r="H321" s="22" t="n"/>
      <c r="I321" s="23" t="n"/>
      <c r="J321" s="24">
        <f>IF(ISNUMBER(H321),H321-IF(ISNUMBER(I321),I321,30),"")</f>
        <v/>
      </c>
      <c r="K321" s="25">
        <f>IF(H321="","",IF(ISNUMBER(H321),H321-TODAY(),"Check date"))</f>
        <v/>
      </c>
      <c r="L321" s="26">
        <f>IF(K321="","",IF(ISNUMBER(K321),IF(K321&lt;0,"Expired",IF(K321&lt;=30,"Due ≤30 days",IF(K321&lt;=90,"Due ≤90 days","OK"))),"Check date"))</f>
        <v/>
      </c>
      <c r="M321" s="22" t="n"/>
      <c r="N321" s="24">
        <f>IF(ISNUMBER(M321),DATE(YEAR(M321)+2,MONTH(M321),DAY(M321)),"")</f>
        <v/>
      </c>
      <c r="O321" s="21" t="n"/>
      <c r="P321" s="21" t="n"/>
      <c r="Q321" s="21" t="n"/>
    </row>
    <row r="322">
      <c r="A322" s="21" t="n"/>
      <c r="B322" s="21" t="n"/>
      <c r="C322" s="22" t="n"/>
      <c r="D322" s="21" t="n"/>
      <c r="E322" s="21" t="n"/>
      <c r="F322" s="22" t="n"/>
      <c r="G322" s="21" t="n"/>
      <c r="H322" s="22" t="n"/>
      <c r="I322" s="23" t="n"/>
      <c r="J322" s="24">
        <f>IF(ISNUMBER(H322),H322-IF(ISNUMBER(I322),I322,30),"")</f>
        <v/>
      </c>
      <c r="K322" s="25">
        <f>IF(H322="","",IF(ISNUMBER(H322),H322-TODAY(),"Check date"))</f>
        <v/>
      </c>
      <c r="L322" s="26">
        <f>IF(K322="","",IF(ISNUMBER(K322),IF(K322&lt;0,"Expired",IF(K322&lt;=30,"Due ≤30 days",IF(K322&lt;=90,"Due ≤90 days","OK"))),"Check date"))</f>
        <v/>
      </c>
      <c r="M322" s="22" t="n"/>
      <c r="N322" s="24">
        <f>IF(ISNUMBER(M322),DATE(YEAR(M322)+2,MONTH(M322),DAY(M322)),"")</f>
        <v/>
      </c>
      <c r="O322" s="21" t="n"/>
      <c r="P322" s="21" t="n"/>
      <c r="Q322" s="21" t="n"/>
    </row>
    <row r="323">
      <c r="A323" s="21" t="n"/>
      <c r="B323" s="21" t="n"/>
      <c r="C323" s="22" t="n"/>
      <c r="D323" s="21" t="n"/>
      <c r="E323" s="21" t="n"/>
      <c r="F323" s="22" t="n"/>
      <c r="G323" s="21" t="n"/>
      <c r="H323" s="22" t="n"/>
      <c r="I323" s="23" t="n"/>
      <c r="J323" s="24">
        <f>IF(ISNUMBER(H323),H323-IF(ISNUMBER(I323),I323,30),"")</f>
        <v/>
      </c>
      <c r="K323" s="25">
        <f>IF(H323="","",IF(ISNUMBER(H323),H323-TODAY(),"Check date"))</f>
        <v/>
      </c>
      <c r="L323" s="26">
        <f>IF(K323="","",IF(ISNUMBER(K323),IF(K323&lt;0,"Expired",IF(K323&lt;=30,"Due ≤30 days",IF(K323&lt;=90,"Due ≤90 days","OK"))),"Check date"))</f>
        <v/>
      </c>
      <c r="M323" s="22" t="n"/>
      <c r="N323" s="24">
        <f>IF(ISNUMBER(M323),DATE(YEAR(M323)+2,MONTH(M323),DAY(M323)),"")</f>
        <v/>
      </c>
      <c r="O323" s="21" t="n"/>
      <c r="P323" s="21" t="n"/>
      <c r="Q323" s="21" t="n"/>
    </row>
    <row r="324">
      <c r="A324" s="21" t="n"/>
      <c r="B324" s="21" t="n"/>
      <c r="C324" s="22" t="n"/>
      <c r="D324" s="21" t="n"/>
      <c r="E324" s="21" t="n"/>
      <c r="F324" s="22" t="n"/>
      <c r="G324" s="21" t="n"/>
      <c r="H324" s="22" t="n"/>
      <c r="I324" s="23" t="n"/>
      <c r="J324" s="24">
        <f>IF(ISNUMBER(H324),H324-IF(ISNUMBER(I324),I324,30),"")</f>
        <v/>
      </c>
      <c r="K324" s="25">
        <f>IF(H324="","",IF(ISNUMBER(H324),H324-TODAY(),"Check date"))</f>
        <v/>
      </c>
      <c r="L324" s="26">
        <f>IF(K324="","",IF(ISNUMBER(K324),IF(K324&lt;0,"Expired",IF(K324&lt;=30,"Due ≤30 days",IF(K324&lt;=90,"Due ≤90 days","OK"))),"Check date"))</f>
        <v/>
      </c>
      <c r="M324" s="22" t="n"/>
      <c r="N324" s="24">
        <f>IF(ISNUMBER(M324),DATE(YEAR(M324)+2,MONTH(M324),DAY(M324)),"")</f>
        <v/>
      </c>
      <c r="O324" s="21" t="n"/>
      <c r="P324" s="21" t="n"/>
      <c r="Q324" s="21" t="n"/>
    </row>
    <row r="325">
      <c r="A325" s="21" t="n"/>
      <c r="B325" s="21" t="n"/>
      <c r="C325" s="22" t="n"/>
      <c r="D325" s="21" t="n"/>
      <c r="E325" s="21" t="n"/>
      <c r="F325" s="22" t="n"/>
      <c r="G325" s="21" t="n"/>
      <c r="H325" s="22" t="n"/>
      <c r="I325" s="23" t="n"/>
      <c r="J325" s="24">
        <f>IF(ISNUMBER(H325),H325-IF(ISNUMBER(I325),I325,30),"")</f>
        <v/>
      </c>
      <c r="K325" s="25">
        <f>IF(H325="","",IF(ISNUMBER(H325),H325-TODAY(),"Check date"))</f>
        <v/>
      </c>
      <c r="L325" s="26">
        <f>IF(K325="","",IF(ISNUMBER(K325),IF(K325&lt;0,"Expired",IF(K325&lt;=30,"Due ≤30 days",IF(K325&lt;=90,"Due ≤90 days","OK"))),"Check date"))</f>
        <v/>
      </c>
      <c r="M325" s="22" t="n"/>
      <c r="N325" s="24">
        <f>IF(ISNUMBER(M325),DATE(YEAR(M325)+2,MONTH(M325),DAY(M325)),"")</f>
        <v/>
      </c>
      <c r="O325" s="21" t="n"/>
      <c r="P325" s="21" t="n"/>
      <c r="Q325" s="21" t="n"/>
    </row>
    <row r="326">
      <c r="A326" s="21" t="n"/>
      <c r="B326" s="21" t="n"/>
      <c r="C326" s="22" t="n"/>
      <c r="D326" s="21" t="n"/>
      <c r="E326" s="21" t="n"/>
      <c r="F326" s="22" t="n"/>
      <c r="G326" s="21" t="n"/>
      <c r="H326" s="22" t="n"/>
      <c r="I326" s="23" t="n"/>
      <c r="J326" s="24">
        <f>IF(ISNUMBER(H326),H326-IF(ISNUMBER(I326),I326,30),"")</f>
        <v/>
      </c>
      <c r="K326" s="25">
        <f>IF(H326="","",IF(ISNUMBER(H326),H326-TODAY(),"Check date"))</f>
        <v/>
      </c>
      <c r="L326" s="26">
        <f>IF(K326="","",IF(ISNUMBER(K326),IF(K326&lt;0,"Expired",IF(K326&lt;=30,"Due ≤30 days",IF(K326&lt;=90,"Due ≤90 days","OK"))),"Check date"))</f>
        <v/>
      </c>
      <c r="M326" s="22" t="n"/>
      <c r="N326" s="24">
        <f>IF(ISNUMBER(M326),DATE(YEAR(M326)+2,MONTH(M326),DAY(M326)),"")</f>
        <v/>
      </c>
      <c r="O326" s="21" t="n"/>
      <c r="P326" s="21" t="n"/>
      <c r="Q326" s="21" t="n"/>
    </row>
    <row r="327">
      <c r="A327" s="21" t="n"/>
      <c r="B327" s="21" t="n"/>
      <c r="C327" s="22" t="n"/>
      <c r="D327" s="21" t="n"/>
      <c r="E327" s="21" t="n"/>
      <c r="F327" s="22" t="n"/>
      <c r="G327" s="21" t="n"/>
      <c r="H327" s="22" t="n"/>
      <c r="I327" s="23" t="n"/>
      <c r="J327" s="24">
        <f>IF(ISNUMBER(H327),H327-IF(ISNUMBER(I327),I327,30),"")</f>
        <v/>
      </c>
      <c r="K327" s="25">
        <f>IF(H327="","",IF(ISNUMBER(H327),H327-TODAY(),"Check date"))</f>
        <v/>
      </c>
      <c r="L327" s="26">
        <f>IF(K327="","",IF(ISNUMBER(K327),IF(K327&lt;0,"Expired",IF(K327&lt;=30,"Due ≤30 days",IF(K327&lt;=90,"Due ≤90 days","OK"))),"Check date"))</f>
        <v/>
      </c>
      <c r="M327" s="22" t="n"/>
      <c r="N327" s="24">
        <f>IF(ISNUMBER(M327),DATE(YEAR(M327)+2,MONTH(M327),DAY(M327)),"")</f>
        <v/>
      </c>
      <c r="O327" s="21" t="n"/>
      <c r="P327" s="21" t="n"/>
      <c r="Q327" s="21" t="n"/>
    </row>
    <row r="328">
      <c r="A328" s="21" t="n"/>
      <c r="B328" s="21" t="n"/>
      <c r="C328" s="22" t="n"/>
      <c r="D328" s="21" t="n"/>
      <c r="E328" s="21" t="n"/>
      <c r="F328" s="22" t="n"/>
      <c r="G328" s="21" t="n"/>
      <c r="H328" s="22" t="n"/>
      <c r="I328" s="23" t="n"/>
      <c r="J328" s="24">
        <f>IF(ISNUMBER(H328),H328-IF(ISNUMBER(I328),I328,30),"")</f>
        <v/>
      </c>
      <c r="K328" s="25">
        <f>IF(H328="","",IF(ISNUMBER(H328),H328-TODAY(),"Check date"))</f>
        <v/>
      </c>
      <c r="L328" s="26">
        <f>IF(K328="","",IF(ISNUMBER(K328),IF(K328&lt;0,"Expired",IF(K328&lt;=30,"Due ≤30 days",IF(K328&lt;=90,"Due ≤90 days","OK"))),"Check date"))</f>
        <v/>
      </c>
      <c r="M328" s="22" t="n"/>
      <c r="N328" s="24">
        <f>IF(ISNUMBER(M328),DATE(YEAR(M328)+2,MONTH(M328),DAY(M328)),"")</f>
        <v/>
      </c>
      <c r="O328" s="21" t="n"/>
      <c r="P328" s="21" t="n"/>
      <c r="Q328" s="21" t="n"/>
    </row>
    <row r="329">
      <c r="A329" s="21" t="n"/>
      <c r="B329" s="21" t="n"/>
      <c r="C329" s="22" t="n"/>
      <c r="D329" s="21" t="n"/>
      <c r="E329" s="21" t="n"/>
      <c r="F329" s="22" t="n"/>
      <c r="G329" s="21" t="n"/>
      <c r="H329" s="22" t="n"/>
      <c r="I329" s="23" t="n"/>
      <c r="J329" s="24">
        <f>IF(ISNUMBER(H329),H329-IF(ISNUMBER(I329),I329,30),"")</f>
        <v/>
      </c>
      <c r="K329" s="25">
        <f>IF(H329="","",IF(ISNUMBER(H329),H329-TODAY(),"Check date"))</f>
        <v/>
      </c>
      <c r="L329" s="26">
        <f>IF(K329="","",IF(ISNUMBER(K329),IF(K329&lt;0,"Expired",IF(K329&lt;=30,"Due ≤30 days",IF(K329&lt;=90,"Due ≤90 days","OK"))),"Check date"))</f>
        <v/>
      </c>
      <c r="M329" s="22" t="n"/>
      <c r="N329" s="24">
        <f>IF(ISNUMBER(M329),DATE(YEAR(M329)+2,MONTH(M329),DAY(M329)),"")</f>
        <v/>
      </c>
      <c r="O329" s="21" t="n"/>
      <c r="P329" s="21" t="n"/>
      <c r="Q329" s="21" t="n"/>
    </row>
    <row r="330">
      <c r="A330" s="21" t="n"/>
      <c r="B330" s="21" t="n"/>
      <c r="C330" s="22" t="n"/>
      <c r="D330" s="21" t="n"/>
      <c r="E330" s="21" t="n"/>
      <c r="F330" s="22" t="n"/>
      <c r="G330" s="21" t="n"/>
      <c r="H330" s="22" t="n"/>
      <c r="I330" s="23" t="n"/>
      <c r="J330" s="24">
        <f>IF(ISNUMBER(H330),H330-IF(ISNUMBER(I330),I330,30),"")</f>
        <v/>
      </c>
      <c r="K330" s="25">
        <f>IF(H330="","",IF(ISNUMBER(H330),H330-TODAY(),"Check date"))</f>
        <v/>
      </c>
      <c r="L330" s="26">
        <f>IF(K330="","",IF(ISNUMBER(K330),IF(K330&lt;0,"Expired",IF(K330&lt;=30,"Due ≤30 days",IF(K330&lt;=90,"Due ≤90 days","OK"))),"Check date"))</f>
        <v/>
      </c>
      <c r="M330" s="22" t="n"/>
      <c r="N330" s="24">
        <f>IF(ISNUMBER(M330),DATE(YEAR(M330)+2,MONTH(M330),DAY(M330)),"")</f>
        <v/>
      </c>
      <c r="O330" s="21" t="n"/>
      <c r="P330" s="21" t="n"/>
      <c r="Q330" s="21" t="n"/>
    </row>
    <row r="331">
      <c r="A331" s="21" t="n"/>
      <c r="B331" s="21" t="n"/>
      <c r="C331" s="22" t="n"/>
      <c r="D331" s="21" t="n"/>
      <c r="E331" s="21" t="n"/>
      <c r="F331" s="22" t="n"/>
      <c r="G331" s="21" t="n"/>
      <c r="H331" s="22" t="n"/>
      <c r="I331" s="23" t="n"/>
      <c r="J331" s="24">
        <f>IF(ISNUMBER(H331),H331-IF(ISNUMBER(I331),I331,30),"")</f>
        <v/>
      </c>
      <c r="K331" s="25">
        <f>IF(H331="","",IF(ISNUMBER(H331),H331-TODAY(),"Check date"))</f>
        <v/>
      </c>
      <c r="L331" s="26">
        <f>IF(K331="","",IF(ISNUMBER(K331),IF(K331&lt;0,"Expired",IF(K331&lt;=30,"Due ≤30 days",IF(K331&lt;=90,"Due ≤90 days","OK"))),"Check date"))</f>
        <v/>
      </c>
      <c r="M331" s="22" t="n"/>
      <c r="N331" s="24">
        <f>IF(ISNUMBER(M331),DATE(YEAR(M331)+2,MONTH(M331),DAY(M331)),"")</f>
        <v/>
      </c>
      <c r="O331" s="21" t="n"/>
      <c r="P331" s="21" t="n"/>
      <c r="Q331" s="21" t="n"/>
    </row>
    <row r="332">
      <c r="A332" s="21" t="n"/>
      <c r="B332" s="21" t="n"/>
      <c r="C332" s="22" t="n"/>
      <c r="D332" s="21" t="n"/>
      <c r="E332" s="21" t="n"/>
      <c r="F332" s="22" t="n"/>
      <c r="G332" s="21" t="n"/>
      <c r="H332" s="22" t="n"/>
      <c r="I332" s="23" t="n"/>
      <c r="J332" s="24">
        <f>IF(ISNUMBER(H332),H332-IF(ISNUMBER(I332),I332,30),"")</f>
        <v/>
      </c>
      <c r="K332" s="25">
        <f>IF(H332="","",IF(ISNUMBER(H332),H332-TODAY(),"Check date"))</f>
        <v/>
      </c>
      <c r="L332" s="26">
        <f>IF(K332="","",IF(ISNUMBER(K332),IF(K332&lt;0,"Expired",IF(K332&lt;=30,"Due ≤30 days",IF(K332&lt;=90,"Due ≤90 days","OK"))),"Check date"))</f>
        <v/>
      </c>
      <c r="M332" s="22" t="n"/>
      <c r="N332" s="24">
        <f>IF(ISNUMBER(M332),DATE(YEAR(M332)+2,MONTH(M332),DAY(M332)),"")</f>
        <v/>
      </c>
      <c r="O332" s="21" t="n"/>
      <c r="P332" s="21" t="n"/>
      <c r="Q332" s="21" t="n"/>
    </row>
    <row r="333">
      <c r="A333" s="21" t="n"/>
      <c r="B333" s="21" t="n"/>
      <c r="C333" s="22" t="n"/>
      <c r="D333" s="21" t="n"/>
      <c r="E333" s="21" t="n"/>
      <c r="F333" s="22" t="n"/>
      <c r="G333" s="21" t="n"/>
      <c r="H333" s="22" t="n"/>
      <c r="I333" s="23" t="n"/>
      <c r="J333" s="24">
        <f>IF(ISNUMBER(H333),H333-IF(ISNUMBER(I333),I333,30),"")</f>
        <v/>
      </c>
      <c r="K333" s="25">
        <f>IF(H333="","",IF(ISNUMBER(H333),H333-TODAY(),"Check date"))</f>
        <v/>
      </c>
      <c r="L333" s="26">
        <f>IF(K333="","",IF(ISNUMBER(K333),IF(K333&lt;0,"Expired",IF(K333&lt;=30,"Due ≤30 days",IF(K333&lt;=90,"Due ≤90 days","OK"))),"Check date"))</f>
        <v/>
      </c>
      <c r="M333" s="22" t="n"/>
      <c r="N333" s="24">
        <f>IF(ISNUMBER(M333),DATE(YEAR(M333)+2,MONTH(M333),DAY(M333)),"")</f>
        <v/>
      </c>
      <c r="O333" s="21" t="n"/>
      <c r="P333" s="21" t="n"/>
      <c r="Q333" s="21" t="n"/>
    </row>
    <row r="334">
      <c r="A334" s="21" t="n"/>
      <c r="B334" s="21" t="n"/>
      <c r="C334" s="22" t="n"/>
      <c r="D334" s="21" t="n"/>
      <c r="E334" s="21" t="n"/>
      <c r="F334" s="22" t="n"/>
      <c r="G334" s="21" t="n"/>
      <c r="H334" s="22" t="n"/>
      <c r="I334" s="23" t="n"/>
      <c r="J334" s="24">
        <f>IF(ISNUMBER(H334),H334-IF(ISNUMBER(I334),I334,30),"")</f>
        <v/>
      </c>
      <c r="K334" s="25">
        <f>IF(H334="","",IF(ISNUMBER(H334),H334-TODAY(),"Check date"))</f>
        <v/>
      </c>
      <c r="L334" s="26">
        <f>IF(K334="","",IF(ISNUMBER(K334),IF(K334&lt;0,"Expired",IF(K334&lt;=30,"Due ≤30 days",IF(K334&lt;=90,"Due ≤90 days","OK"))),"Check date"))</f>
        <v/>
      </c>
      <c r="M334" s="22" t="n"/>
      <c r="N334" s="24">
        <f>IF(ISNUMBER(M334),DATE(YEAR(M334)+2,MONTH(M334),DAY(M334)),"")</f>
        <v/>
      </c>
      <c r="O334" s="21" t="n"/>
      <c r="P334" s="21" t="n"/>
      <c r="Q334" s="21" t="n"/>
    </row>
    <row r="335">
      <c r="A335" s="21" t="n"/>
      <c r="B335" s="21" t="n"/>
      <c r="C335" s="22" t="n"/>
      <c r="D335" s="21" t="n"/>
      <c r="E335" s="21" t="n"/>
      <c r="F335" s="22" t="n"/>
      <c r="G335" s="21" t="n"/>
      <c r="H335" s="22" t="n"/>
      <c r="I335" s="23" t="n"/>
      <c r="J335" s="24">
        <f>IF(ISNUMBER(H335),H335-IF(ISNUMBER(I335),I335,30),"")</f>
        <v/>
      </c>
      <c r="K335" s="25">
        <f>IF(H335="","",IF(ISNUMBER(H335),H335-TODAY(),"Check date"))</f>
        <v/>
      </c>
      <c r="L335" s="26">
        <f>IF(K335="","",IF(ISNUMBER(K335),IF(K335&lt;0,"Expired",IF(K335&lt;=30,"Due ≤30 days",IF(K335&lt;=90,"Due ≤90 days","OK"))),"Check date"))</f>
        <v/>
      </c>
      <c r="M335" s="22" t="n"/>
      <c r="N335" s="24">
        <f>IF(ISNUMBER(M335),DATE(YEAR(M335)+2,MONTH(M335),DAY(M335)),"")</f>
        <v/>
      </c>
      <c r="O335" s="21" t="n"/>
      <c r="P335" s="21" t="n"/>
      <c r="Q335" s="21" t="n"/>
    </row>
    <row r="336">
      <c r="A336" s="21" t="n"/>
      <c r="B336" s="21" t="n"/>
      <c r="C336" s="22" t="n"/>
      <c r="D336" s="21" t="n"/>
      <c r="E336" s="21" t="n"/>
      <c r="F336" s="22" t="n"/>
      <c r="G336" s="21" t="n"/>
      <c r="H336" s="22" t="n"/>
      <c r="I336" s="23" t="n"/>
      <c r="J336" s="24">
        <f>IF(ISNUMBER(H336),H336-IF(ISNUMBER(I336),I336,30),"")</f>
        <v/>
      </c>
      <c r="K336" s="25">
        <f>IF(H336="","",IF(ISNUMBER(H336),H336-TODAY(),"Check date"))</f>
        <v/>
      </c>
      <c r="L336" s="26">
        <f>IF(K336="","",IF(ISNUMBER(K336),IF(K336&lt;0,"Expired",IF(K336&lt;=30,"Due ≤30 days",IF(K336&lt;=90,"Due ≤90 days","OK"))),"Check date"))</f>
        <v/>
      </c>
      <c r="M336" s="22" t="n"/>
      <c r="N336" s="24">
        <f>IF(ISNUMBER(M336),DATE(YEAR(M336)+2,MONTH(M336),DAY(M336)),"")</f>
        <v/>
      </c>
      <c r="O336" s="21" t="n"/>
      <c r="P336" s="21" t="n"/>
      <c r="Q336" s="21" t="n"/>
    </row>
    <row r="337">
      <c r="A337" s="21" t="n"/>
      <c r="B337" s="21" t="n"/>
      <c r="C337" s="22" t="n"/>
      <c r="D337" s="21" t="n"/>
      <c r="E337" s="21" t="n"/>
      <c r="F337" s="22" t="n"/>
      <c r="G337" s="21" t="n"/>
      <c r="H337" s="22" t="n"/>
      <c r="I337" s="23" t="n"/>
      <c r="J337" s="24">
        <f>IF(ISNUMBER(H337),H337-IF(ISNUMBER(I337),I337,30),"")</f>
        <v/>
      </c>
      <c r="K337" s="25">
        <f>IF(H337="","",IF(ISNUMBER(H337),H337-TODAY(),"Check date"))</f>
        <v/>
      </c>
      <c r="L337" s="26">
        <f>IF(K337="","",IF(ISNUMBER(K337),IF(K337&lt;0,"Expired",IF(K337&lt;=30,"Due ≤30 days",IF(K337&lt;=90,"Due ≤90 days","OK"))),"Check date"))</f>
        <v/>
      </c>
      <c r="M337" s="22" t="n"/>
      <c r="N337" s="24">
        <f>IF(ISNUMBER(M337),DATE(YEAR(M337)+2,MONTH(M337),DAY(M337)),"")</f>
        <v/>
      </c>
      <c r="O337" s="21" t="n"/>
      <c r="P337" s="21" t="n"/>
      <c r="Q337" s="21" t="n"/>
    </row>
    <row r="338">
      <c r="A338" s="21" t="n"/>
      <c r="B338" s="21" t="n"/>
      <c r="C338" s="22" t="n"/>
      <c r="D338" s="21" t="n"/>
      <c r="E338" s="21" t="n"/>
      <c r="F338" s="22" t="n"/>
      <c r="G338" s="21" t="n"/>
      <c r="H338" s="22" t="n"/>
      <c r="I338" s="23" t="n"/>
      <c r="J338" s="24">
        <f>IF(ISNUMBER(H338),H338-IF(ISNUMBER(I338),I338,30),"")</f>
        <v/>
      </c>
      <c r="K338" s="25">
        <f>IF(H338="","",IF(ISNUMBER(H338),H338-TODAY(),"Check date"))</f>
        <v/>
      </c>
      <c r="L338" s="26">
        <f>IF(K338="","",IF(ISNUMBER(K338),IF(K338&lt;0,"Expired",IF(K338&lt;=30,"Due ≤30 days",IF(K338&lt;=90,"Due ≤90 days","OK"))),"Check date"))</f>
        <v/>
      </c>
      <c r="M338" s="22" t="n"/>
      <c r="N338" s="24">
        <f>IF(ISNUMBER(M338),DATE(YEAR(M338)+2,MONTH(M338),DAY(M338)),"")</f>
        <v/>
      </c>
      <c r="O338" s="21" t="n"/>
      <c r="P338" s="21" t="n"/>
      <c r="Q338" s="21" t="n"/>
    </row>
    <row r="339">
      <c r="A339" s="21" t="n"/>
      <c r="B339" s="21" t="n"/>
      <c r="C339" s="22" t="n"/>
      <c r="D339" s="21" t="n"/>
      <c r="E339" s="21" t="n"/>
      <c r="F339" s="22" t="n"/>
      <c r="G339" s="21" t="n"/>
      <c r="H339" s="22" t="n"/>
      <c r="I339" s="23" t="n"/>
      <c r="J339" s="24">
        <f>IF(ISNUMBER(H339),H339-IF(ISNUMBER(I339),I339,30),"")</f>
        <v/>
      </c>
      <c r="K339" s="25">
        <f>IF(H339="","",IF(ISNUMBER(H339),H339-TODAY(),"Check date"))</f>
        <v/>
      </c>
      <c r="L339" s="26">
        <f>IF(K339="","",IF(ISNUMBER(K339),IF(K339&lt;0,"Expired",IF(K339&lt;=30,"Due ≤30 days",IF(K339&lt;=90,"Due ≤90 days","OK"))),"Check date"))</f>
        <v/>
      </c>
      <c r="M339" s="22" t="n"/>
      <c r="N339" s="24">
        <f>IF(ISNUMBER(M339),DATE(YEAR(M339)+2,MONTH(M339),DAY(M339)),"")</f>
        <v/>
      </c>
      <c r="O339" s="21" t="n"/>
      <c r="P339" s="21" t="n"/>
      <c r="Q339" s="21" t="n"/>
    </row>
    <row r="340">
      <c r="A340" s="21" t="n"/>
      <c r="B340" s="21" t="n"/>
      <c r="C340" s="22" t="n"/>
      <c r="D340" s="21" t="n"/>
      <c r="E340" s="21" t="n"/>
      <c r="F340" s="22" t="n"/>
      <c r="G340" s="21" t="n"/>
      <c r="H340" s="22" t="n"/>
      <c r="I340" s="23" t="n"/>
      <c r="J340" s="24">
        <f>IF(ISNUMBER(H340),H340-IF(ISNUMBER(I340),I340,30),"")</f>
        <v/>
      </c>
      <c r="K340" s="25">
        <f>IF(H340="","",IF(ISNUMBER(H340),H340-TODAY(),"Check date"))</f>
        <v/>
      </c>
      <c r="L340" s="26">
        <f>IF(K340="","",IF(ISNUMBER(K340),IF(K340&lt;0,"Expired",IF(K340&lt;=30,"Due ≤30 days",IF(K340&lt;=90,"Due ≤90 days","OK"))),"Check date"))</f>
        <v/>
      </c>
      <c r="M340" s="22" t="n"/>
      <c r="N340" s="24">
        <f>IF(ISNUMBER(M340),DATE(YEAR(M340)+2,MONTH(M340),DAY(M340)),"")</f>
        <v/>
      </c>
      <c r="O340" s="21" t="n"/>
      <c r="P340" s="21" t="n"/>
      <c r="Q340" s="21" t="n"/>
    </row>
    <row r="341">
      <c r="A341" s="21" t="n"/>
      <c r="B341" s="21" t="n"/>
      <c r="C341" s="22" t="n"/>
      <c r="D341" s="21" t="n"/>
      <c r="E341" s="21" t="n"/>
      <c r="F341" s="22" t="n"/>
      <c r="G341" s="21" t="n"/>
      <c r="H341" s="22" t="n"/>
      <c r="I341" s="23" t="n"/>
      <c r="J341" s="24">
        <f>IF(ISNUMBER(H341),H341-IF(ISNUMBER(I341),I341,30),"")</f>
        <v/>
      </c>
      <c r="K341" s="25">
        <f>IF(H341="","",IF(ISNUMBER(H341),H341-TODAY(),"Check date"))</f>
        <v/>
      </c>
      <c r="L341" s="26">
        <f>IF(K341="","",IF(ISNUMBER(K341),IF(K341&lt;0,"Expired",IF(K341&lt;=30,"Due ≤30 days",IF(K341&lt;=90,"Due ≤90 days","OK"))),"Check date"))</f>
        <v/>
      </c>
      <c r="M341" s="22" t="n"/>
      <c r="N341" s="24">
        <f>IF(ISNUMBER(M341),DATE(YEAR(M341)+2,MONTH(M341),DAY(M341)),"")</f>
        <v/>
      </c>
      <c r="O341" s="21" t="n"/>
      <c r="P341" s="21" t="n"/>
      <c r="Q341" s="21" t="n"/>
    </row>
    <row r="342">
      <c r="A342" s="21" t="n"/>
      <c r="B342" s="21" t="n"/>
      <c r="C342" s="22" t="n"/>
      <c r="D342" s="21" t="n"/>
      <c r="E342" s="21" t="n"/>
      <c r="F342" s="22" t="n"/>
      <c r="G342" s="21" t="n"/>
      <c r="H342" s="22" t="n"/>
      <c r="I342" s="23" t="n"/>
      <c r="J342" s="24">
        <f>IF(ISNUMBER(H342),H342-IF(ISNUMBER(I342),I342,30),"")</f>
        <v/>
      </c>
      <c r="K342" s="25">
        <f>IF(H342="","",IF(ISNUMBER(H342),H342-TODAY(),"Check date"))</f>
        <v/>
      </c>
      <c r="L342" s="26">
        <f>IF(K342="","",IF(ISNUMBER(K342),IF(K342&lt;0,"Expired",IF(K342&lt;=30,"Due ≤30 days",IF(K342&lt;=90,"Due ≤90 days","OK"))),"Check date"))</f>
        <v/>
      </c>
      <c r="M342" s="22" t="n"/>
      <c r="N342" s="24">
        <f>IF(ISNUMBER(M342),DATE(YEAR(M342)+2,MONTH(M342),DAY(M342)),"")</f>
        <v/>
      </c>
      <c r="O342" s="21" t="n"/>
      <c r="P342" s="21" t="n"/>
      <c r="Q342" s="21" t="n"/>
    </row>
    <row r="343">
      <c r="A343" s="21" t="n"/>
      <c r="B343" s="21" t="n"/>
      <c r="C343" s="22" t="n"/>
      <c r="D343" s="21" t="n"/>
      <c r="E343" s="21" t="n"/>
      <c r="F343" s="22" t="n"/>
      <c r="G343" s="21" t="n"/>
      <c r="H343" s="22" t="n"/>
      <c r="I343" s="23" t="n"/>
      <c r="J343" s="24">
        <f>IF(ISNUMBER(H343),H343-IF(ISNUMBER(I343),I343,30),"")</f>
        <v/>
      </c>
      <c r="K343" s="25">
        <f>IF(H343="","",IF(ISNUMBER(H343),H343-TODAY(),"Check date"))</f>
        <v/>
      </c>
      <c r="L343" s="26">
        <f>IF(K343="","",IF(ISNUMBER(K343),IF(K343&lt;0,"Expired",IF(K343&lt;=30,"Due ≤30 days",IF(K343&lt;=90,"Due ≤90 days","OK"))),"Check date"))</f>
        <v/>
      </c>
      <c r="M343" s="22" t="n"/>
      <c r="N343" s="24">
        <f>IF(ISNUMBER(M343),DATE(YEAR(M343)+2,MONTH(M343),DAY(M343)),"")</f>
        <v/>
      </c>
      <c r="O343" s="21" t="n"/>
      <c r="P343" s="21" t="n"/>
      <c r="Q343" s="21" t="n"/>
    </row>
    <row r="344">
      <c r="A344" s="21" t="n"/>
      <c r="B344" s="21" t="n"/>
      <c r="C344" s="22" t="n"/>
      <c r="D344" s="21" t="n"/>
      <c r="E344" s="21" t="n"/>
      <c r="F344" s="22" t="n"/>
      <c r="G344" s="21" t="n"/>
      <c r="H344" s="22" t="n"/>
      <c r="I344" s="23" t="n"/>
      <c r="J344" s="24">
        <f>IF(ISNUMBER(H344),H344-IF(ISNUMBER(I344),I344,30),"")</f>
        <v/>
      </c>
      <c r="K344" s="25">
        <f>IF(H344="","",IF(ISNUMBER(H344),H344-TODAY(),"Check date"))</f>
        <v/>
      </c>
      <c r="L344" s="26">
        <f>IF(K344="","",IF(ISNUMBER(K344),IF(K344&lt;0,"Expired",IF(K344&lt;=30,"Due ≤30 days",IF(K344&lt;=90,"Due ≤90 days","OK"))),"Check date"))</f>
        <v/>
      </c>
      <c r="M344" s="22" t="n"/>
      <c r="N344" s="24">
        <f>IF(ISNUMBER(M344),DATE(YEAR(M344)+2,MONTH(M344),DAY(M344)),"")</f>
        <v/>
      </c>
      <c r="O344" s="21" t="n"/>
      <c r="P344" s="21" t="n"/>
      <c r="Q344" s="21" t="n"/>
    </row>
    <row r="345">
      <c r="A345" s="21" t="n"/>
      <c r="B345" s="21" t="n"/>
      <c r="C345" s="22" t="n"/>
      <c r="D345" s="21" t="n"/>
      <c r="E345" s="21" t="n"/>
      <c r="F345" s="22" t="n"/>
      <c r="G345" s="21" t="n"/>
      <c r="H345" s="22" t="n"/>
      <c r="I345" s="23" t="n"/>
      <c r="J345" s="24">
        <f>IF(ISNUMBER(H345),H345-IF(ISNUMBER(I345),I345,30),"")</f>
        <v/>
      </c>
      <c r="K345" s="25">
        <f>IF(H345="","",IF(ISNUMBER(H345),H345-TODAY(),"Check date"))</f>
        <v/>
      </c>
      <c r="L345" s="26">
        <f>IF(K345="","",IF(ISNUMBER(K345),IF(K345&lt;0,"Expired",IF(K345&lt;=30,"Due ≤30 days",IF(K345&lt;=90,"Due ≤90 days","OK"))),"Check date"))</f>
        <v/>
      </c>
      <c r="M345" s="22" t="n"/>
      <c r="N345" s="24">
        <f>IF(ISNUMBER(M345),DATE(YEAR(M345)+2,MONTH(M345),DAY(M345)),"")</f>
        <v/>
      </c>
      <c r="O345" s="21" t="n"/>
      <c r="P345" s="21" t="n"/>
      <c r="Q345" s="21" t="n"/>
    </row>
    <row r="346">
      <c r="A346" s="21" t="n"/>
      <c r="B346" s="21" t="n"/>
      <c r="C346" s="22" t="n"/>
      <c r="D346" s="21" t="n"/>
      <c r="E346" s="21" t="n"/>
      <c r="F346" s="22" t="n"/>
      <c r="G346" s="21" t="n"/>
      <c r="H346" s="22" t="n"/>
      <c r="I346" s="23" t="n"/>
      <c r="J346" s="24">
        <f>IF(ISNUMBER(H346),H346-IF(ISNUMBER(I346),I346,30),"")</f>
        <v/>
      </c>
      <c r="K346" s="25">
        <f>IF(H346="","",IF(ISNUMBER(H346),H346-TODAY(),"Check date"))</f>
        <v/>
      </c>
      <c r="L346" s="26">
        <f>IF(K346="","",IF(ISNUMBER(K346),IF(K346&lt;0,"Expired",IF(K346&lt;=30,"Due ≤30 days",IF(K346&lt;=90,"Due ≤90 days","OK"))),"Check date"))</f>
        <v/>
      </c>
      <c r="M346" s="22" t="n"/>
      <c r="N346" s="24">
        <f>IF(ISNUMBER(M346),DATE(YEAR(M346)+2,MONTH(M346),DAY(M346)),"")</f>
        <v/>
      </c>
      <c r="O346" s="21" t="n"/>
      <c r="P346" s="21" t="n"/>
      <c r="Q346" s="21" t="n"/>
    </row>
    <row r="347">
      <c r="A347" s="21" t="n"/>
      <c r="B347" s="21" t="n"/>
      <c r="C347" s="22" t="n"/>
      <c r="D347" s="21" t="n"/>
      <c r="E347" s="21" t="n"/>
      <c r="F347" s="22" t="n"/>
      <c r="G347" s="21" t="n"/>
      <c r="H347" s="22" t="n"/>
      <c r="I347" s="23" t="n"/>
      <c r="J347" s="24">
        <f>IF(ISNUMBER(H347),H347-IF(ISNUMBER(I347),I347,30),"")</f>
        <v/>
      </c>
      <c r="K347" s="25">
        <f>IF(H347="","",IF(ISNUMBER(H347),H347-TODAY(),"Check date"))</f>
        <v/>
      </c>
      <c r="L347" s="26">
        <f>IF(K347="","",IF(ISNUMBER(K347),IF(K347&lt;0,"Expired",IF(K347&lt;=30,"Due ≤30 days",IF(K347&lt;=90,"Due ≤90 days","OK"))),"Check date"))</f>
        <v/>
      </c>
      <c r="M347" s="22" t="n"/>
      <c r="N347" s="24">
        <f>IF(ISNUMBER(M347),DATE(YEAR(M347)+2,MONTH(M347),DAY(M347)),"")</f>
        <v/>
      </c>
      <c r="O347" s="21" t="n"/>
      <c r="P347" s="21" t="n"/>
      <c r="Q347" s="21" t="n"/>
    </row>
    <row r="348">
      <c r="A348" s="21" t="n"/>
      <c r="B348" s="21" t="n"/>
      <c r="C348" s="22" t="n"/>
      <c r="D348" s="21" t="n"/>
      <c r="E348" s="21" t="n"/>
      <c r="F348" s="22" t="n"/>
      <c r="G348" s="21" t="n"/>
      <c r="H348" s="22" t="n"/>
      <c r="I348" s="23" t="n"/>
      <c r="J348" s="24">
        <f>IF(ISNUMBER(H348),H348-IF(ISNUMBER(I348),I348,30),"")</f>
        <v/>
      </c>
      <c r="K348" s="25">
        <f>IF(H348="","",IF(ISNUMBER(H348),H348-TODAY(),"Check date"))</f>
        <v/>
      </c>
      <c r="L348" s="26">
        <f>IF(K348="","",IF(ISNUMBER(K348),IF(K348&lt;0,"Expired",IF(K348&lt;=30,"Due ≤30 days",IF(K348&lt;=90,"Due ≤90 days","OK"))),"Check date"))</f>
        <v/>
      </c>
      <c r="M348" s="22" t="n"/>
      <c r="N348" s="24">
        <f>IF(ISNUMBER(M348),DATE(YEAR(M348)+2,MONTH(M348),DAY(M348)),"")</f>
        <v/>
      </c>
      <c r="O348" s="21" t="n"/>
      <c r="P348" s="21" t="n"/>
      <c r="Q348" s="21" t="n"/>
    </row>
    <row r="349">
      <c r="A349" s="21" t="n"/>
      <c r="B349" s="21" t="n"/>
      <c r="C349" s="22" t="n"/>
      <c r="D349" s="21" t="n"/>
      <c r="E349" s="21" t="n"/>
      <c r="F349" s="22" t="n"/>
      <c r="G349" s="21" t="n"/>
      <c r="H349" s="22" t="n"/>
      <c r="I349" s="23" t="n"/>
      <c r="J349" s="24">
        <f>IF(ISNUMBER(H349),H349-IF(ISNUMBER(I349),I349,30),"")</f>
        <v/>
      </c>
      <c r="K349" s="25">
        <f>IF(H349="","",IF(ISNUMBER(H349),H349-TODAY(),"Check date"))</f>
        <v/>
      </c>
      <c r="L349" s="26">
        <f>IF(K349="","",IF(ISNUMBER(K349),IF(K349&lt;0,"Expired",IF(K349&lt;=30,"Due ≤30 days",IF(K349&lt;=90,"Due ≤90 days","OK"))),"Check date"))</f>
        <v/>
      </c>
      <c r="M349" s="22" t="n"/>
      <c r="N349" s="24">
        <f>IF(ISNUMBER(M349),DATE(YEAR(M349)+2,MONTH(M349),DAY(M349)),"")</f>
        <v/>
      </c>
      <c r="O349" s="21" t="n"/>
      <c r="P349" s="21" t="n"/>
      <c r="Q349" s="21" t="n"/>
    </row>
    <row r="350">
      <c r="A350" s="21" t="n"/>
      <c r="B350" s="21" t="n"/>
      <c r="C350" s="22" t="n"/>
      <c r="D350" s="21" t="n"/>
      <c r="E350" s="21" t="n"/>
      <c r="F350" s="22" t="n"/>
      <c r="G350" s="21" t="n"/>
      <c r="H350" s="22" t="n"/>
      <c r="I350" s="23" t="n"/>
      <c r="J350" s="24">
        <f>IF(ISNUMBER(H350),H350-IF(ISNUMBER(I350),I350,30),"")</f>
        <v/>
      </c>
      <c r="K350" s="25">
        <f>IF(H350="","",IF(ISNUMBER(H350),H350-TODAY(),"Check date"))</f>
        <v/>
      </c>
      <c r="L350" s="26">
        <f>IF(K350="","",IF(ISNUMBER(K350),IF(K350&lt;0,"Expired",IF(K350&lt;=30,"Due ≤30 days",IF(K350&lt;=90,"Due ≤90 days","OK"))),"Check date"))</f>
        <v/>
      </c>
      <c r="M350" s="22" t="n"/>
      <c r="N350" s="24">
        <f>IF(ISNUMBER(M350),DATE(YEAR(M350)+2,MONTH(M350),DAY(M350)),"")</f>
        <v/>
      </c>
      <c r="O350" s="21" t="n"/>
      <c r="P350" s="21" t="n"/>
      <c r="Q350" s="21" t="n"/>
    </row>
    <row r="351">
      <c r="A351" s="21" t="n"/>
      <c r="B351" s="21" t="n"/>
      <c r="C351" s="22" t="n"/>
      <c r="D351" s="21" t="n"/>
      <c r="E351" s="21" t="n"/>
      <c r="F351" s="22" t="n"/>
      <c r="G351" s="21" t="n"/>
      <c r="H351" s="22" t="n"/>
      <c r="I351" s="23" t="n"/>
      <c r="J351" s="24">
        <f>IF(ISNUMBER(H351),H351-IF(ISNUMBER(I351),I351,30),"")</f>
        <v/>
      </c>
      <c r="K351" s="25">
        <f>IF(H351="","",IF(ISNUMBER(H351),H351-TODAY(),"Check date"))</f>
        <v/>
      </c>
      <c r="L351" s="26">
        <f>IF(K351="","",IF(ISNUMBER(K351),IF(K351&lt;0,"Expired",IF(K351&lt;=30,"Due ≤30 days",IF(K351&lt;=90,"Due ≤90 days","OK"))),"Check date"))</f>
        <v/>
      </c>
      <c r="M351" s="22" t="n"/>
      <c r="N351" s="24">
        <f>IF(ISNUMBER(M351),DATE(YEAR(M351)+2,MONTH(M351),DAY(M351)),"")</f>
        <v/>
      </c>
      <c r="O351" s="21" t="n"/>
      <c r="P351" s="21" t="n"/>
      <c r="Q351" s="21" t="n"/>
    </row>
    <row r="352">
      <c r="A352" s="21" t="n"/>
      <c r="B352" s="21" t="n"/>
      <c r="C352" s="22" t="n"/>
      <c r="D352" s="21" t="n"/>
      <c r="E352" s="21" t="n"/>
      <c r="F352" s="22" t="n"/>
      <c r="G352" s="21" t="n"/>
      <c r="H352" s="22" t="n"/>
      <c r="I352" s="23" t="n"/>
      <c r="J352" s="24">
        <f>IF(ISNUMBER(H352),H352-IF(ISNUMBER(I352),I352,30),"")</f>
        <v/>
      </c>
      <c r="K352" s="25">
        <f>IF(H352="","",IF(ISNUMBER(H352),H352-TODAY(),"Check date"))</f>
        <v/>
      </c>
      <c r="L352" s="26">
        <f>IF(K352="","",IF(ISNUMBER(K352),IF(K352&lt;0,"Expired",IF(K352&lt;=30,"Due ≤30 days",IF(K352&lt;=90,"Due ≤90 days","OK"))),"Check date"))</f>
        <v/>
      </c>
      <c r="M352" s="22" t="n"/>
      <c r="N352" s="24">
        <f>IF(ISNUMBER(M352),DATE(YEAR(M352)+2,MONTH(M352),DAY(M352)),"")</f>
        <v/>
      </c>
      <c r="O352" s="21" t="n"/>
      <c r="P352" s="21" t="n"/>
      <c r="Q352" s="21" t="n"/>
    </row>
    <row r="353">
      <c r="A353" s="21" t="n"/>
      <c r="B353" s="21" t="n"/>
      <c r="C353" s="22" t="n"/>
      <c r="D353" s="21" t="n"/>
      <c r="E353" s="21" t="n"/>
      <c r="F353" s="22" t="n"/>
      <c r="G353" s="21" t="n"/>
      <c r="H353" s="22" t="n"/>
      <c r="I353" s="23" t="n"/>
      <c r="J353" s="24">
        <f>IF(ISNUMBER(H353),H353-IF(ISNUMBER(I353),I353,30),"")</f>
        <v/>
      </c>
      <c r="K353" s="25">
        <f>IF(H353="","",IF(ISNUMBER(H353),H353-TODAY(),"Check date"))</f>
        <v/>
      </c>
      <c r="L353" s="26">
        <f>IF(K353="","",IF(ISNUMBER(K353),IF(K353&lt;0,"Expired",IF(K353&lt;=30,"Due ≤30 days",IF(K353&lt;=90,"Due ≤90 days","OK"))),"Check date"))</f>
        <v/>
      </c>
      <c r="M353" s="22" t="n"/>
      <c r="N353" s="24">
        <f>IF(ISNUMBER(M353),DATE(YEAR(M353)+2,MONTH(M353),DAY(M353)),"")</f>
        <v/>
      </c>
      <c r="O353" s="21" t="n"/>
      <c r="P353" s="21" t="n"/>
      <c r="Q353" s="21" t="n"/>
    </row>
    <row r="354">
      <c r="A354" s="21" t="n"/>
      <c r="B354" s="21" t="n"/>
      <c r="C354" s="22" t="n"/>
      <c r="D354" s="21" t="n"/>
      <c r="E354" s="21" t="n"/>
      <c r="F354" s="22" t="n"/>
      <c r="G354" s="21" t="n"/>
      <c r="H354" s="22" t="n"/>
      <c r="I354" s="23" t="n"/>
      <c r="J354" s="24">
        <f>IF(ISNUMBER(H354),H354-IF(ISNUMBER(I354),I354,30),"")</f>
        <v/>
      </c>
      <c r="K354" s="25">
        <f>IF(H354="","",IF(ISNUMBER(H354),H354-TODAY(),"Check date"))</f>
        <v/>
      </c>
      <c r="L354" s="26">
        <f>IF(K354="","",IF(ISNUMBER(K354),IF(K354&lt;0,"Expired",IF(K354&lt;=30,"Due ≤30 days",IF(K354&lt;=90,"Due ≤90 days","OK"))),"Check date"))</f>
        <v/>
      </c>
      <c r="M354" s="22" t="n"/>
      <c r="N354" s="24">
        <f>IF(ISNUMBER(M354),DATE(YEAR(M354)+2,MONTH(M354),DAY(M354)),"")</f>
        <v/>
      </c>
      <c r="O354" s="21" t="n"/>
      <c r="P354" s="21" t="n"/>
      <c r="Q354" s="21" t="n"/>
    </row>
    <row r="355">
      <c r="A355" s="21" t="n"/>
      <c r="B355" s="21" t="n"/>
      <c r="C355" s="22" t="n"/>
      <c r="D355" s="21" t="n"/>
      <c r="E355" s="21" t="n"/>
      <c r="F355" s="22" t="n"/>
      <c r="G355" s="21" t="n"/>
      <c r="H355" s="22" t="n"/>
      <c r="I355" s="23" t="n"/>
      <c r="J355" s="24">
        <f>IF(ISNUMBER(H355),H355-IF(ISNUMBER(I355),I355,30),"")</f>
        <v/>
      </c>
      <c r="K355" s="25">
        <f>IF(H355="","",IF(ISNUMBER(H355),H355-TODAY(),"Check date"))</f>
        <v/>
      </c>
      <c r="L355" s="26">
        <f>IF(K355="","",IF(ISNUMBER(K355),IF(K355&lt;0,"Expired",IF(K355&lt;=30,"Due ≤30 days",IF(K355&lt;=90,"Due ≤90 days","OK"))),"Check date"))</f>
        <v/>
      </c>
      <c r="M355" s="22" t="n"/>
      <c r="N355" s="24">
        <f>IF(ISNUMBER(M355),DATE(YEAR(M355)+2,MONTH(M355),DAY(M355)),"")</f>
        <v/>
      </c>
      <c r="O355" s="21" t="n"/>
      <c r="P355" s="21" t="n"/>
      <c r="Q355" s="21" t="n"/>
    </row>
    <row r="356">
      <c r="A356" s="21" t="n"/>
      <c r="B356" s="21" t="n"/>
      <c r="C356" s="22" t="n"/>
      <c r="D356" s="21" t="n"/>
      <c r="E356" s="21" t="n"/>
      <c r="F356" s="22" t="n"/>
      <c r="G356" s="21" t="n"/>
      <c r="H356" s="22" t="n"/>
      <c r="I356" s="23" t="n"/>
      <c r="J356" s="24">
        <f>IF(ISNUMBER(H356),H356-IF(ISNUMBER(I356),I356,30),"")</f>
        <v/>
      </c>
      <c r="K356" s="25">
        <f>IF(H356="","",IF(ISNUMBER(H356),H356-TODAY(),"Check date"))</f>
        <v/>
      </c>
      <c r="L356" s="26">
        <f>IF(K356="","",IF(ISNUMBER(K356),IF(K356&lt;0,"Expired",IF(K356&lt;=30,"Due ≤30 days",IF(K356&lt;=90,"Due ≤90 days","OK"))),"Check date"))</f>
        <v/>
      </c>
      <c r="M356" s="22" t="n"/>
      <c r="N356" s="24">
        <f>IF(ISNUMBER(M356),DATE(YEAR(M356)+2,MONTH(M356),DAY(M356)),"")</f>
        <v/>
      </c>
      <c r="O356" s="21" t="n"/>
      <c r="P356" s="21" t="n"/>
      <c r="Q356" s="21" t="n"/>
    </row>
    <row r="357">
      <c r="A357" s="21" t="n"/>
      <c r="B357" s="21" t="n"/>
      <c r="C357" s="22" t="n"/>
      <c r="D357" s="21" t="n"/>
      <c r="E357" s="21" t="n"/>
      <c r="F357" s="22" t="n"/>
      <c r="G357" s="21" t="n"/>
      <c r="H357" s="22" t="n"/>
      <c r="I357" s="23" t="n"/>
      <c r="J357" s="24">
        <f>IF(ISNUMBER(H357),H357-IF(ISNUMBER(I357),I357,30),"")</f>
        <v/>
      </c>
      <c r="K357" s="25">
        <f>IF(H357="","",IF(ISNUMBER(H357),H357-TODAY(),"Check date"))</f>
        <v/>
      </c>
      <c r="L357" s="26">
        <f>IF(K357="","",IF(ISNUMBER(K357),IF(K357&lt;0,"Expired",IF(K357&lt;=30,"Due ≤30 days",IF(K357&lt;=90,"Due ≤90 days","OK"))),"Check date"))</f>
        <v/>
      </c>
      <c r="M357" s="22" t="n"/>
      <c r="N357" s="24">
        <f>IF(ISNUMBER(M357),DATE(YEAR(M357)+2,MONTH(M357),DAY(M357)),"")</f>
        <v/>
      </c>
      <c r="O357" s="21" t="n"/>
      <c r="P357" s="21" t="n"/>
      <c r="Q357" s="21" t="n"/>
    </row>
    <row r="358">
      <c r="A358" s="21" t="n"/>
      <c r="B358" s="21" t="n"/>
      <c r="C358" s="22" t="n"/>
      <c r="D358" s="21" t="n"/>
      <c r="E358" s="21" t="n"/>
      <c r="F358" s="22" t="n"/>
      <c r="G358" s="21" t="n"/>
      <c r="H358" s="22" t="n"/>
      <c r="I358" s="23" t="n"/>
      <c r="J358" s="24">
        <f>IF(ISNUMBER(H358),H358-IF(ISNUMBER(I358),I358,30),"")</f>
        <v/>
      </c>
      <c r="K358" s="25">
        <f>IF(H358="","",IF(ISNUMBER(H358),H358-TODAY(),"Check date"))</f>
        <v/>
      </c>
      <c r="L358" s="26">
        <f>IF(K358="","",IF(ISNUMBER(K358),IF(K358&lt;0,"Expired",IF(K358&lt;=30,"Due ≤30 days",IF(K358&lt;=90,"Due ≤90 days","OK"))),"Check date"))</f>
        <v/>
      </c>
      <c r="M358" s="22" t="n"/>
      <c r="N358" s="24">
        <f>IF(ISNUMBER(M358),DATE(YEAR(M358)+2,MONTH(M358),DAY(M358)),"")</f>
        <v/>
      </c>
      <c r="O358" s="21" t="n"/>
      <c r="P358" s="21" t="n"/>
      <c r="Q358" s="21" t="n"/>
    </row>
    <row r="359">
      <c r="A359" s="21" t="n"/>
      <c r="B359" s="21" t="n"/>
      <c r="C359" s="22" t="n"/>
      <c r="D359" s="21" t="n"/>
      <c r="E359" s="21" t="n"/>
      <c r="F359" s="22" t="n"/>
      <c r="G359" s="21" t="n"/>
      <c r="H359" s="22" t="n"/>
      <c r="I359" s="23" t="n"/>
      <c r="J359" s="24">
        <f>IF(ISNUMBER(H359),H359-IF(ISNUMBER(I359),I359,30),"")</f>
        <v/>
      </c>
      <c r="K359" s="25">
        <f>IF(H359="","",IF(ISNUMBER(H359),H359-TODAY(),"Check date"))</f>
        <v/>
      </c>
      <c r="L359" s="26">
        <f>IF(K359="","",IF(ISNUMBER(K359),IF(K359&lt;0,"Expired",IF(K359&lt;=30,"Due ≤30 days",IF(K359&lt;=90,"Due ≤90 days","OK"))),"Check date"))</f>
        <v/>
      </c>
      <c r="M359" s="22" t="n"/>
      <c r="N359" s="24">
        <f>IF(ISNUMBER(M359),DATE(YEAR(M359)+2,MONTH(M359),DAY(M359)),"")</f>
        <v/>
      </c>
      <c r="O359" s="21" t="n"/>
      <c r="P359" s="21" t="n"/>
      <c r="Q359" s="21" t="n"/>
    </row>
    <row r="360">
      <c r="A360" s="21" t="n"/>
      <c r="B360" s="21" t="n"/>
      <c r="C360" s="22" t="n"/>
      <c r="D360" s="21" t="n"/>
      <c r="E360" s="21" t="n"/>
      <c r="F360" s="22" t="n"/>
      <c r="G360" s="21" t="n"/>
      <c r="H360" s="22" t="n"/>
      <c r="I360" s="23" t="n"/>
      <c r="J360" s="24">
        <f>IF(ISNUMBER(H360),H360-IF(ISNUMBER(I360),I360,30),"")</f>
        <v/>
      </c>
      <c r="K360" s="25">
        <f>IF(H360="","",IF(ISNUMBER(H360),H360-TODAY(),"Check date"))</f>
        <v/>
      </c>
      <c r="L360" s="26">
        <f>IF(K360="","",IF(ISNUMBER(K360),IF(K360&lt;0,"Expired",IF(K360&lt;=30,"Due ≤30 days",IF(K360&lt;=90,"Due ≤90 days","OK"))),"Check date"))</f>
        <v/>
      </c>
      <c r="M360" s="22" t="n"/>
      <c r="N360" s="24">
        <f>IF(ISNUMBER(M360),DATE(YEAR(M360)+2,MONTH(M360),DAY(M360)),"")</f>
        <v/>
      </c>
      <c r="O360" s="21" t="n"/>
      <c r="P360" s="21" t="n"/>
      <c r="Q360" s="21" t="n"/>
    </row>
    <row r="361">
      <c r="A361" s="21" t="n"/>
      <c r="B361" s="21" t="n"/>
      <c r="C361" s="22" t="n"/>
      <c r="D361" s="21" t="n"/>
      <c r="E361" s="21" t="n"/>
      <c r="F361" s="22" t="n"/>
      <c r="G361" s="21" t="n"/>
      <c r="H361" s="22" t="n"/>
      <c r="I361" s="23" t="n"/>
      <c r="J361" s="24">
        <f>IF(ISNUMBER(H361),H361-IF(ISNUMBER(I361),I361,30),"")</f>
        <v/>
      </c>
      <c r="K361" s="25">
        <f>IF(H361="","",IF(ISNUMBER(H361),H361-TODAY(),"Check date"))</f>
        <v/>
      </c>
      <c r="L361" s="26">
        <f>IF(K361="","",IF(ISNUMBER(K361),IF(K361&lt;0,"Expired",IF(K361&lt;=30,"Due ≤30 days",IF(K361&lt;=90,"Due ≤90 days","OK"))),"Check date"))</f>
        <v/>
      </c>
      <c r="M361" s="22" t="n"/>
      <c r="N361" s="24">
        <f>IF(ISNUMBER(M361),DATE(YEAR(M361)+2,MONTH(M361),DAY(M361)),"")</f>
        <v/>
      </c>
      <c r="O361" s="21" t="n"/>
      <c r="P361" s="21" t="n"/>
      <c r="Q361" s="21" t="n"/>
    </row>
    <row r="362">
      <c r="A362" s="21" t="n"/>
      <c r="B362" s="21" t="n"/>
      <c r="C362" s="22" t="n"/>
      <c r="D362" s="21" t="n"/>
      <c r="E362" s="21" t="n"/>
      <c r="F362" s="22" t="n"/>
      <c r="G362" s="21" t="n"/>
      <c r="H362" s="22" t="n"/>
      <c r="I362" s="23" t="n"/>
      <c r="J362" s="24">
        <f>IF(ISNUMBER(H362),H362-IF(ISNUMBER(I362),I362,30),"")</f>
        <v/>
      </c>
      <c r="K362" s="25">
        <f>IF(H362="","",IF(ISNUMBER(H362),H362-TODAY(),"Check date"))</f>
        <v/>
      </c>
      <c r="L362" s="26">
        <f>IF(K362="","",IF(ISNUMBER(K362),IF(K362&lt;0,"Expired",IF(K362&lt;=30,"Due ≤30 days",IF(K362&lt;=90,"Due ≤90 days","OK"))),"Check date"))</f>
        <v/>
      </c>
      <c r="M362" s="22" t="n"/>
      <c r="N362" s="24">
        <f>IF(ISNUMBER(M362),DATE(YEAR(M362)+2,MONTH(M362),DAY(M362)),"")</f>
        <v/>
      </c>
      <c r="O362" s="21" t="n"/>
      <c r="P362" s="21" t="n"/>
      <c r="Q362" s="21" t="n"/>
    </row>
    <row r="363">
      <c r="A363" s="21" t="n"/>
      <c r="B363" s="21" t="n"/>
      <c r="C363" s="22" t="n"/>
      <c r="D363" s="21" t="n"/>
      <c r="E363" s="21" t="n"/>
      <c r="F363" s="22" t="n"/>
      <c r="G363" s="21" t="n"/>
      <c r="H363" s="22" t="n"/>
      <c r="I363" s="23" t="n"/>
      <c r="J363" s="24">
        <f>IF(ISNUMBER(H363),H363-IF(ISNUMBER(I363),I363,30),"")</f>
        <v/>
      </c>
      <c r="K363" s="25">
        <f>IF(H363="","",IF(ISNUMBER(H363),H363-TODAY(),"Check date"))</f>
        <v/>
      </c>
      <c r="L363" s="26">
        <f>IF(K363="","",IF(ISNUMBER(K363),IF(K363&lt;0,"Expired",IF(K363&lt;=30,"Due ≤30 days",IF(K363&lt;=90,"Due ≤90 days","OK"))),"Check date"))</f>
        <v/>
      </c>
      <c r="M363" s="22" t="n"/>
      <c r="N363" s="24">
        <f>IF(ISNUMBER(M363),DATE(YEAR(M363)+2,MONTH(M363),DAY(M363)),"")</f>
        <v/>
      </c>
      <c r="O363" s="21" t="n"/>
      <c r="P363" s="21" t="n"/>
      <c r="Q363" s="21" t="n"/>
    </row>
    <row r="364">
      <c r="A364" s="21" t="n"/>
      <c r="B364" s="21" t="n"/>
      <c r="C364" s="22" t="n"/>
      <c r="D364" s="21" t="n"/>
      <c r="E364" s="21" t="n"/>
      <c r="F364" s="22" t="n"/>
      <c r="G364" s="21" t="n"/>
      <c r="H364" s="22" t="n"/>
      <c r="I364" s="23" t="n"/>
      <c r="J364" s="24">
        <f>IF(ISNUMBER(H364),H364-IF(ISNUMBER(I364),I364,30),"")</f>
        <v/>
      </c>
      <c r="K364" s="25">
        <f>IF(H364="","",IF(ISNUMBER(H364),H364-TODAY(),"Check date"))</f>
        <v/>
      </c>
      <c r="L364" s="26">
        <f>IF(K364="","",IF(ISNUMBER(K364),IF(K364&lt;0,"Expired",IF(K364&lt;=30,"Due ≤30 days",IF(K364&lt;=90,"Due ≤90 days","OK"))),"Check date"))</f>
        <v/>
      </c>
      <c r="M364" s="22" t="n"/>
      <c r="N364" s="24">
        <f>IF(ISNUMBER(M364),DATE(YEAR(M364)+2,MONTH(M364),DAY(M364)),"")</f>
        <v/>
      </c>
      <c r="O364" s="21" t="n"/>
      <c r="P364" s="21" t="n"/>
      <c r="Q364" s="21" t="n"/>
    </row>
    <row r="365">
      <c r="A365" s="21" t="n"/>
      <c r="B365" s="21" t="n"/>
      <c r="C365" s="22" t="n"/>
      <c r="D365" s="21" t="n"/>
      <c r="E365" s="21" t="n"/>
      <c r="F365" s="22" t="n"/>
      <c r="G365" s="21" t="n"/>
      <c r="H365" s="22" t="n"/>
      <c r="I365" s="23" t="n"/>
      <c r="J365" s="24">
        <f>IF(ISNUMBER(H365),H365-IF(ISNUMBER(I365),I365,30),"")</f>
        <v/>
      </c>
      <c r="K365" s="25">
        <f>IF(H365="","",IF(ISNUMBER(H365),H365-TODAY(),"Check date"))</f>
        <v/>
      </c>
      <c r="L365" s="26">
        <f>IF(K365="","",IF(ISNUMBER(K365),IF(K365&lt;0,"Expired",IF(K365&lt;=30,"Due ≤30 days",IF(K365&lt;=90,"Due ≤90 days","OK"))),"Check date"))</f>
        <v/>
      </c>
      <c r="M365" s="22" t="n"/>
      <c r="N365" s="24">
        <f>IF(ISNUMBER(M365),DATE(YEAR(M365)+2,MONTH(M365),DAY(M365)),"")</f>
        <v/>
      </c>
      <c r="O365" s="21" t="n"/>
      <c r="P365" s="21" t="n"/>
      <c r="Q365" s="21" t="n"/>
    </row>
    <row r="366">
      <c r="A366" s="21" t="n"/>
      <c r="B366" s="21" t="n"/>
      <c r="C366" s="22" t="n"/>
      <c r="D366" s="21" t="n"/>
      <c r="E366" s="21" t="n"/>
      <c r="F366" s="22" t="n"/>
      <c r="G366" s="21" t="n"/>
      <c r="H366" s="22" t="n"/>
      <c r="I366" s="23" t="n"/>
      <c r="J366" s="24">
        <f>IF(ISNUMBER(H366),H366-IF(ISNUMBER(I366),I366,30),"")</f>
        <v/>
      </c>
      <c r="K366" s="25">
        <f>IF(H366="","",IF(ISNUMBER(H366),H366-TODAY(),"Check date"))</f>
        <v/>
      </c>
      <c r="L366" s="26">
        <f>IF(K366="","",IF(ISNUMBER(K366),IF(K366&lt;0,"Expired",IF(K366&lt;=30,"Due ≤30 days",IF(K366&lt;=90,"Due ≤90 days","OK"))),"Check date"))</f>
        <v/>
      </c>
      <c r="M366" s="22" t="n"/>
      <c r="N366" s="24">
        <f>IF(ISNUMBER(M366),DATE(YEAR(M366)+2,MONTH(M366),DAY(M366)),"")</f>
        <v/>
      </c>
      <c r="O366" s="21" t="n"/>
      <c r="P366" s="21" t="n"/>
      <c r="Q366" s="21" t="n"/>
    </row>
    <row r="367">
      <c r="A367" s="21" t="n"/>
      <c r="B367" s="21" t="n"/>
      <c r="C367" s="22" t="n"/>
      <c r="D367" s="21" t="n"/>
      <c r="E367" s="21" t="n"/>
      <c r="F367" s="22" t="n"/>
      <c r="G367" s="21" t="n"/>
      <c r="H367" s="22" t="n"/>
      <c r="I367" s="23" t="n"/>
      <c r="J367" s="24">
        <f>IF(ISNUMBER(H367),H367-IF(ISNUMBER(I367),I367,30),"")</f>
        <v/>
      </c>
      <c r="K367" s="25">
        <f>IF(H367="","",IF(ISNUMBER(H367),H367-TODAY(),"Check date"))</f>
        <v/>
      </c>
      <c r="L367" s="26">
        <f>IF(K367="","",IF(ISNUMBER(K367),IF(K367&lt;0,"Expired",IF(K367&lt;=30,"Due ≤30 days",IF(K367&lt;=90,"Due ≤90 days","OK"))),"Check date"))</f>
        <v/>
      </c>
      <c r="M367" s="22" t="n"/>
      <c r="N367" s="24">
        <f>IF(ISNUMBER(M367),DATE(YEAR(M367)+2,MONTH(M367),DAY(M367)),"")</f>
        <v/>
      </c>
      <c r="O367" s="21" t="n"/>
      <c r="P367" s="21" t="n"/>
      <c r="Q367" s="21" t="n"/>
    </row>
    <row r="368">
      <c r="A368" s="21" t="n"/>
      <c r="B368" s="21" t="n"/>
      <c r="C368" s="22" t="n"/>
      <c r="D368" s="21" t="n"/>
      <c r="E368" s="21" t="n"/>
      <c r="F368" s="22" t="n"/>
      <c r="G368" s="21" t="n"/>
      <c r="H368" s="22" t="n"/>
      <c r="I368" s="23" t="n"/>
      <c r="J368" s="24">
        <f>IF(ISNUMBER(H368),H368-IF(ISNUMBER(I368),I368,30),"")</f>
        <v/>
      </c>
      <c r="K368" s="25">
        <f>IF(H368="","",IF(ISNUMBER(H368),H368-TODAY(),"Check date"))</f>
        <v/>
      </c>
      <c r="L368" s="26">
        <f>IF(K368="","",IF(ISNUMBER(K368),IF(K368&lt;0,"Expired",IF(K368&lt;=30,"Due ≤30 days",IF(K368&lt;=90,"Due ≤90 days","OK"))),"Check date"))</f>
        <v/>
      </c>
      <c r="M368" s="22" t="n"/>
      <c r="N368" s="24">
        <f>IF(ISNUMBER(M368),DATE(YEAR(M368)+2,MONTH(M368),DAY(M368)),"")</f>
        <v/>
      </c>
      <c r="O368" s="21" t="n"/>
      <c r="P368" s="21" t="n"/>
      <c r="Q368" s="21" t="n"/>
    </row>
    <row r="369">
      <c r="A369" s="21" t="n"/>
      <c r="B369" s="21" t="n"/>
      <c r="C369" s="22" t="n"/>
      <c r="D369" s="21" t="n"/>
      <c r="E369" s="21" t="n"/>
      <c r="F369" s="22" t="n"/>
      <c r="G369" s="21" t="n"/>
      <c r="H369" s="22" t="n"/>
      <c r="I369" s="23" t="n"/>
      <c r="J369" s="24">
        <f>IF(ISNUMBER(H369),H369-IF(ISNUMBER(I369),I369,30),"")</f>
        <v/>
      </c>
      <c r="K369" s="25">
        <f>IF(H369="","",IF(ISNUMBER(H369),H369-TODAY(),"Check date"))</f>
        <v/>
      </c>
      <c r="L369" s="26">
        <f>IF(K369="","",IF(ISNUMBER(K369),IF(K369&lt;0,"Expired",IF(K369&lt;=30,"Due ≤30 days",IF(K369&lt;=90,"Due ≤90 days","OK"))),"Check date"))</f>
        <v/>
      </c>
      <c r="M369" s="22" t="n"/>
      <c r="N369" s="24">
        <f>IF(ISNUMBER(M369),DATE(YEAR(M369)+2,MONTH(M369),DAY(M369)),"")</f>
        <v/>
      </c>
      <c r="O369" s="21" t="n"/>
      <c r="P369" s="21" t="n"/>
      <c r="Q369" s="21" t="n"/>
    </row>
    <row r="370">
      <c r="A370" s="21" t="n"/>
      <c r="B370" s="21" t="n"/>
      <c r="C370" s="22" t="n"/>
      <c r="D370" s="21" t="n"/>
      <c r="E370" s="21" t="n"/>
      <c r="F370" s="22" t="n"/>
      <c r="G370" s="21" t="n"/>
      <c r="H370" s="22" t="n"/>
      <c r="I370" s="23" t="n"/>
      <c r="J370" s="24">
        <f>IF(ISNUMBER(H370),H370-IF(ISNUMBER(I370),I370,30),"")</f>
        <v/>
      </c>
      <c r="K370" s="25">
        <f>IF(H370="","",IF(ISNUMBER(H370),H370-TODAY(),"Check date"))</f>
        <v/>
      </c>
      <c r="L370" s="26">
        <f>IF(K370="","",IF(ISNUMBER(K370),IF(K370&lt;0,"Expired",IF(K370&lt;=30,"Due ≤30 days",IF(K370&lt;=90,"Due ≤90 days","OK"))),"Check date"))</f>
        <v/>
      </c>
      <c r="M370" s="22" t="n"/>
      <c r="N370" s="24">
        <f>IF(ISNUMBER(M370),DATE(YEAR(M370)+2,MONTH(M370),DAY(M370)),"")</f>
        <v/>
      </c>
      <c r="O370" s="21" t="n"/>
      <c r="P370" s="21" t="n"/>
      <c r="Q370" s="21" t="n"/>
    </row>
    <row r="371">
      <c r="A371" s="21" t="n"/>
      <c r="B371" s="21" t="n"/>
      <c r="C371" s="22" t="n"/>
      <c r="D371" s="21" t="n"/>
      <c r="E371" s="21" t="n"/>
      <c r="F371" s="22" t="n"/>
      <c r="G371" s="21" t="n"/>
      <c r="H371" s="22" t="n"/>
      <c r="I371" s="23" t="n"/>
      <c r="J371" s="24">
        <f>IF(ISNUMBER(H371),H371-IF(ISNUMBER(I371),I371,30),"")</f>
        <v/>
      </c>
      <c r="K371" s="25">
        <f>IF(H371="","",IF(ISNUMBER(H371),H371-TODAY(),"Check date"))</f>
        <v/>
      </c>
      <c r="L371" s="26">
        <f>IF(K371="","",IF(ISNUMBER(K371),IF(K371&lt;0,"Expired",IF(K371&lt;=30,"Due ≤30 days",IF(K371&lt;=90,"Due ≤90 days","OK"))),"Check date"))</f>
        <v/>
      </c>
      <c r="M371" s="22" t="n"/>
      <c r="N371" s="24">
        <f>IF(ISNUMBER(M371),DATE(YEAR(M371)+2,MONTH(M371),DAY(M371)),"")</f>
        <v/>
      </c>
      <c r="O371" s="21" t="n"/>
      <c r="P371" s="21" t="n"/>
      <c r="Q371" s="21" t="n"/>
    </row>
    <row r="372">
      <c r="A372" s="21" t="n"/>
      <c r="B372" s="21" t="n"/>
      <c r="C372" s="22" t="n"/>
      <c r="D372" s="21" t="n"/>
      <c r="E372" s="21" t="n"/>
      <c r="F372" s="22" t="n"/>
      <c r="G372" s="21" t="n"/>
      <c r="H372" s="22" t="n"/>
      <c r="I372" s="23" t="n"/>
      <c r="J372" s="24">
        <f>IF(ISNUMBER(H372),H372-IF(ISNUMBER(I372),I372,30),"")</f>
        <v/>
      </c>
      <c r="K372" s="25">
        <f>IF(H372="","",IF(ISNUMBER(H372),H372-TODAY(),"Check date"))</f>
        <v/>
      </c>
      <c r="L372" s="26">
        <f>IF(K372="","",IF(ISNUMBER(K372),IF(K372&lt;0,"Expired",IF(K372&lt;=30,"Due ≤30 days",IF(K372&lt;=90,"Due ≤90 days","OK"))),"Check date"))</f>
        <v/>
      </c>
      <c r="M372" s="22" t="n"/>
      <c r="N372" s="24">
        <f>IF(ISNUMBER(M372),DATE(YEAR(M372)+2,MONTH(M372),DAY(M372)),"")</f>
        <v/>
      </c>
      <c r="O372" s="21" t="n"/>
      <c r="P372" s="21" t="n"/>
      <c r="Q372" s="21" t="n"/>
    </row>
    <row r="373">
      <c r="A373" s="21" t="n"/>
      <c r="B373" s="21" t="n"/>
      <c r="C373" s="22" t="n"/>
      <c r="D373" s="21" t="n"/>
      <c r="E373" s="21" t="n"/>
      <c r="F373" s="22" t="n"/>
      <c r="G373" s="21" t="n"/>
      <c r="H373" s="22" t="n"/>
      <c r="I373" s="23" t="n"/>
      <c r="J373" s="24">
        <f>IF(ISNUMBER(H373),H373-IF(ISNUMBER(I373),I373,30),"")</f>
        <v/>
      </c>
      <c r="K373" s="25">
        <f>IF(H373="","",IF(ISNUMBER(H373),H373-TODAY(),"Check date"))</f>
        <v/>
      </c>
      <c r="L373" s="26">
        <f>IF(K373="","",IF(ISNUMBER(K373),IF(K373&lt;0,"Expired",IF(K373&lt;=30,"Due ≤30 days",IF(K373&lt;=90,"Due ≤90 days","OK"))),"Check date"))</f>
        <v/>
      </c>
      <c r="M373" s="22" t="n"/>
      <c r="N373" s="24">
        <f>IF(ISNUMBER(M373),DATE(YEAR(M373)+2,MONTH(M373),DAY(M373)),"")</f>
        <v/>
      </c>
      <c r="O373" s="21" t="n"/>
      <c r="P373" s="21" t="n"/>
      <c r="Q373" s="21" t="n"/>
    </row>
    <row r="374">
      <c r="A374" s="21" t="n"/>
      <c r="B374" s="21" t="n"/>
      <c r="C374" s="22" t="n"/>
      <c r="D374" s="21" t="n"/>
      <c r="E374" s="21" t="n"/>
      <c r="F374" s="22" t="n"/>
      <c r="G374" s="21" t="n"/>
      <c r="H374" s="22" t="n"/>
      <c r="I374" s="23" t="n"/>
      <c r="J374" s="24">
        <f>IF(ISNUMBER(H374),H374-IF(ISNUMBER(I374),I374,30),"")</f>
        <v/>
      </c>
      <c r="K374" s="25">
        <f>IF(H374="","",IF(ISNUMBER(H374),H374-TODAY(),"Check date"))</f>
        <v/>
      </c>
      <c r="L374" s="26">
        <f>IF(K374="","",IF(ISNUMBER(K374),IF(K374&lt;0,"Expired",IF(K374&lt;=30,"Due ≤30 days",IF(K374&lt;=90,"Due ≤90 days","OK"))),"Check date"))</f>
        <v/>
      </c>
      <c r="M374" s="22" t="n"/>
      <c r="N374" s="24">
        <f>IF(ISNUMBER(M374),DATE(YEAR(M374)+2,MONTH(M374),DAY(M374)),"")</f>
        <v/>
      </c>
      <c r="O374" s="21" t="n"/>
      <c r="P374" s="21" t="n"/>
      <c r="Q374" s="21" t="n"/>
    </row>
    <row r="375">
      <c r="A375" s="21" t="n"/>
      <c r="B375" s="21" t="n"/>
      <c r="C375" s="22" t="n"/>
      <c r="D375" s="21" t="n"/>
      <c r="E375" s="21" t="n"/>
      <c r="F375" s="22" t="n"/>
      <c r="G375" s="21" t="n"/>
      <c r="H375" s="22" t="n"/>
      <c r="I375" s="23" t="n"/>
      <c r="J375" s="24">
        <f>IF(ISNUMBER(H375),H375-IF(ISNUMBER(I375),I375,30),"")</f>
        <v/>
      </c>
      <c r="K375" s="25">
        <f>IF(H375="","",IF(ISNUMBER(H375),H375-TODAY(),"Check date"))</f>
        <v/>
      </c>
      <c r="L375" s="26">
        <f>IF(K375="","",IF(ISNUMBER(K375),IF(K375&lt;0,"Expired",IF(K375&lt;=30,"Due ≤30 days",IF(K375&lt;=90,"Due ≤90 days","OK"))),"Check date"))</f>
        <v/>
      </c>
      <c r="M375" s="22" t="n"/>
      <c r="N375" s="24">
        <f>IF(ISNUMBER(M375),DATE(YEAR(M375)+2,MONTH(M375),DAY(M375)),"")</f>
        <v/>
      </c>
      <c r="O375" s="21" t="n"/>
      <c r="P375" s="21" t="n"/>
      <c r="Q375" s="21" t="n"/>
    </row>
    <row r="376">
      <c r="A376" s="21" t="n"/>
      <c r="B376" s="21" t="n"/>
      <c r="C376" s="22" t="n"/>
      <c r="D376" s="21" t="n"/>
      <c r="E376" s="21" t="n"/>
      <c r="F376" s="22" t="n"/>
      <c r="G376" s="21" t="n"/>
      <c r="H376" s="22" t="n"/>
      <c r="I376" s="23" t="n"/>
      <c r="J376" s="24">
        <f>IF(ISNUMBER(H376),H376-IF(ISNUMBER(I376),I376,30),"")</f>
        <v/>
      </c>
      <c r="K376" s="25">
        <f>IF(H376="","",IF(ISNUMBER(H376),H376-TODAY(),"Check date"))</f>
        <v/>
      </c>
      <c r="L376" s="26">
        <f>IF(K376="","",IF(ISNUMBER(K376),IF(K376&lt;0,"Expired",IF(K376&lt;=30,"Due ≤30 days",IF(K376&lt;=90,"Due ≤90 days","OK"))),"Check date"))</f>
        <v/>
      </c>
      <c r="M376" s="22" t="n"/>
      <c r="N376" s="24">
        <f>IF(ISNUMBER(M376),DATE(YEAR(M376)+2,MONTH(M376),DAY(M376)),"")</f>
        <v/>
      </c>
      <c r="O376" s="21" t="n"/>
      <c r="P376" s="21" t="n"/>
      <c r="Q376" s="21" t="n"/>
    </row>
    <row r="377">
      <c r="A377" s="21" t="n"/>
      <c r="B377" s="21" t="n"/>
      <c r="C377" s="22" t="n"/>
      <c r="D377" s="21" t="n"/>
      <c r="E377" s="21" t="n"/>
      <c r="F377" s="22" t="n"/>
      <c r="G377" s="21" t="n"/>
      <c r="H377" s="22" t="n"/>
      <c r="I377" s="23" t="n"/>
      <c r="J377" s="24">
        <f>IF(ISNUMBER(H377),H377-IF(ISNUMBER(I377),I377,30),"")</f>
        <v/>
      </c>
      <c r="K377" s="25">
        <f>IF(H377="","",IF(ISNUMBER(H377),H377-TODAY(),"Check date"))</f>
        <v/>
      </c>
      <c r="L377" s="26">
        <f>IF(K377="","",IF(ISNUMBER(K377),IF(K377&lt;0,"Expired",IF(K377&lt;=30,"Due ≤30 days",IF(K377&lt;=90,"Due ≤90 days","OK"))),"Check date"))</f>
        <v/>
      </c>
      <c r="M377" s="22" t="n"/>
      <c r="N377" s="24">
        <f>IF(ISNUMBER(M377),DATE(YEAR(M377)+2,MONTH(M377),DAY(M377)),"")</f>
        <v/>
      </c>
      <c r="O377" s="21" t="n"/>
      <c r="P377" s="21" t="n"/>
      <c r="Q377" s="21" t="n"/>
    </row>
    <row r="378">
      <c r="A378" s="21" t="n"/>
      <c r="B378" s="21" t="n"/>
      <c r="C378" s="22" t="n"/>
      <c r="D378" s="21" t="n"/>
      <c r="E378" s="21" t="n"/>
      <c r="F378" s="22" t="n"/>
      <c r="G378" s="21" t="n"/>
      <c r="H378" s="22" t="n"/>
      <c r="I378" s="23" t="n"/>
      <c r="J378" s="24">
        <f>IF(ISNUMBER(H378),H378-IF(ISNUMBER(I378),I378,30),"")</f>
        <v/>
      </c>
      <c r="K378" s="25">
        <f>IF(H378="","",IF(ISNUMBER(H378),H378-TODAY(),"Check date"))</f>
        <v/>
      </c>
      <c r="L378" s="26">
        <f>IF(K378="","",IF(ISNUMBER(K378),IF(K378&lt;0,"Expired",IF(K378&lt;=30,"Due ≤30 days",IF(K378&lt;=90,"Due ≤90 days","OK"))),"Check date"))</f>
        <v/>
      </c>
      <c r="M378" s="22" t="n"/>
      <c r="N378" s="24">
        <f>IF(ISNUMBER(M378),DATE(YEAR(M378)+2,MONTH(M378),DAY(M378)),"")</f>
        <v/>
      </c>
      <c r="O378" s="21" t="n"/>
      <c r="P378" s="21" t="n"/>
      <c r="Q378" s="21" t="n"/>
    </row>
    <row r="379">
      <c r="A379" s="21" t="n"/>
      <c r="B379" s="21" t="n"/>
      <c r="C379" s="22" t="n"/>
      <c r="D379" s="21" t="n"/>
      <c r="E379" s="21" t="n"/>
      <c r="F379" s="22" t="n"/>
      <c r="G379" s="21" t="n"/>
      <c r="H379" s="22" t="n"/>
      <c r="I379" s="23" t="n"/>
      <c r="J379" s="24">
        <f>IF(ISNUMBER(H379),H379-IF(ISNUMBER(I379),I379,30),"")</f>
        <v/>
      </c>
      <c r="K379" s="25">
        <f>IF(H379="","",IF(ISNUMBER(H379),H379-TODAY(),"Check date"))</f>
        <v/>
      </c>
      <c r="L379" s="26">
        <f>IF(K379="","",IF(ISNUMBER(K379),IF(K379&lt;0,"Expired",IF(K379&lt;=30,"Due ≤30 days",IF(K379&lt;=90,"Due ≤90 days","OK"))),"Check date"))</f>
        <v/>
      </c>
      <c r="M379" s="22" t="n"/>
      <c r="N379" s="24">
        <f>IF(ISNUMBER(M379),DATE(YEAR(M379)+2,MONTH(M379),DAY(M379)),"")</f>
        <v/>
      </c>
      <c r="O379" s="21" t="n"/>
      <c r="P379" s="21" t="n"/>
      <c r="Q379" s="21" t="n"/>
    </row>
    <row r="380">
      <c r="A380" s="21" t="n"/>
      <c r="B380" s="21" t="n"/>
      <c r="C380" s="22" t="n"/>
      <c r="D380" s="21" t="n"/>
      <c r="E380" s="21" t="n"/>
      <c r="F380" s="22" t="n"/>
      <c r="G380" s="21" t="n"/>
      <c r="H380" s="22" t="n"/>
      <c r="I380" s="23" t="n"/>
      <c r="J380" s="24">
        <f>IF(ISNUMBER(H380),H380-IF(ISNUMBER(I380),I380,30),"")</f>
        <v/>
      </c>
      <c r="K380" s="25">
        <f>IF(H380="","",IF(ISNUMBER(H380),H380-TODAY(),"Check date"))</f>
        <v/>
      </c>
      <c r="L380" s="26">
        <f>IF(K380="","",IF(ISNUMBER(K380),IF(K380&lt;0,"Expired",IF(K380&lt;=30,"Due ≤30 days",IF(K380&lt;=90,"Due ≤90 days","OK"))),"Check date"))</f>
        <v/>
      </c>
      <c r="M380" s="22" t="n"/>
      <c r="N380" s="24">
        <f>IF(ISNUMBER(M380),DATE(YEAR(M380)+2,MONTH(M380),DAY(M380)),"")</f>
        <v/>
      </c>
      <c r="O380" s="21" t="n"/>
      <c r="P380" s="21" t="n"/>
      <c r="Q380" s="21" t="n"/>
    </row>
    <row r="381">
      <c r="A381" s="21" t="n"/>
      <c r="B381" s="21" t="n"/>
      <c r="C381" s="22" t="n"/>
      <c r="D381" s="21" t="n"/>
      <c r="E381" s="21" t="n"/>
      <c r="F381" s="22" t="n"/>
      <c r="G381" s="21" t="n"/>
      <c r="H381" s="22" t="n"/>
      <c r="I381" s="23" t="n"/>
      <c r="J381" s="24">
        <f>IF(ISNUMBER(H381),H381-IF(ISNUMBER(I381),I381,30),"")</f>
        <v/>
      </c>
      <c r="K381" s="25">
        <f>IF(H381="","",IF(ISNUMBER(H381),H381-TODAY(),"Check date"))</f>
        <v/>
      </c>
      <c r="L381" s="26">
        <f>IF(K381="","",IF(ISNUMBER(K381),IF(K381&lt;0,"Expired",IF(K381&lt;=30,"Due ≤30 days",IF(K381&lt;=90,"Due ≤90 days","OK"))),"Check date"))</f>
        <v/>
      </c>
      <c r="M381" s="22" t="n"/>
      <c r="N381" s="24">
        <f>IF(ISNUMBER(M381),DATE(YEAR(M381)+2,MONTH(M381),DAY(M381)),"")</f>
        <v/>
      </c>
      <c r="O381" s="21" t="n"/>
      <c r="P381" s="21" t="n"/>
      <c r="Q381" s="21" t="n"/>
    </row>
    <row r="382">
      <c r="A382" s="21" t="n"/>
      <c r="B382" s="21" t="n"/>
      <c r="C382" s="22" t="n"/>
      <c r="D382" s="21" t="n"/>
      <c r="E382" s="21" t="n"/>
      <c r="F382" s="22" t="n"/>
      <c r="G382" s="21" t="n"/>
      <c r="H382" s="22" t="n"/>
      <c r="I382" s="23" t="n"/>
      <c r="J382" s="24">
        <f>IF(ISNUMBER(H382),H382-IF(ISNUMBER(I382),I382,30),"")</f>
        <v/>
      </c>
      <c r="K382" s="25">
        <f>IF(H382="","",IF(ISNUMBER(H382),H382-TODAY(),"Check date"))</f>
        <v/>
      </c>
      <c r="L382" s="26">
        <f>IF(K382="","",IF(ISNUMBER(K382),IF(K382&lt;0,"Expired",IF(K382&lt;=30,"Due ≤30 days",IF(K382&lt;=90,"Due ≤90 days","OK"))),"Check date"))</f>
        <v/>
      </c>
      <c r="M382" s="22" t="n"/>
      <c r="N382" s="24">
        <f>IF(ISNUMBER(M382),DATE(YEAR(M382)+2,MONTH(M382),DAY(M382)),"")</f>
        <v/>
      </c>
      <c r="O382" s="21" t="n"/>
      <c r="P382" s="21" t="n"/>
      <c r="Q382" s="21" t="n"/>
    </row>
    <row r="383">
      <c r="A383" s="21" t="n"/>
      <c r="B383" s="21" t="n"/>
      <c r="C383" s="22" t="n"/>
      <c r="D383" s="21" t="n"/>
      <c r="E383" s="21" t="n"/>
      <c r="F383" s="22" t="n"/>
      <c r="G383" s="21" t="n"/>
      <c r="H383" s="22" t="n"/>
      <c r="I383" s="23" t="n"/>
      <c r="J383" s="24">
        <f>IF(ISNUMBER(H383),H383-IF(ISNUMBER(I383),I383,30),"")</f>
        <v/>
      </c>
      <c r="K383" s="25">
        <f>IF(H383="","",IF(ISNUMBER(H383),H383-TODAY(),"Check date"))</f>
        <v/>
      </c>
      <c r="L383" s="26">
        <f>IF(K383="","",IF(ISNUMBER(K383),IF(K383&lt;0,"Expired",IF(K383&lt;=30,"Due ≤30 days",IF(K383&lt;=90,"Due ≤90 days","OK"))),"Check date"))</f>
        <v/>
      </c>
      <c r="M383" s="22" t="n"/>
      <c r="N383" s="24">
        <f>IF(ISNUMBER(M383),DATE(YEAR(M383)+2,MONTH(M383),DAY(M383)),"")</f>
        <v/>
      </c>
      <c r="O383" s="21" t="n"/>
      <c r="P383" s="21" t="n"/>
      <c r="Q383" s="21" t="n"/>
    </row>
    <row r="384">
      <c r="A384" s="21" t="n"/>
      <c r="B384" s="21" t="n"/>
      <c r="C384" s="22" t="n"/>
      <c r="D384" s="21" t="n"/>
      <c r="E384" s="21" t="n"/>
      <c r="F384" s="22" t="n"/>
      <c r="G384" s="21" t="n"/>
      <c r="H384" s="22" t="n"/>
      <c r="I384" s="23" t="n"/>
      <c r="J384" s="24">
        <f>IF(ISNUMBER(H384),H384-IF(ISNUMBER(I384),I384,30),"")</f>
        <v/>
      </c>
      <c r="K384" s="25">
        <f>IF(H384="","",IF(ISNUMBER(H384),H384-TODAY(),"Check date"))</f>
        <v/>
      </c>
      <c r="L384" s="26">
        <f>IF(K384="","",IF(ISNUMBER(K384),IF(K384&lt;0,"Expired",IF(K384&lt;=30,"Due ≤30 days",IF(K384&lt;=90,"Due ≤90 days","OK"))),"Check date"))</f>
        <v/>
      </c>
      <c r="M384" s="22" t="n"/>
      <c r="N384" s="24">
        <f>IF(ISNUMBER(M384),DATE(YEAR(M384)+2,MONTH(M384),DAY(M384)),"")</f>
        <v/>
      </c>
      <c r="O384" s="21" t="n"/>
      <c r="P384" s="21" t="n"/>
      <c r="Q384" s="21" t="n"/>
    </row>
    <row r="385">
      <c r="A385" s="21" t="n"/>
      <c r="B385" s="21" t="n"/>
      <c r="C385" s="22" t="n"/>
      <c r="D385" s="21" t="n"/>
      <c r="E385" s="21" t="n"/>
      <c r="F385" s="22" t="n"/>
      <c r="G385" s="21" t="n"/>
      <c r="H385" s="22" t="n"/>
      <c r="I385" s="23" t="n"/>
      <c r="J385" s="24">
        <f>IF(ISNUMBER(H385),H385-IF(ISNUMBER(I385),I385,30),"")</f>
        <v/>
      </c>
      <c r="K385" s="25">
        <f>IF(H385="","",IF(ISNUMBER(H385),H385-TODAY(),"Check date"))</f>
        <v/>
      </c>
      <c r="L385" s="26">
        <f>IF(K385="","",IF(ISNUMBER(K385),IF(K385&lt;0,"Expired",IF(K385&lt;=30,"Due ≤30 days",IF(K385&lt;=90,"Due ≤90 days","OK"))),"Check date"))</f>
        <v/>
      </c>
      <c r="M385" s="22" t="n"/>
      <c r="N385" s="24">
        <f>IF(ISNUMBER(M385),DATE(YEAR(M385)+2,MONTH(M385),DAY(M385)),"")</f>
        <v/>
      </c>
      <c r="O385" s="21" t="n"/>
      <c r="P385" s="21" t="n"/>
      <c r="Q385" s="21" t="n"/>
    </row>
    <row r="386">
      <c r="A386" s="21" t="n"/>
      <c r="B386" s="21" t="n"/>
      <c r="C386" s="22" t="n"/>
      <c r="D386" s="21" t="n"/>
      <c r="E386" s="21" t="n"/>
      <c r="F386" s="22" t="n"/>
      <c r="G386" s="21" t="n"/>
      <c r="H386" s="22" t="n"/>
      <c r="I386" s="23" t="n"/>
      <c r="J386" s="24">
        <f>IF(ISNUMBER(H386),H386-IF(ISNUMBER(I386),I386,30),"")</f>
        <v/>
      </c>
      <c r="K386" s="25">
        <f>IF(H386="","",IF(ISNUMBER(H386),H386-TODAY(),"Check date"))</f>
        <v/>
      </c>
      <c r="L386" s="26">
        <f>IF(K386="","",IF(ISNUMBER(K386),IF(K386&lt;0,"Expired",IF(K386&lt;=30,"Due ≤30 days",IF(K386&lt;=90,"Due ≤90 days","OK"))),"Check date"))</f>
        <v/>
      </c>
      <c r="M386" s="22" t="n"/>
      <c r="N386" s="24">
        <f>IF(ISNUMBER(M386),DATE(YEAR(M386)+2,MONTH(M386),DAY(M386)),"")</f>
        <v/>
      </c>
      <c r="O386" s="21" t="n"/>
      <c r="P386" s="21" t="n"/>
      <c r="Q386" s="21" t="n"/>
    </row>
    <row r="387">
      <c r="A387" s="21" t="n"/>
      <c r="B387" s="21" t="n"/>
      <c r="C387" s="22" t="n"/>
      <c r="D387" s="21" t="n"/>
      <c r="E387" s="21" t="n"/>
      <c r="F387" s="22" t="n"/>
      <c r="G387" s="21" t="n"/>
      <c r="H387" s="22" t="n"/>
      <c r="I387" s="23" t="n"/>
      <c r="J387" s="24">
        <f>IF(ISNUMBER(H387),H387-IF(ISNUMBER(I387),I387,30),"")</f>
        <v/>
      </c>
      <c r="K387" s="25">
        <f>IF(H387="","",IF(ISNUMBER(H387),H387-TODAY(),"Check date"))</f>
        <v/>
      </c>
      <c r="L387" s="26">
        <f>IF(K387="","",IF(ISNUMBER(K387),IF(K387&lt;0,"Expired",IF(K387&lt;=30,"Due ≤30 days",IF(K387&lt;=90,"Due ≤90 days","OK"))),"Check date"))</f>
        <v/>
      </c>
      <c r="M387" s="22" t="n"/>
      <c r="N387" s="24">
        <f>IF(ISNUMBER(M387),DATE(YEAR(M387)+2,MONTH(M387),DAY(M387)),"")</f>
        <v/>
      </c>
      <c r="O387" s="21" t="n"/>
      <c r="P387" s="21" t="n"/>
      <c r="Q387" s="21" t="n"/>
    </row>
    <row r="388">
      <c r="A388" s="21" t="n"/>
      <c r="B388" s="21" t="n"/>
      <c r="C388" s="22" t="n"/>
      <c r="D388" s="21" t="n"/>
      <c r="E388" s="21" t="n"/>
      <c r="F388" s="22" t="n"/>
      <c r="G388" s="21" t="n"/>
      <c r="H388" s="22" t="n"/>
      <c r="I388" s="23" t="n"/>
      <c r="J388" s="24">
        <f>IF(ISNUMBER(H388),H388-IF(ISNUMBER(I388),I388,30),"")</f>
        <v/>
      </c>
      <c r="K388" s="25">
        <f>IF(H388="","",IF(ISNUMBER(H388),H388-TODAY(),"Check date"))</f>
        <v/>
      </c>
      <c r="L388" s="26">
        <f>IF(K388="","",IF(ISNUMBER(K388),IF(K388&lt;0,"Expired",IF(K388&lt;=30,"Due ≤30 days",IF(K388&lt;=90,"Due ≤90 days","OK"))),"Check date"))</f>
        <v/>
      </c>
      <c r="M388" s="22" t="n"/>
      <c r="N388" s="24">
        <f>IF(ISNUMBER(M388),DATE(YEAR(M388)+2,MONTH(M388),DAY(M388)),"")</f>
        <v/>
      </c>
      <c r="O388" s="21" t="n"/>
      <c r="P388" s="21" t="n"/>
      <c r="Q388" s="21" t="n"/>
    </row>
    <row r="389">
      <c r="A389" s="21" t="n"/>
      <c r="B389" s="21" t="n"/>
      <c r="C389" s="22" t="n"/>
      <c r="D389" s="21" t="n"/>
      <c r="E389" s="21" t="n"/>
      <c r="F389" s="22" t="n"/>
      <c r="G389" s="21" t="n"/>
      <c r="H389" s="22" t="n"/>
      <c r="I389" s="23" t="n"/>
      <c r="J389" s="24">
        <f>IF(ISNUMBER(H389),H389-IF(ISNUMBER(I389),I389,30),"")</f>
        <v/>
      </c>
      <c r="K389" s="25">
        <f>IF(H389="","",IF(ISNUMBER(H389),H389-TODAY(),"Check date"))</f>
        <v/>
      </c>
      <c r="L389" s="26">
        <f>IF(K389="","",IF(ISNUMBER(K389),IF(K389&lt;0,"Expired",IF(K389&lt;=30,"Due ≤30 days",IF(K389&lt;=90,"Due ≤90 days","OK"))),"Check date"))</f>
        <v/>
      </c>
      <c r="M389" s="22" t="n"/>
      <c r="N389" s="24">
        <f>IF(ISNUMBER(M389),DATE(YEAR(M389)+2,MONTH(M389),DAY(M389)),"")</f>
        <v/>
      </c>
      <c r="O389" s="21" t="n"/>
      <c r="P389" s="21" t="n"/>
      <c r="Q389" s="21" t="n"/>
    </row>
    <row r="390">
      <c r="A390" s="21" t="n"/>
      <c r="B390" s="21" t="n"/>
      <c r="C390" s="22" t="n"/>
      <c r="D390" s="21" t="n"/>
      <c r="E390" s="21" t="n"/>
      <c r="F390" s="22" t="n"/>
      <c r="G390" s="21" t="n"/>
      <c r="H390" s="22" t="n"/>
      <c r="I390" s="23" t="n"/>
      <c r="J390" s="24">
        <f>IF(ISNUMBER(H390),H390-IF(ISNUMBER(I390),I390,30),"")</f>
        <v/>
      </c>
      <c r="K390" s="25">
        <f>IF(H390="","",IF(ISNUMBER(H390),H390-TODAY(),"Check date"))</f>
        <v/>
      </c>
      <c r="L390" s="26">
        <f>IF(K390="","",IF(ISNUMBER(K390),IF(K390&lt;0,"Expired",IF(K390&lt;=30,"Due ≤30 days",IF(K390&lt;=90,"Due ≤90 days","OK"))),"Check date"))</f>
        <v/>
      </c>
      <c r="M390" s="22" t="n"/>
      <c r="N390" s="24">
        <f>IF(ISNUMBER(M390),DATE(YEAR(M390)+2,MONTH(M390),DAY(M390)),"")</f>
        <v/>
      </c>
      <c r="O390" s="21" t="n"/>
      <c r="P390" s="21" t="n"/>
      <c r="Q390" s="21" t="n"/>
    </row>
    <row r="391">
      <c r="A391" s="21" t="n"/>
      <c r="B391" s="21" t="n"/>
      <c r="C391" s="22" t="n"/>
      <c r="D391" s="21" t="n"/>
      <c r="E391" s="21" t="n"/>
      <c r="F391" s="22" t="n"/>
      <c r="G391" s="21" t="n"/>
      <c r="H391" s="22" t="n"/>
      <c r="I391" s="23" t="n"/>
      <c r="J391" s="24">
        <f>IF(ISNUMBER(H391),H391-IF(ISNUMBER(I391),I391,30),"")</f>
        <v/>
      </c>
      <c r="K391" s="25">
        <f>IF(H391="","",IF(ISNUMBER(H391),H391-TODAY(),"Check date"))</f>
        <v/>
      </c>
      <c r="L391" s="26">
        <f>IF(K391="","",IF(ISNUMBER(K391),IF(K391&lt;0,"Expired",IF(K391&lt;=30,"Due ≤30 days",IF(K391&lt;=90,"Due ≤90 days","OK"))),"Check date"))</f>
        <v/>
      </c>
      <c r="M391" s="22" t="n"/>
      <c r="N391" s="24">
        <f>IF(ISNUMBER(M391),DATE(YEAR(M391)+2,MONTH(M391),DAY(M391)),"")</f>
        <v/>
      </c>
      <c r="O391" s="21" t="n"/>
      <c r="P391" s="21" t="n"/>
      <c r="Q391" s="21" t="n"/>
    </row>
    <row r="392">
      <c r="A392" s="21" t="n"/>
      <c r="B392" s="21" t="n"/>
      <c r="C392" s="22" t="n"/>
      <c r="D392" s="21" t="n"/>
      <c r="E392" s="21" t="n"/>
      <c r="F392" s="22" t="n"/>
      <c r="G392" s="21" t="n"/>
      <c r="H392" s="22" t="n"/>
      <c r="I392" s="23" t="n"/>
      <c r="J392" s="24">
        <f>IF(ISNUMBER(H392),H392-IF(ISNUMBER(I392),I392,30),"")</f>
        <v/>
      </c>
      <c r="K392" s="25">
        <f>IF(H392="","",IF(ISNUMBER(H392),H392-TODAY(),"Check date"))</f>
        <v/>
      </c>
      <c r="L392" s="26">
        <f>IF(K392="","",IF(ISNUMBER(K392),IF(K392&lt;0,"Expired",IF(K392&lt;=30,"Due ≤30 days",IF(K392&lt;=90,"Due ≤90 days","OK"))),"Check date"))</f>
        <v/>
      </c>
      <c r="M392" s="22" t="n"/>
      <c r="N392" s="24">
        <f>IF(ISNUMBER(M392),DATE(YEAR(M392)+2,MONTH(M392),DAY(M392)),"")</f>
        <v/>
      </c>
      <c r="O392" s="21" t="n"/>
      <c r="P392" s="21" t="n"/>
      <c r="Q392" s="21" t="n"/>
    </row>
    <row r="393">
      <c r="A393" s="21" t="n"/>
      <c r="B393" s="21" t="n"/>
      <c r="C393" s="22" t="n"/>
      <c r="D393" s="21" t="n"/>
      <c r="E393" s="21" t="n"/>
      <c r="F393" s="22" t="n"/>
      <c r="G393" s="21" t="n"/>
      <c r="H393" s="22" t="n"/>
      <c r="I393" s="23" t="n"/>
      <c r="J393" s="24">
        <f>IF(ISNUMBER(H393),H393-IF(ISNUMBER(I393),I393,30),"")</f>
        <v/>
      </c>
      <c r="K393" s="25">
        <f>IF(H393="","",IF(ISNUMBER(H393),H393-TODAY(),"Check date"))</f>
        <v/>
      </c>
      <c r="L393" s="26">
        <f>IF(K393="","",IF(ISNUMBER(K393),IF(K393&lt;0,"Expired",IF(K393&lt;=30,"Due ≤30 days",IF(K393&lt;=90,"Due ≤90 days","OK"))),"Check date"))</f>
        <v/>
      </c>
      <c r="M393" s="22" t="n"/>
      <c r="N393" s="24">
        <f>IF(ISNUMBER(M393),DATE(YEAR(M393)+2,MONTH(M393),DAY(M393)),"")</f>
        <v/>
      </c>
      <c r="O393" s="21" t="n"/>
      <c r="P393" s="21" t="n"/>
      <c r="Q393" s="21" t="n"/>
    </row>
    <row r="394">
      <c r="A394" s="21" t="n"/>
      <c r="B394" s="21" t="n"/>
      <c r="C394" s="22" t="n"/>
      <c r="D394" s="21" t="n"/>
      <c r="E394" s="21" t="n"/>
      <c r="F394" s="22" t="n"/>
      <c r="G394" s="21" t="n"/>
      <c r="H394" s="22" t="n"/>
      <c r="I394" s="23" t="n"/>
      <c r="J394" s="24">
        <f>IF(ISNUMBER(H394),H394-IF(ISNUMBER(I394),I394,30),"")</f>
        <v/>
      </c>
      <c r="K394" s="25">
        <f>IF(H394="","",IF(ISNUMBER(H394),H394-TODAY(),"Check date"))</f>
        <v/>
      </c>
      <c r="L394" s="26">
        <f>IF(K394="","",IF(ISNUMBER(K394),IF(K394&lt;0,"Expired",IF(K394&lt;=30,"Due ≤30 days",IF(K394&lt;=90,"Due ≤90 days","OK"))),"Check date"))</f>
        <v/>
      </c>
      <c r="M394" s="22" t="n"/>
      <c r="N394" s="24">
        <f>IF(ISNUMBER(M394),DATE(YEAR(M394)+2,MONTH(M394),DAY(M394)),"")</f>
        <v/>
      </c>
      <c r="O394" s="21" t="n"/>
      <c r="P394" s="21" t="n"/>
      <c r="Q394" s="21" t="n"/>
    </row>
    <row r="395">
      <c r="A395" s="21" t="n"/>
      <c r="B395" s="21" t="n"/>
      <c r="C395" s="22" t="n"/>
      <c r="D395" s="21" t="n"/>
      <c r="E395" s="21" t="n"/>
      <c r="F395" s="22" t="n"/>
      <c r="G395" s="21" t="n"/>
      <c r="H395" s="22" t="n"/>
      <c r="I395" s="23" t="n"/>
      <c r="J395" s="24">
        <f>IF(ISNUMBER(H395),H395-IF(ISNUMBER(I395),I395,30),"")</f>
        <v/>
      </c>
      <c r="K395" s="25">
        <f>IF(H395="","",IF(ISNUMBER(H395),H395-TODAY(),"Check date"))</f>
        <v/>
      </c>
      <c r="L395" s="26">
        <f>IF(K395="","",IF(ISNUMBER(K395),IF(K395&lt;0,"Expired",IF(K395&lt;=30,"Due ≤30 days",IF(K395&lt;=90,"Due ≤90 days","OK"))),"Check date"))</f>
        <v/>
      </c>
      <c r="M395" s="22" t="n"/>
      <c r="N395" s="24">
        <f>IF(ISNUMBER(M395),DATE(YEAR(M395)+2,MONTH(M395),DAY(M395)),"")</f>
        <v/>
      </c>
      <c r="O395" s="21" t="n"/>
      <c r="P395" s="21" t="n"/>
      <c r="Q395" s="21" t="n"/>
    </row>
    <row r="396">
      <c r="A396" s="21" t="n"/>
      <c r="B396" s="21" t="n"/>
      <c r="C396" s="22" t="n"/>
      <c r="D396" s="21" t="n"/>
      <c r="E396" s="21" t="n"/>
      <c r="F396" s="22" t="n"/>
      <c r="G396" s="21" t="n"/>
      <c r="H396" s="22" t="n"/>
      <c r="I396" s="23" t="n"/>
      <c r="J396" s="24">
        <f>IF(ISNUMBER(H396),H396-IF(ISNUMBER(I396),I396,30),"")</f>
        <v/>
      </c>
      <c r="K396" s="25">
        <f>IF(H396="","",IF(ISNUMBER(H396),H396-TODAY(),"Check date"))</f>
        <v/>
      </c>
      <c r="L396" s="26">
        <f>IF(K396="","",IF(ISNUMBER(K396),IF(K396&lt;0,"Expired",IF(K396&lt;=30,"Due ≤30 days",IF(K396&lt;=90,"Due ≤90 days","OK"))),"Check date"))</f>
        <v/>
      </c>
      <c r="M396" s="22" t="n"/>
      <c r="N396" s="24">
        <f>IF(ISNUMBER(M396),DATE(YEAR(M396)+2,MONTH(M396),DAY(M396)),"")</f>
        <v/>
      </c>
      <c r="O396" s="21" t="n"/>
      <c r="P396" s="21" t="n"/>
      <c r="Q396" s="21" t="n"/>
    </row>
    <row r="397">
      <c r="A397" s="21" t="n"/>
      <c r="B397" s="21" t="n"/>
      <c r="C397" s="22" t="n"/>
      <c r="D397" s="21" t="n"/>
      <c r="E397" s="21" t="n"/>
      <c r="F397" s="22" t="n"/>
      <c r="G397" s="21" t="n"/>
      <c r="H397" s="22" t="n"/>
      <c r="I397" s="23" t="n"/>
      <c r="J397" s="24">
        <f>IF(ISNUMBER(H397),H397-IF(ISNUMBER(I397),I397,30),"")</f>
        <v/>
      </c>
      <c r="K397" s="25">
        <f>IF(H397="","",IF(ISNUMBER(H397),H397-TODAY(),"Check date"))</f>
        <v/>
      </c>
      <c r="L397" s="26">
        <f>IF(K397="","",IF(ISNUMBER(K397),IF(K397&lt;0,"Expired",IF(K397&lt;=30,"Due ≤30 days",IF(K397&lt;=90,"Due ≤90 days","OK"))),"Check date"))</f>
        <v/>
      </c>
      <c r="M397" s="22" t="n"/>
      <c r="N397" s="24">
        <f>IF(ISNUMBER(M397),DATE(YEAR(M397)+2,MONTH(M397),DAY(M397)),"")</f>
        <v/>
      </c>
      <c r="O397" s="21" t="n"/>
      <c r="P397" s="21" t="n"/>
      <c r="Q397" s="21" t="n"/>
    </row>
    <row r="398">
      <c r="A398" s="21" t="n"/>
      <c r="B398" s="21" t="n"/>
      <c r="C398" s="22" t="n"/>
      <c r="D398" s="21" t="n"/>
      <c r="E398" s="21" t="n"/>
      <c r="F398" s="22" t="n"/>
      <c r="G398" s="21" t="n"/>
      <c r="H398" s="22" t="n"/>
      <c r="I398" s="23" t="n"/>
      <c r="J398" s="24">
        <f>IF(ISNUMBER(H398),H398-IF(ISNUMBER(I398),I398,30),"")</f>
        <v/>
      </c>
      <c r="K398" s="25">
        <f>IF(H398="","",IF(ISNUMBER(H398),H398-TODAY(),"Check date"))</f>
        <v/>
      </c>
      <c r="L398" s="26">
        <f>IF(K398="","",IF(ISNUMBER(K398),IF(K398&lt;0,"Expired",IF(K398&lt;=30,"Due ≤30 days",IF(K398&lt;=90,"Due ≤90 days","OK"))),"Check date"))</f>
        <v/>
      </c>
      <c r="M398" s="22" t="n"/>
      <c r="N398" s="24">
        <f>IF(ISNUMBER(M398),DATE(YEAR(M398)+2,MONTH(M398),DAY(M398)),"")</f>
        <v/>
      </c>
      <c r="O398" s="21" t="n"/>
      <c r="P398" s="21" t="n"/>
      <c r="Q398" s="21" t="n"/>
    </row>
    <row r="399">
      <c r="A399" s="21" t="n"/>
      <c r="B399" s="21" t="n"/>
      <c r="C399" s="22" t="n"/>
      <c r="D399" s="21" t="n"/>
      <c r="E399" s="21" t="n"/>
      <c r="F399" s="22" t="n"/>
      <c r="G399" s="21" t="n"/>
      <c r="H399" s="22" t="n"/>
      <c r="I399" s="23" t="n"/>
      <c r="J399" s="24">
        <f>IF(ISNUMBER(H399),H399-IF(ISNUMBER(I399),I399,30),"")</f>
        <v/>
      </c>
      <c r="K399" s="25">
        <f>IF(H399="","",IF(ISNUMBER(H399),H399-TODAY(),"Check date"))</f>
        <v/>
      </c>
      <c r="L399" s="26">
        <f>IF(K399="","",IF(ISNUMBER(K399),IF(K399&lt;0,"Expired",IF(K399&lt;=30,"Due ≤30 days",IF(K399&lt;=90,"Due ≤90 days","OK"))),"Check date"))</f>
        <v/>
      </c>
      <c r="M399" s="22" t="n"/>
      <c r="N399" s="24">
        <f>IF(ISNUMBER(M399),DATE(YEAR(M399)+2,MONTH(M399),DAY(M399)),"")</f>
        <v/>
      </c>
      <c r="O399" s="21" t="n"/>
      <c r="P399" s="21" t="n"/>
      <c r="Q399" s="21" t="n"/>
    </row>
    <row r="400">
      <c r="A400" s="21" t="n"/>
      <c r="B400" s="21" t="n"/>
      <c r="C400" s="22" t="n"/>
      <c r="D400" s="21" t="n"/>
      <c r="E400" s="21" t="n"/>
      <c r="F400" s="22" t="n"/>
      <c r="G400" s="21" t="n"/>
      <c r="H400" s="22" t="n"/>
      <c r="I400" s="23" t="n"/>
      <c r="J400" s="24">
        <f>IF(ISNUMBER(H400),H400-IF(ISNUMBER(I400),I400,30),"")</f>
        <v/>
      </c>
      <c r="K400" s="25">
        <f>IF(H400="","",IF(ISNUMBER(H400),H400-TODAY(),"Check date"))</f>
        <v/>
      </c>
      <c r="L400" s="26">
        <f>IF(K400="","",IF(ISNUMBER(K400),IF(K400&lt;0,"Expired",IF(K400&lt;=30,"Due ≤30 days",IF(K400&lt;=90,"Due ≤90 days","OK"))),"Check date"))</f>
        <v/>
      </c>
      <c r="M400" s="22" t="n"/>
      <c r="N400" s="24">
        <f>IF(ISNUMBER(M400),DATE(YEAR(M400)+2,MONTH(M400),DAY(M400)),"")</f>
        <v/>
      </c>
      <c r="O400" s="21" t="n"/>
      <c r="P400" s="21" t="n"/>
      <c r="Q400" s="21" t="n"/>
    </row>
    <row r="401">
      <c r="A401" s="21" t="n"/>
      <c r="B401" s="21" t="n"/>
      <c r="C401" s="22" t="n"/>
      <c r="D401" s="21" t="n"/>
      <c r="E401" s="21" t="n"/>
      <c r="F401" s="22" t="n"/>
      <c r="G401" s="21" t="n"/>
      <c r="H401" s="22" t="n"/>
      <c r="I401" s="23" t="n"/>
      <c r="J401" s="24">
        <f>IF(ISNUMBER(H401),H401-IF(ISNUMBER(I401),I401,30),"")</f>
        <v/>
      </c>
      <c r="K401" s="25">
        <f>IF(H401="","",IF(ISNUMBER(H401),H401-TODAY(),"Check date"))</f>
        <v/>
      </c>
      <c r="L401" s="26">
        <f>IF(K401="","",IF(ISNUMBER(K401),IF(K401&lt;0,"Expired",IF(K401&lt;=30,"Due ≤30 days",IF(K401&lt;=90,"Due ≤90 days","OK"))),"Check date"))</f>
        <v/>
      </c>
      <c r="M401" s="22" t="n"/>
      <c r="N401" s="24">
        <f>IF(ISNUMBER(M401),DATE(YEAR(M401)+2,MONTH(M401),DAY(M401)),"")</f>
        <v/>
      </c>
      <c r="O401" s="21" t="n"/>
      <c r="P401" s="21" t="n"/>
      <c r="Q401" s="21" t="n"/>
    </row>
    <row r="402">
      <c r="A402" s="21" t="n"/>
      <c r="B402" s="21" t="n"/>
      <c r="C402" s="22" t="n"/>
      <c r="D402" s="21" t="n"/>
      <c r="E402" s="21" t="n"/>
      <c r="F402" s="22" t="n"/>
      <c r="G402" s="21" t="n"/>
      <c r="H402" s="22" t="n"/>
      <c r="I402" s="23" t="n"/>
      <c r="J402" s="24">
        <f>IF(ISNUMBER(H402),H402-IF(ISNUMBER(I402),I402,30),"")</f>
        <v/>
      </c>
      <c r="K402" s="25">
        <f>IF(H402="","",IF(ISNUMBER(H402),H402-TODAY(),"Check date"))</f>
        <v/>
      </c>
      <c r="L402" s="26">
        <f>IF(K402="","",IF(ISNUMBER(K402),IF(K402&lt;0,"Expired",IF(K402&lt;=30,"Due ≤30 days",IF(K402&lt;=90,"Due ≤90 days","OK"))),"Check date"))</f>
        <v/>
      </c>
      <c r="M402" s="22" t="n"/>
      <c r="N402" s="24">
        <f>IF(ISNUMBER(M402),DATE(YEAR(M402)+2,MONTH(M402),DAY(M402)),"")</f>
        <v/>
      </c>
      <c r="O402" s="21" t="n"/>
      <c r="P402" s="21" t="n"/>
      <c r="Q402" s="21" t="n"/>
    </row>
    <row r="403">
      <c r="A403" s="21" t="n"/>
      <c r="B403" s="21" t="n"/>
      <c r="C403" s="22" t="n"/>
      <c r="D403" s="21" t="n"/>
      <c r="E403" s="21" t="n"/>
      <c r="F403" s="22" t="n"/>
      <c r="G403" s="21" t="n"/>
      <c r="H403" s="22" t="n"/>
      <c r="I403" s="23" t="n"/>
      <c r="J403" s="24">
        <f>IF(ISNUMBER(H403),H403-IF(ISNUMBER(I403),I403,30),"")</f>
        <v/>
      </c>
      <c r="K403" s="25">
        <f>IF(H403="","",IF(ISNUMBER(H403),H403-TODAY(),"Check date"))</f>
        <v/>
      </c>
      <c r="L403" s="26">
        <f>IF(K403="","",IF(ISNUMBER(K403),IF(K403&lt;0,"Expired",IF(K403&lt;=30,"Due ≤30 days",IF(K403&lt;=90,"Due ≤90 days","OK"))),"Check date"))</f>
        <v/>
      </c>
      <c r="M403" s="22" t="n"/>
      <c r="N403" s="24">
        <f>IF(ISNUMBER(M403),DATE(YEAR(M403)+2,MONTH(M403),DAY(M403)),"")</f>
        <v/>
      </c>
      <c r="O403" s="21" t="n"/>
      <c r="P403" s="21" t="n"/>
      <c r="Q403" s="21" t="n"/>
    </row>
    <row r="404">
      <c r="A404" s="21" t="n"/>
      <c r="B404" s="21" t="n"/>
      <c r="C404" s="22" t="n"/>
      <c r="D404" s="21" t="n"/>
      <c r="E404" s="21" t="n"/>
      <c r="F404" s="22" t="n"/>
      <c r="G404" s="21" t="n"/>
      <c r="H404" s="22" t="n"/>
      <c r="I404" s="23" t="n"/>
      <c r="J404" s="24">
        <f>IF(ISNUMBER(H404),H404-IF(ISNUMBER(I404),I404,30),"")</f>
        <v/>
      </c>
      <c r="K404" s="25">
        <f>IF(H404="","",IF(ISNUMBER(H404),H404-TODAY(),"Check date"))</f>
        <v/>
      </c>
      <c r="L404" s="26">
        <f>IF(K404="","",IF(ISNUMBER(K404),IF(K404&lt;0,"Expired",IF(K404&lt;=30,"Due ≤30 days",IF(K404&lt;=90,"Due ≤90 days","OK"))),"Check date"))</f>
        <v/>
      </c>
      <c r="M404" s="22" t="n"/>
      <c r="N404" s="24">
        <f>IF(ISNUMBER(M404),DATE(YEAR(M404)+2,MONTH(M404),DAY(M404)),"")</f>
        <v/>
      </c>
      <c r="O404" s="21" t="n"/>
      <c r="P404" s="21" t="n"/>
      <c r="Q404" s="21" t="n"/>
    </row>
    <row r="405">
      <c r="A405" s="21" t="n"/>
      <c r="B405" s="21" t="n"/>
      <c r="C405" s="22" t="n"/>
      <c r="D405" s="21" t="n"/>
      <c r="E405" s="21" t="n"/>
      <c r="F405" s="22" t="n"/>
      <c r="G405" s="21" t="n"/>
      <c r="H405" s="22" t="n"/>
      <c r="I405" s="23" t="n"/>
      <c r="J405" s="24">
        <f>IF(ISNUMBER(H405),H405-IF(ISNUMBER(I405),I405,30),"")</f>
        <v/>
      </c>
      <c r="K405" s="25">
        <f>IF(H405="","",IF(ISNUMBER(H405),H405-TODAY(),"Check date"))</f>
        <v/>
      </c>
      <c r="L405" s="26">
        <f>IF(K405="","",IF(ISNUMBER(K405),IF(K405&lt;0,"Expired",IF(K405&lt;=30,"Due ≤30 days",IF(K405&lt;=90,"Due ≤90 days","OK"))),"Check date"))</f>
        <v/>
      </c>
      <c r="M405" s="22" t="n"/>
      <c r="N405" s="24">
        <f>IF(ISNUMBER(M405),DATE(YEAR(M405)+2,MONTH(M405),DAY(M405)),"")</f>
        <v/>
      </c>
      <c r="O405" s="21" t="n"/>
      <c r="P405" s="21" t="n"/>
      <c r="Q405" s="21" t="n"/>
    </row>
    <row r="406">
      <c r="A406" s="21" t="n"/>
      <c r="B406" s="21" t="n"/>
      <c r="C406" s="22" t="n"/>
      <c r="D406" s="21" t="n"/>
      <c r="E406" s="21" t="n"/>
      <c r="F406" s="22" t="n"/>
      <c r="G406" s="21" t="n"/>
      <c r="H406" s="22" t="n"/>
      <c r="I406" s="23" t="n"/>
      <c r="J406" s="24">
        <f>IF(ISNUMBER(H406),H406-IF(ISNUMBER(I406),I406,30),"")</f>
        <v/>
      </c>
      <c r="K406" s="25">
        <f>IF(H406="","",IF(ISNUMBER(H406),H406-TODAY(),"Check date"))</f>
        <v/>
      </c>
      <c r="L406" s="26">
        <f>IF(K406="","",IF(ISNUMBER(K406),IF(K406&lt;0,"Expired",IF(K406&lt;=30,"Due ≤30 days",IF(K406&lt;=90,"Due ≤90 days","OK"))),"Check date"))</f>
        <v/>
      </c>
      <c r="M406" s="22" t="n"/>
      <c r="N406" s="24">
        <f>IF(ISNUMBER(M406),DATE(YEAR(M406)+2,MONTH(M406),DAY(M406)),"")</f>
        <v/>
      </c>
      <c r="O406" s="21" t="n"/>
      <c r="P406" s="21" t="n"/>
      <c r="Q406" s="21" t="n"/>
    </row>
    <row r="407">
      <c r="A407" s="21" t="n"/>
      <c r="B407" s="21" t="n"/>
      <c r="C407" s="22" t="n"/>
      <c r="D407" s="21" t="n"/>
      <c r="E407" s="21" t="n"/>
      <c r="F407" s="22" t="n"/>
      <c r="G407" s="21" t="n"/>
      <c r="H407" s="22" t="n"/>
      <c r="I407" s="23" t="n"/>
      <c r="J407" s="24">
        <f>IF(ISNUMBER(H407),H407-IF(ISNUMBER(I407),I407,30),"")</f>
        <v/>
      </c>
      <c r="K407" s="25">
        <f>IF(H407="","",IF(ISNUMBER(H407),H407-TODAY(),"Check date"))</f>
        <v/>
      </c>
      <c r="L407" s="26">
        <f>IF(K407="","",IF(ISNUMBER(K407),IF(K407&lt;0,"Expired",IF(K407&lt;=30,"Due ≤30 days",IF(K407&lt;=90,"Due ≤90 days","OK"))),"Check date"))</f>
        <v/>
      </c>
      <c r="M407" s="22" t="n"/>
      <c r="N407" s="24">
        <f>IF(ISNUMBER(M407),DATE(YEAR(M407)+2,MONTH(M407),DAY(M407)),"")</f>
        <v/>
      </c>
      <c r="O407" s="21" t="n"/>
      <c r="P407" s="21" t="n"/>
      <c r="Q407" s="21" t="n"/>
    </row>
    <row r="408">
      <c r="A408" s="21" t="n"/>
      <c r="B408" s="21" t="n"/>
      <c r="C408" s="22" t="n"/>
      <c r="D408" s="21" t="n"/>
      <c r="E408" s="21" t="n"/>
      <c r="F408" s="22" t="n"/>
      <c r="G408" s="21" t="n"/>
      <c r="H408" s="22" t="n"/>
      <c r="I408" s="23" t="n"/>
      <c r="J408" s="24">
        <f>IF(ISNUMBER(H408),H408-IF(ISNUMBER(I408),I408,30),"")</f>
        <v/>
      </c>
      <c r="K408" s="25">
        <f>IF(H408="","",IF(ISNUMBER(H408),H408-TODAY(),"Check date"))</f>
        <v/>
      </c>
      <c r="L408" s="26">
        <f>IF(K408="","",IF(ISNUMBER(K408),IF(K408&lt;0,"Expired",IF(K408&lt;=30,"Due ≤30 days",IF(K408&lt;=90,"Due ≤90 days","OK"))),"Check date"))</f>
        <v/>
      </c>
      <c r="M408" s="22" t="n"/>
      <c r="N408" s="24">
        <f>IF(ISNUMBER(M408),DATE(YEAR(M408)+2,MONTH(M408),DAY(M408)),"")</f>
        <v/>
      </c>
      <c r="O408" s="21" t="n"/>
      <c r="P408" s="21" t="n"/>
      <c r="Q408" s="21" t="n"/>
    </row>
    <row r="409">
      <c r="A409" s="21" t="n"/>
      <c r="B409" s="21" t="n"/>
      <c r="C409" s="22" t="n"/>
      <c r="D409" s="21" t="n"/>
      <c r="E409" s="21" t="n"/>
      <c r="F409" s="22" t="n"/>
      <c r="G409" s="21" t="n"/>
      <c r="H409" s="22" t="n"/>
      <c r="I409" s="23" t="n"/>
      <c r="J409" s="24">
        <f>IF(ISNUMBER(H409),H409-IF(ISNUMBER(I409),I409,30),"")</f>
        <v/>
      </c>
      <c r="K409" s="25">
        <f>IF(H409="","",IF(ISNUMBER(H409),H409-TODAY(),"Check date"))</f>
        <v/>
      </c>
      <c r="L409" s="26">
        <f>IF(K409="","",IF(ISNUMBER(K409),IF(K409&lt;0,"Expired",IF(K409&lt;=30,"Due ≤30 days",IF(K409&lt;=90,"Due ≤90 days","OK"))),"Check date"))</f>
        <v/>
      </c>
      <c r="M409" s="22" t="n"/>
      <c r="N409" s="24">
        <f>IF(ISNUMBER(M409),DATE(YEAR(M409)+2,MONTH(M409),DAY(M409)),"")</f>
        <v/>
      </c>
      <c r="O409" s="21" t="n"/>
      <c r="P409" s="21" t="n"/>
      <c r="Q409" s="21" t="n"/>
    </row>
    <row r="410">
      <c r="A410" s="21" t="n"/>
      <c r="B410" s="21" t="n"/>
      <c r="C410" s="22" t="n"/>
      <c r="D410" s="21" t="n"/>
      <c r="E410" s="21" t="n"/>
      <c r="F410" s="22" t="n"/>
      <c r="G410" s="21" t="n"/>
      <c r="H410" s="22" t="n"/>
      <c r="I410" s="23" t="n"/>
      <c r="J410" s="24">
        <f>IF(ISNUMBER(H410),H410-IF(ISNUMBER(I410),I410,30),"")</f>
        <v/>
      </c>
      <c r="K410" s="25">
        <f>IF(H410="","",IF(ISNUMBER(H410),H410-TODAY(),"Check date"))</f>
        <v/>
      </c>
      <c r="L410" s="26">
        <f>IF(K410="","",IF(ISNUMBER(K410),IF(K410&lt;0,"Expired",IF(K410&lt;=30,"Due ≤30 days",IF(K410&lt;=90,"Due ≤90 days","OK"))),"Check date"))</f>
        <v/>
      </c>
      <c r="M410" s="22" t="n"/>
      <c r="N410" s="24">
        <f>IF(ISNUMBER(M410),DATE(YEAR(M410)+2,MONTH(M410),DAY(M410)),"")</f>
        <v/>
      </c>
      <c r="O410" s="21" t="n"/>
      <c r="P410" s="21" t="n"/>
      <c r="Q410" s="21" t="n"/>
    </row>
    <row r="411">
      <c r="A411" s="21" t="n"/>
      <c r="B411" s="21" t="n"/>
      <c r="C411" s="22" t="n"/>
      <c r="D411" s="21" t="n"/>
      <c r="E411" s="21" t="n"/>
      <c r="F411" s="22" t="n"/>
      <c r="G411" s="21" t="n"/>
      <c r="H411" s="22" t="n"/>
      <c r="I411" s="23" t="n"/>
      <c r="J411" s="24">
        <f>IF(ISNUMBER(H411),H411-IF(ISNUMBER(I411),I411,30),"")</f>
        <v/>
      </c>
      <c r="K411" s="25">
        <f>IF(H411="","",IF(ISNUMBER(H411),H411-TODAY(),"Check date"))</f>
        <v/>
      </c>
      <c r="L411" s="26">
        <f>IF(K411="","",IF(ISNUMBER(K411),IF(K411&lt;0,"Expired",IF(K411&lt;=30,"Due ≤30 days",IF(K411&lt;=90,"Due ≤90 days","OK"))),"Check date"))</f>
        <v/>
      </c>
      <c r="M411" s="22" t="n"/>
      <c r="N411" s="24">
        <f>IF(ISNUMBER(M411),DATE(YEAR(M411)+2,MONTH(M411),DAY(M411)),"")</f>
        <v/>
      </c>
      <c r="O411" s="21" t="n"/>
      <c r="P411" s="21" t="n"/>
      <c r="Q411" s="21" t="n"/>
    </row>
    <row r="412">
      <c r="A412" s="21" t="n"/>
      <c r="B412" s="21" t="n"/>
      <c r="C412" s="22" t="n"/>
      <c r="D412" s="21" t="n"/>
      <c r="E412" s="21" t="n"/>
      <c r="F412" s="22" t="n"/>
      <c r="G412" s="21" t="n"/>
      <c r="H412" s="22" t="n"/>
      <c r="I412" s="23" t="n"/>
      <c r="J412" s="24">
        <f>IF(ISNUMBER(H412),H412-IF(ISNUMBER(I412),I412,30),"")</f>
        <v/>
      </c>
      <c r="K412" s="25">
        <f>IF(H412="","",IF(ISNUMBER(H412),H412-TODAY(),"Check date"))</f>
        <v/>
      </c>
      <c r="L412" s="26">
        <f>IF(K412="","",IF(ISNUMBER(K412),IF(K412&lt;0,"Expired",IF(K412&lt;=30,"Due ≤30 days",IF(K412&lt;=90,"Due ≤90 days","OK"))),"Check date"))</f>
        <v/>
      </c>
      <c r="M412" s="22" t="n"/>
      <c r="N412" s="24">
        <f>IF(ISNUMBER(M412),DATE(YEAR(M412)+2,MONTH(M412),DAY(M412)),"")</f>
        <v/>
      </c>
      <c r="O412" s="21" t="n"/>
      <c r="P412" s="21" t="n"/>
      <c r="Q412" s="21" t="n"/>
    </row>
    <row r="413">
      <c r="A413" s="21" t="n"/>
      <c r="B413" s="21" t="n"/>
      <c r="C413" s="22" t="n"/>
      <c r="D413" s="21" t="n"/>
      <c r="E413" s="21" t="n"/>
      <c r="F413" s="22" t="n"/>
      <c r="G413" s="21" t="n"/>
      <c r="H413" s="22" t="n"/>
      <c r="I413" s="23" t="n"/>
      <c r="J413" s="24">
        <f>IF(ISNUMBER(H413),H413-IF(ISNUMBER(I413),I413,30),"")</f>
        <v/>
      </c>
      <c r="K413" s="25">
        <f>IF(H413="","",IF(ISNUMBER(H413),H413-TODAY(),"Check date"))</f>
        <v/>
      </c>
      <c r="L413" s="26">
        <f>IF(K413="","",IF(ISNUMBER(K413),IF(K413&lt;0,"Expired",IF(K413&lt;=30,"Due ≤30 days",IF(K413&lt;=90,"Due ≤90 days","OK"))),"Check date"))</f>
        <v/>
      </c>
      <c r="M413" s="22" t="n"/>
      <c r="N413" s="24">
        <f>IF(ISNUMBER(M413),DATE(YEAR(M413)+2,MONTH(M413),DAY(M413)),"")</f>
        <v/>
      </c>
      <c r="O413" s="21" t="n"/>
      <c r="P413" s="21" t="n"/>
      <c r="Q413" s="21" t="n"/>
    </row>
    <row r="414">
      <c r="A414" s="21" t="n"/>
      <c r="B414" s="21" t="n"/>
      <c r="C414" s="22" t="n"/>
      <c r="D414" s="21" t="n"/>
      <c r="E414" s="21" t="n"/>
      <c r="F414" s="22" t="n"/>
      <c r="G414" s="21" t="n"/>
      <c r="H414" s="22" t="n"/>
      <c r="I414" s="23" t="n"/>
      <c r="J414" s="24">
        <f>IF(ISNUMBER(H414),H414-IF(ISNUMBER(I414),I414,30),"")</f>
        <v/>
      </c>
      <c r="K414" s="25">
        <f>IF(H414="","",IF(ISNUMBER(H414),H414-TODAY(),"Check date"))</f>
        <v/>
      </c>
      <c r="L414" s="26">
        <f>IF(K414="","",IF(ISNUMBER(K414),IF(K414&lt;0,"Expired",IF(K414&lt;=30,"Due ≤30 days",IF(K414&lt;=90,"Due ≤90 days","OK"))),"Check date"))</f>
        <v/>
      </c>
      <c r="M414" s="22" t="n"/>
      <c r="N414" s="24">
        <f>IF(ISNUMBER(M414),DATE(YEAR(M414)+2,MONTH(M414),DAY(M414)),"")</f>
        <v/>
      </c>
      <c r="O414" s="21" t="n"/>
      <c r="P414" s="21" t="n"/>
      <c r="Q414" s="21" t="n"/>
    </row>
    <row r="415">
      <c r="A415" s="21" t="n"/>
      <c r="B415" s="21" t="n"/>
      <c r="C415" s="22" t="n"/>
      <c r="D415" s="21" t="n"/>
      <c r="E415" s="21" t="n"/>
      <c r="F415" s="22" t="n"/>
      <c r="G415" s="21" t="n"/>
      <c r="H415" s="22" t="n"/>
      <c r="I415" s="23" t="n"/>
      <c r="J415" s="24">
        <f>IF(ISNUMBER(H415),H415-IF(ISNUMBER(I415),I415,30),"")</f>
        <v/>
      </c>
      <c r="K415" s="25">
        <f>IF(H415="","",IF(ISNUMBER(H415),H415-TODAY(),"Check date"))</f>
        <v/>
      </c>
      <c r="L415" s="26">
        <f>IF(K415="","",IF(ISNUMBER(K415),IF(K415&lt;0,"Expired",IF(K415&lt;=30,"Due ≤30 days",IF(K415&lt;=90,"Due ≤90 days","OK"))),"Check date"))</f>
        <v/>
      </c>
      <c r="M415" s="22" t="n"/>
      <c r="N415" s="24">
        <f>IF(ISNUMBER(M415),DATE(YEAR(M415)+2,MONTH(M415),DAY(M415)),"")</f>
        <v/>
      </c>
      <c r="O415" s="21" t="n"/>
      <c r="P415" s="21" t="n"/>
      <c r="Q415" s="21" t="n"/>
    </row>
    <row r="416">
      <c r="A416" s="21" t="n"/>
      <c r="B416" s="21" t="n"/>
      <c r="C416" s="22" t="n"/>
      <c r="D416" s="21" t="n"/>
      <c r="E416" s="21" t="n"/>
      <c r="F416" s="22" t="n"/>
      <c r="G416" s="21" t="n"/>
      <c r="H416" s="22" t="n"/>
      <c r="I416" s="23" t="n"/>
      <c r="J416" s="24">
        <f>IF(ISNUMBER(H416),H416-IF(ISNUMBER(I416),I416,30),"")</f>
        <v/>
      </c>
      <c r="K416" s="25">
        <f>IF(H416="","",IF(ISNUMBER(H416),H416-TODAY(),"Check date"))</f>
        <v/>
      </c>
      <c r="L416" s="26">
        <f>IF(K416="","",IF(ISNUMBER(K416),IF(K416&lt;0,"Expired",IF(K416&lt;=30,"Due ≤30 days",IF(K416&lt;=90,"Due ≤90 days","OK"))),"Check date"))</f>
        <v/>
      </c>
      <c r="M416" s="22" t="n"/>
      <c r="N416" s="24">
        <f>IF(ISNUMBER(M416),DATE(YEAR(M416)+2,MONTH(M416),DAY(M416)),"")</f>
        <v/>
      </c>
      <c r="O416" s="21" t="n"/>
      <c r="P416" s="21" t="n"/>
      <c r="Q416" s="21" t="n"/>
    </row>
    <row r="417">
      <c r="A417" s="21" t="n"/>
      <c r="B417" s="21" t="n"/>
      <c r="C417" s="22" t="n"/>
      <c r="D417" s="21" t="n"/>
      <c r="E417" s="21" t="n"/>
      <c r="F417" s="22" t="n"/>
      <c r="G417" s="21" t="n"/>
      <c r="H417" s="22" t="n"/>
      <c r="I417" s="23" t="n"/>
      <c r="J417" s="24">
        <f>IF(ISNUMBER(H417),H417-IF(ISNUMBER(I417),I417,30),"")</f>
        <v/>
      </c>
      <c r="K417" s="25">
        <f>IF(H417="","",IF(ISNUMBER(H417),H417-TODAY(),"Check date"))</f>
        <v/>
      </c>
      <c r="L417" s="26">
        <f>IF(K417="","",IF(ISNUMBER(K417),IF(K417&lt;0,"Expired",IF(K417&lt;=30,"Due ≤30 days",IF(K417&lt;=90,"Due ≤90 days","OK"))),"Check date"))</f>
        <v/>
      </c>
      <c r="M417" s="22" t="n"/>
      <c r="N417" s="24">
        <f>IF(ISNUMBER(M417),DATE(YEAR(M417)+2,MONTH(M417),DAY(M417)),"")</f>
        <v/>
      </c>
      <c r="O417" s="21" t="n"/>
      <c r="P417" s="21" t="n"/>
      <c r="Q417" s="21" t="n"/>
    </row>
    <row r="418">
      <c r="A418" s="21" t="n"/>
      <c r="B418" s="21" t="n"/>
      <c r="C418" s="22" t="n"/>
      <c r="D418" s="21" t="n"/>
      <c r="E418" s="21" t="n"/>
      <c r="F418" s="22" t="n"/>
      <c r="G418" s="21" t="n"/>
      <c r="H418" s="22" t="n"/>
      <c r="I418" s="23" t="n"/>
      <c r="J418" s="24">
        <f>IF(ISNUMBER(H418),H418-IF(ISNUMBER(I418),I418,30),"")</f>
        <v/>
      </c>
      <c r="K418" s="25">
        <f>IF(H418="","",IF(ISNUMBER(H418),H418-TODAY(),"Check date"))</f>
        <v/>
      </c>
      <c r="L418" s="26">
        <f>IF(K418="","",IF(ISNUMBER(K418),IF(K418&lt;0,"Expired",IF(K418&lt;=30,"Due ≤30 days",IF(K418&lt;=90,"Due ≤90 days","OK"))),"Check date"))</f>
        <v/>
      </c>
      <c r="M418" s="22" t="n"/>
      <c r="N418" s="24">
        <f>IF(ISNUMBER(M418),DATE(YEAR(M418)+2,MONTH(M418),DAY(M418)),"")</f>
        <v/>
      </c>
      <c r="O418" s="21" t="n"/>
      <c r="P418" s="21" t="n"/>
      <c r="Q418" s="21" t="n"/>
    </row>
    <row r="419">
      <c r="A419" s="21" t="n"/>
      <c r="B419" s="21" t="n"/>
      <c r="C419" s="22" t="n"/>
      <c r="D419" s="21" t="n"/>
      <c r="E419" s="21" t="n"/>
      <c r="F419" s="22" t="n"/>
      <c r="G419" s="21" t="n"/>
      <c r="H419" s="22" t="n"/>
      <c r="I419" s="23" t="n"/>
      <c r="J419" s="24">
        <f>IF(ISNUMBER(H419),H419-IF(ISNUMBER(I419),I419,30),"")</f>
        <v/>
      </c>
      <c r="K419" s="25">
        <f>IF(H419="","",IF(ISNUMBER(H419),H419-TODAY(),"Check date"))</f>
        <v/>
      </c>
      <c r="L419" s="26">
        <f>IF(K419="","",IF(ISNUMBER(K419),IF(K419&lt;0,"Expired",IF(K419&lt;=30,"Due ≤30 days",IF(K419&lt;=90,"Due ≤90 days","OK"))),"Check date"))</f>
        <v/>
      </c>
      <c r="M419" s="22" t="n"/>
      <c r="N419" s="24">
        <f>IF(ISNUMBER(M419),DATE(YEAR(M419)+2,MONTH(M419),DAY(M419)),"")</f>
        <v/>
      </c>
      <c r="O419" s="21" t="n"/>
      <c r="P419" s="21" t="n"/>
      <c r="Q419" s="21" t="n"/>
    </row>
    <row r="420">
      <c r="A420" s="21" t="n"/>
      <c r="B420" s="21" t="n"/>
      <c r="C420" s="22" t="n"/>
      <c r="D420" s="21" t="n"/>
      <c r="E420" s="21" t="n"/>
      <c r="F420" s="22" t="n"/>
      <c r="G420" s="21" t="n"/>
      <c r="H420" s="22" t="n"/>
      <c r="I420" s="23" t="n"/>
      <c r="J420" s="24">
        <f>IF(ISNUMBER(H420),H420-IF(ISNUMBER(I420),I420,30),"")</f>
        <v/>
      </c>
      <c r="K420" s="25">
        <f>IF(H420="","",IF(ISNUMBER(H420),H420-TODAY(),"Check date"))</f>
        <v/>
      </c>
      <c r="L420" s="26">
        <f>IF(K420="","",IF(ISNUMBER(K420),IF(K420&lt;0,"Expired",IF(K420&lt;=30,"Due ≤30 days",IF(K420&lt;=90,"Due ≤90 days","OK"))),"Check date"))</f>
        <v/>
      </c>
      <c r="M420" s="22" t="n"/>
      <c r="N420" s="24">
        <f>IF(ISNUMBER(M420),DATE(YEAR(M420)+2,MONTH(M420),DAY(M420)),"")</f>
        <v/>
      </c>
      <c r="O420" s="21" t="n"/>
      <c r="P420" s="21" t="n"/>
      <c r="Q420" s="21" t="n"/>
    </row>
    <row r="421">
      <c r="A421" s="21" t="n"/>
      <c r="B421" s="21" t="n"/>
      <c r="C421" s="22" t="n"/>
      <c r="D421" s="21" t="n"/>
      <c r="E421" s="21" t="n"/>
      <c r="F421" s="22" t="n"/>
      <c r="G421" s="21" t="n"/>
      <c r="H421" s="22" t="n"/>
      <c r="I421" s="23" t="n"/>
      <c r="J421" s="24">
        <f>IF(ISNUMBER(H421),H421-IF(ISNUMBER(I421),I421,30),"")</f>
        <v/>
      </c>
      <c r="K421" s="25">
        <f>IF(H421="","",IF(ISNUMBER(H421),H421-TODAY(),"Check date"))</f>
        <v/>
      </c>
      <c r="L421" s="26">
        <f>IF(K421="","",IF(ISNUMBER(K421),IF(K421&lt;0,"Expired",IF(K421&lt;=30,"Due ≤30 days",IF(K421&lt;=90,"Due ≤90 days","OK"))),"Check date"))</f>
        <v/>
      </c>
      <c r="M421" s="22" t="n"/>
      <c r="N421" s="24">
        <f>IF(ISNUMBER(M421),DATE(YEAR(M421)+2,MONTH(M421),DAY(M421)),"")</f>
        <v/>
      </c>
      <c r="O421" s="21" t="n"/>
      <c r="P421" s="21" t="n"/>
      <c r="Q421" s="21" t="n"/>
    </row>
    <row r="422">
      <c r="A422" s="21" t="n"/>
      <c r="B422" s="21" t="n"/>
      <c r="C422" s="22" t="n"/>
      <c r="D422" s="21" t="n"/>
      <c r="E422" s="21" t="n"/>
      <c r="F422" s="22" t="n"/>
      <c r="G422" s="21" t="n"/>
      <c r="H422" s="22" t="n"/>
      <c r="I422" s="23" t="n"/>
      <c r="J422" s="24">
        <f>IF(ISNUMBER(H422),H422-IF(ISNUMBER(I422),I422,30),"")</f>
        <v/>
      </c>
      <c r="K422" s="25">
        <f>IF(H422="","",IF(ISNUMBER(H422),H422-TODAY(),"Check date"))</f>
        <v/>
      </c>
      <c r="L422" s="26">
        <f>IF(K422="","",IF(ISNUMBER(K422),IF(K422&lt;0,"Expired",IF(K422&lt;=30,"Due ≤30 days",IF(K422&lt;=90,"Due ≤90 days","OK"))),"Check date"))</f>
        <v/>
      </c>
      <c r="M422" s="22" t="n"/>
      <c r="N422" s="24">
        <f>IF(ISNUMBER(M422),DATE(YEAR(M422)+2,MONTH(M422),DAY(M422)),"")</f>
        <v/>
      </c>
      <c r="O422" s="21" t="n"/>
      <c r="P422" s="21" t="n"/>
      <c r="Q422" s="21" t="n"/>
    </row>
    <row r="423">
      <c r="A423" s="21" t="n"/>
      <c r="B423" s="21" t="n"/>
      <c r="C423" s="22" t="n"/>
      <c r="D423" s="21" t="n"/>
      <c r="E423" s="21" t="n"/>
      <c r="F423" s="22" t="n"/>
      <c r="G423" s="21" t="n"/>
      <c r="H423" s="22" t="n"/>
      <c r="I423" s="23" t="n"/>
      <c r="J423" s="24">
        <f>IF(ISNUMBER(H423),H423-IF(ISNUMBER(I423),I423,30),"")</f>
        <v/>
      </c>
      <c r="K423" s="25">
        <f>IF(H423="","",IF(ISNUMBER(H423),H423-TODAY(),"Check date"))</f>
        <v/>
      </c>
      <c r="L423" s="26">
        <f>IF(K423="","",IF(ISNUMBER(K423),IF(K423&lt;0,"Expired",IF(K423&lt;=30,"Due ≤30 days",IF(K423&lt;=90,"Due ≤90 days","OK"))),"Check date"))</f>
        <v/>
      </c>
      <c r="M423" s="22" t="n"/>
      <c r="N423" s="24">
        <f>IF(ISNUMBER(M423),DATE(YEAR(M423)+2,MONTH(M423),DAY(M423)),"")</f>
        <v/>
      </c>
      <c r="O423" s="21" t="n"/>
      <c r="P423" s="21" t="n"/>
      <c r="Q423" s="21" t="n"/>
    </row>
    <row r="424">
      <c r="A424" s="21" t="n"/>
      <c r="B424" s="21" t="n"/>
      <c r="C424" s="22" t="n"/>
      <c r="D424" s="21" t="n"/>
      <c r="E424" s="21" t="n"/>
      <c r="F424" s="22" t="n"/>
      <c r="G424" s="21" t="n"/>
      <c r="H424" s="22" t="n"/>
      <c r="I424" s="23" t="n"/>
      <c r="J424" s="24">
        <f>IF(ISNUMBER(H424),H424-IF(ISNUMBER(I424),I424,30),"")</f>
        <v/>
      </c>
      <c r="K424" s="25">
        <f>IF(H424="","",IF(ISNUMBER(H424),H424-TODAY(),"Check date"))</f>
        <v/>
      </c>
      <c r="L424" s="26">
        <f>IF(K424="","",IF(ISNUMBER(K424),IF(K424&lt;0,"Expired",IF(K424&lt;=30,"Due ≤30 days",IF(K424&lt;=90,"Due ≤90 days","OK"))),"Check date"))</f>
        <v/>
      </c>
      <c r="M424" s="22" t="n"/>
      <c r="N424" s="24">
        <f>IF(ISNUMBER(M424),DATE(YEAR(M424)+2,MONTH(M424),DAY(M424)),"")</f>
        <v/>
      </c>
      <c r="O424" s="21" t="n"/>
      <c r="P424" s="21" t="n"/>
      <c r="Q424" s="21" t="n"/>
    </row>
    <row r="425">
      <c r="A425" s="21" t="n"/>
      <c r="B425" s="21" t="n"/>
      <c r="C425" s="22" t="n"/>
      <c r="D425" s="21" t="n"/>
      <c r="E425" s="21" t="n"/>
      <c r="F425" s="22" t="n"/>
      <c r="G425" s="21" t="n"/>
      <c r="H425" s="22" t="n"/>
      <c r="I425" s="23" t="n"/>
      <c r="J425" s="24">
        <f>IF(ISNUMBER(H425),H425-IF(ISNUMBER(I425),I425,30),"")</f>
        <v/>
      </c>
      <c r="K425" s="25">
        <f>IF(H425="","",IF(ISNUMBER(H425),H425-TODAY(),"Check date"))</f>
        <v/>
      </c>
      <c r="L425" s="26">
        <f>IF(K425="","",IF(ISNUMBER(K425),IF(K425&lt;0,"Expired",IF(K425&lt;=30,"Due ≤30 days",IF(K425&lt;=90,"Due ≤90 days","OK"))),"Check date"))</f>
        <v/>
      </c>
      <c r="M425" s="22" t="n"/>
      <c r="N425" s="24">
        <f>IF(ISNUMBER(M425),DATE(YEAR(M425)+2,MONTH(M425),DAY(M425)),"")</f>
        <v/>
      </c>
      <c r="O425" s="21" t="n"/>
      <c r="P425" s="21" t="n"/>
      <c r="Q425" s="21" t="n"/>
    </row>
    <row r="426">
      <c r="A426" s="21" t="n"/>
      <c r="B426" s="21" t="n"/>
      <c r="C426" s="22" t="n"/>
      <c r="D426" s="21" t="n"/>
      <c r="E426" s="21" t="n"/>
      <c r="F426" s="22" t="n"/>
      <c r="G426" s="21" t="n"/>
      <c r="H426" s="22" t="n"/>
      <c r="I426" s="23" t="n"/>
      <c r="J426" s="24">
        <f>IF(ISNUMBER(H426),H426-IF(ISNUMBER(I426),I426,30),"")</f>
        <v/>
      </c>
      <c r="K426" s="25">
        <f>IF(H426="","",IF(ISNUMBER(H426),H426-TODAY(),"Check date"))</f>
        <v/>
      </c>
      <c r="L426" s="26">
        <f>IF(K426="","",IF(ISNUMBER(K426),IF(K426&lt;0,"Expired",IF(K426&lt;=30,"Due ≤30 days",IF(K426&lt;=90,"Due ≤90 days","OK"))),"Check date"))</f>
        <v/>
      </c>
      <c r="M426" s="22" t="n"/>
      <c r="N426" s="24">
        <f>IF(ISNUMBER(M426),DATE(YEAR(M426)+2,MONTH(M426),DAY(M426)),"")</f>
        <v/>
      </c>
      <c r="O426" s="21" t="n"/>
      <c r="P426" s="21" t="n"/>
      <c r="Q426" s="21" t="n"/>
    </row>
    <row r="427">
      <c r="A427" s="21" t="n"/>
      <c r="B427" s="21" t="n"/>
      <c r="C427" s="22" t="n"/>
      <c r="D427" s="21" t="n"/>
      <c r="E427" s="21" t="n"/>
      <c r="F427" s="22" t="n"/>
      <c r="G427" s="21" t="n"/>
      <c r="H427" s="22" t="n"/>
      <c r="I427" s="23" t="n"/>
      <c r="J427" s="24">
        <f>IF(ISNUMBER(H427),H427-IF(ISNUMBER(I427),I427,30),"")</f>
        <v/>
      </c>
      <c r="K427" s="25">
        <f>IF(H427="","",IF(ISNUMBER(H427),H427-TODAY(),"Check date"))</f>
        <v/>
      </c>
      <c r="L427" s="26">
        <f>IF(K427="","",IF(ISNUMBER(K427),IF(K427&lt;0,"Expired",IF(K427&lt;=30,"Due ≤30 days",IF(K427&lt;=90,"Due ≤90 days","OK"))),"Check date"))</f>
        <v/>
      </c>
      <c r="M427" s="22" t="n"/>
      <c r="N427" s="24">
        <f>IF(ISNUMBER(M427),DATE(YEAR(M427)+2,MONTH(M427),DAY(M427)),"")</f>
        <v/>
      </c>
      <c r="O427" s="21" t="n"/>
      <c r="P427" s="21" t="n"/>
      <c r="Q427" s="21" t="n"/>
    </row>
    <row r="428">
      <c r="A428" s="21" t="n"/>
      <c r="B428" s="21" t="n"/>
      <c r="C428" s="22" t="n"/>
      <c r="D428" s="21" t="n"/>
      <c r="E428" s="21" t="n"/>
      <c r="F428" s="22" t="n"/>
      <c r="G428" s="21" t="n"/>
      <c r="H428" s="22" t="n"/>
      <c r="I428" s="23" t="n"/>
      <c r="J428" s="24">
        <f>IF(ISNUMBER(H428),H428-IF(ISNUMBER(I428),I428,30),"")</f>
        <v/>
      </c>
      <c r="K428" s="25">
        <f>IF(H428="","",IF(ISNUMBER(H428),H428-TODAY(),"Check date"))</f>
        <v/>
      </c>
      <c r="L428" s="26">
        <f>IF(K428="","",IF(ISNUMBER(K428),IF(K428&lt;0,"Expired",IF(K428&lt;=30,"Due ≤30 days",IF(K428&lt;=90,"Due ≤90 days","OK"))),"Check date"))</f>
        <v/>
      </c>
      <c r="M428" s="22" t="n"/>
      <c r="N428" s="24">
        <f>IF(ISNUMBER(M428),DATE(YEAR(M428)+2,MONTH(M428),DAY(M428)),"")</f>
        <v/>
      </c>
      <c r="O428" s="21" t="n"/>
      <c r="P428" s="21" t="n"/>
      <c r="Q428" s="21" t="n"/>
    </row>
    <row r="429">
      <c r="A429" s="21" t="n"/>
      <c r="B429" s="21" t="n"/>
      <c r="C429" s="22" t="n"/>
      <c r="D429" s="21" t="n"/>
      <c r="E429" s="21" t="n"/>
      <c r="F429" s="22" t="n"/>
      <c r="G429" s="21" t="n"/>
      <c r="H429" s="22" t="n"/>
      <c r="I429" s="23" t="n"/>
      <c r="J429" s="24">
        <f>IF(ISNUMBER(H429),H429-IF(ISNUMBER(I429),I429,30),"")</f>
        <v/>
      </c>
      <c r="K429" s="25">
        <f>IF(H429="","",IF(ISNUMBER(H429),H429-TODAY(),"Check date"))</f>
        <v/>
      </c>
      <c r="L429" s="26">
        <f>IF(K429="","",IF(ISNUMBER(K429),IF(K429&lt;0,"Expired",IF(K429&lt;=30,"Due ≤30 days",IF(K429&lt;=90,"Due ≤90 days","OK"))),"Check date"))</f>
        <v/>
      </c>
      <c r="M429" s="22" t="n"/>
      <c r="N429" s="24">
        <f>IF(ISNUMBER(M429),DATE(YEAR(M429)+2,MONTH(M429),DAY(M429)),"")</f>
        <v/>
      </c>
      <c r="O429" s="21" t="n"/>
      <c r="P429" s="21" t="n"/>
      <c r="Q429" s="21" t="n"/>
    </row>
    <row r="430">
      <c r="A430" s="21" t="n"/>
      <c r="B430" s="21" t="n"/>
      <c r="C430" s="22" t="n"/>
      <c r="D430" s="21" t="n"/>
      <c r="E430" s="21" t="n"/>
      <c r="F430" s="22" t="n"/>
      <c r="G430" s="21" t="n"/>
      <c r="H430" s="22" t="n"/>
      <c r="I430" s="23" t="n"/>
      <c r="J430" s="24">
        <f>IF(ISNUMBER(H430),H430-IF(ISNUMBER(I430),I430,30),"")</f>
        <v/>
      </c>
      <c r="K430" s="25">
        <f>IF(H430="","",IF(ISNUMBER(H430),H430-TODAY(),"Check date"))</f>
        <v/>
      </c>
      <c r="L430" s="26">
        <f>IF(K430="","",IF(ISNUMBER(K430),IF(K430&lt;0,"Expired",IF(K430&lt;=30,"Due ≤30 days",IF(K430&lt;=90,"Due ≤90 days","OK"))),"Check date"))</f>
        <v/>
      </c>
      <c r="M430" s="22" t="n"/>
      <c r="N430" s="24">
        <f>IF(ISNUMBER(M430),DATE(YEAR(M430)+2,MONTH(M430),DAY(M430)),"")</f>
        <v/>
      </c>
      <c r="O430" s="21" t="n"/>
      <c r="P430" s="21" t="n"/>
      <c r="Q430" s="21" t="n"/>
    </row>
    <row r="431">
      <c r="A431" s="21" t="n"/>
      <c r="B431" s="21" t="n"/>
      <c r="C431" s="22" t="n"/>
      <c r="D431" s="21" t="n"/>
      <c r="E431" s="21" t="n"/>
      <c r="F431" s="22" t="n"/>
      <c r="G431" s="21" t="n"/>
      <c r="H431" s="22" t="n"/>
      <c r="I431" s="23" t="n"/>
      <c r="J431" s="24">
        <f>IF(ISNUMBER(H431),H431-IF(ISNUMBER(I431),I431,30),"")</f>
        <v/>
      </c>
      <c r="K431" s="25">
        <f>IF(H431="","",IF(ISNUMBER(H431),H431-TODAY(),"Check date"))</f>
        <v/>
      </c>
      <c r="L431" s="26">
        <f>IF(K431="","",IF(ISNUMBER(K431),IF(K431&lt;0,"Expired",IF(K431&lt;=30,"Due ≤30 days",IF(K431&lt;=90,"Due ≤90 days","OK"))),"Check date"))</f>
        <v/>
      </c>
      <c r="M431" s="22" t="n"/>
      <c r="N431" s="24">
        <f>IF(ISNUMBER(M431),DATE(YEAR(M431)+2,MONTH(M431),DAY(M431)),"")</f>
        <v/>
      </c>
      <c r="O431" s="21" t="n"/>
      <c r="P431" s="21" t="n"/>
      <c r="Q431" s="21" t="n"/>
    </row>
    <row r="432">
      <c r="A432" s="21" t="n"/>
      <c r="B432" s="21" t="n"/>
      <c r="C432" s="22" t="n"/>
      <c r="D432" s="21" t="n"/>
      <c r="E432" s="21" t="n"/>
      <c r="F432" s="22" t="n"/>
      <c r="G432" s="21" t="n"/>
      <c r="H432" s="22" t="n"/>
      <c r="I432" s="23" t="n"/>
      <c r="J432" s="24">
        <f>IF(ISNUMBER(H432),H432-IF(ISNUMBER(I432),I432,30),"")</f>
        <v/>
      </c>
      <c r="K432" s="25">
        <f>IF(H432="","",IF(ISNUMBER(H432),H432-TODAY(),"Check date"))</f>
        <v/>
      </c>
      <c r="L432" s="26">
        <f>IF(K432="","",IF(ISNUMBER(K432),IF(K432&lt;0,"Expired",IF(K432&lt;=30,"Due ≤30 days",IF(K432&lt;=90,"Due ≤90 days","OK"))),"Check date"))</f>
        <v/>
      </c>
      <c r="M432" s="22" t="n"/>
      <c r="N432" s="24">
        <f>IF(ISNUMBER(M432),DATE(YEAR(M432)+2,MONTH(M432),DAY(M432)),"")</f>
        <v/>
      </c>
      <c r="O432" s="21" t="n"/>
      <c r="P432" s="21" t="n"/>
      <c r="Q432" s="21" t="n"/>
    </row>
    <row r="433">
      <c r="A433" s="21" t="n"/>
      <c r="B433" s="21" t="n"/>
      <c r="C433" s="22" t="n"/>
      <c r="D433" s="21" t="n"/>
      <c r="E433" s="21" t="n"/>
      <c r="F433" s="22" t="n"/>
      <c r="G433" s="21" t="n"/>
      <c r="H433" s="22" t="n"/>
      <c r="I433" s="23" t="n"/>
      <c r="J433" s="24">
        <f>IF(ISNUMBER(H433),H433-IF(ISNUMBER(I433),I433,30),"")</f>
        <v/>
      </c>
      <c r="K433" s="25">
        <f>IF(H433="","",IF(ISNUMBER(H433),H433-TODAY(),"Check date"))</f>
        <v/>
      </c>
      <c r="L433" s="26">
        <f>IF(K433="","",IF(ISNUMBER(K433),IF(K433&lt;0,"Expired",IF(K433&lt;=30,"Due ≤30 days",IF(K433&lt;=90,"Due ≤90 days","OK"))),"Check date"))</f>
        <v/>
      </c>
      <c r="M433" s="22" t="n"/>
      <c r="N433" s="24">
        <f>IF(ISNUMBER(M433),DATE(YEAR(M433)+2,MONTH(M433),DAY(M433)),"")</f>
        <v/>
      </c>
      <c r="O433" s="21" t="n"/>
      <c r="P433" s="21" t="n"/>
      <c r="Q433" s="21" t="n"/>
    </row>
    <row r="434">
      <c r="A434" s="21" t="n"/>
      <c r="B434" s="21" t="n"/>
      <c r="C434" s="22" t="n"/>
      <c r="D434" s="21" t="n"/>
      <c r="E434" s="21" t="n"/>
      <c r="F434" s="22" t="n"/>
      <c r="G434" s="21" t="n"/>
      <c r="H434" s="22" t="n"/>
      <c r="I434" s="23" t="n"/>
      <c r="J434" s="24">
        <f>IF(ISNUMBER(H434),H434-IF(ISNUMBER(I434),I434,30),"")</f>
        <v/>
      </c>
      <c r="K434" s="25">
        <f>IF(H434="","",IF(ISNUMBER(H434),H434-TODAY(),"Check date"))</f>
        <v/>
      </c>
      <c r="L434" s="26">
        <f>IF(K434="","",IF(ISNUMBER(K434),IF(K434&lt;0,"Expired",IF(K434&lt;=30,"Due ≤30 days",IF(K434&lt;=90,"Due ≤90 days","OK"))),"Check date"))</f>
        <v/>
      </c>
      <c r="M434" s="22" t="n"/>
      <c r="N434" s="24">
        <f>IF(ISNUMBER(M434),DATE(YEAR(M434)+2,MONTH(M434),DAY(M434)),"")</f>
        <v/>
      </c>
      <c r="O434" s="21" t="n"/>
      <c r="P434" s="21" t="n"/>
      <c r="Q434" s="21" t="n"/>
    </row>
    <row r="435">
      <c r="A435" s="21" t="n"/>
      <c r="B435" s="21" t="n"/>
      <c r="C435" s="22" t="n"/>
      <c r="D435" s="21" t="n"/>
      <c r="E435" s="21" t="n"/>
      <c r="F435" s="22" t="n"/>
      <c r="G435" s="21" t="n"/>
      <c r="H435" s="22" t="n"/>
      <c r="I435" s="23" t="n"/>
      <c r="J435" s="24">
        <f>IF(ISNUMBER(H435),H435-IF(ISNUMBER(I435),I435,30),"")</f>
        <v/>
      </c>
      <c r="K435" s="25">
        <f>IF(H435="","",IF(ISNUMBER(H435),H435-TODAY(),"Check date"))</f>
        <v/>
      </c>
      <c r="L435" s="26">
        <f>IF(K435="","",IF(ISNUMBER(K435),IF(K435&lt;0,"Expired",IF(K435&lt;=30,"Due ≤30 days",IF(K435&lt;=90,"Due ≤90 days","OK"))),"Check date"))</f>
        <v/>
      </c>
      <c r="M435" s="22" t="n"/>
      <c r="N435" s="24">
        <f>IF(ISNUMBER(M435),DATE(YEAR(M435)+2,MONTH(M435),DAY(M435)),"")</f>
        <v/>
      </c>
      <c r="O435" s="21" t="n"/>
      <c r="P435" s="21" t="n"/>
      <c r="Q435" s="21" t="n"/>
    </row>
    <row r="436">
      <c r="A436" s="21" t="n"/>
      <c r="B436" s="21" t="n"/>
      <c r="C436" s="22" t="n"/>
      <c r="D436" s="21" t="n"/>
      <c r="E436" s="21" t="n"/>
      <c r="F436" s="22" t="n"/>
      <c r="G436" s="21" t="n"/>
      <c r="H436" s="22" t="n"/>
      <c r="I436" s="23" t="n"/>
      <c r="J436" s="24">
        <f>IF(ISNUMBER(H436),H436-IF(ISNUMBER(I436),I436,30),"")</f>
        <v/>
      </c>
      <c r="K436" s="25">
        <f>IF(H436="","",IF(ISNUMBER(H436),H436-TODAY(),"Check date"))</f>
        <v/>
      </c>
      <c r="L436" s="26">
        <f>IF(K436="","",IF(ISNUMBER(K436),IF(K436&lt;0,"Expired",IF(K436&lt;=30,"Due ≤30 days",IF(K436&lt;=90,"Due ≤90 days","OK"))),"Check date"))</f>
        <v/>
      </c>
      <c r="M436" s="22" t="n"/>
      <c r="N436" s="24">
        <f>IF(ISNUMBER(M436),DATE(YEAR(M436)+2,MONTH(M436),DAY(M436)),"")</f>
        <v/>
      </c>
      <c r="O436" s="21" t="n"/>
      <c r="P436" s="21" t="n"/>
      <c r="Q436" s="21" t="n"/>
    </row>
    <row r="437">
      <c r="A437" s="21" t="n"/>
      <c r="B437" s="21" t="n"/>
      <c r="C437" s="22" t="n"/>
      <c r="D437" s="21" t="n"/>
      <c r="E437" s="21" t="n"/>
      <c r="F437" s="22" t="n"/>
      <c r="G437" s="21" t="n"/>
      <c r="H437" s="22" t="n"/>
      <c r="I437" s="23" t="n"/>
      <c r="J437" s="24">
        <f>IF(ISNUMBER(H437),H437-IF(ISNUMBER(I437),I437,30),"")</f>
        <v/>
      </c>
      <c r="K437" s="25">
        <f>IF(H437="","",IF(ISNUMBER(H437),H437-TODAY(),"Check date"))</f>
        <v/>
      </c>
      <c r="L437" s="26">
        <f>IF(K437="","",IF(ISNUMBER(K437),IF(K437&lt;0,"Expired",IF(K437&lt;=30,"Due ≤30 days",IF(K437&lt;=90,"Due ≤90 days","OK"))),"Check date"))</f>
        <v/>
      </c>
      <c r="M437" s="22" t="n"/>
      <c r="N437" s="24">
        <f>IF(ISNUMBER(M437),DATE(YEAR(M437)+2,MONTH(M437),DAY(M437)),"")</f>
        <v/>
      </c>
      <c r="O437" s="21" t="n"/>
      <c r="P437" s="21" t="n"/>
      <c r="Q437" s="21" t="n"/>
    </row>
    <row r="438">
      <c r="A438" s="21" t="n"/>
      <c r="B438" s="21" t="n"/>
      <c r="C438" s="22" t="n"/>
      <c r="D438" s="21" t="n"/>
      <c r="E438" s="21" t="n"/>
      <c r="F438" s="22" t="n"/>
      <c r="G438" s="21" t="n"/>
      <c r="H438" s="22" t="n"/>
      <c r="I438" s="23" t="n"/>
      <c r="J438" s="24">
        <f>IF(ISNUMBER(H438),H438-IF(ISNUMBER(I438),I438,30),"")</f>
        <v/>
      </c>
      <c r="K438" s="25">
        <f>IF(H438="","",IF(ISNUMBER(H438),H438-TODAY(),"Check date"))</f>
        <v/>
      </c>
      <c r="L438" s="26">
        <f>IF(K438="","",IF(ISNUMBER(K438),IF(K438&lt;0,"Expired",IF(K438&lt;=30,"Due ≤30 days",IF(K438&lt;=90,"Due ≤90 days","OK"))),"Check date"))</f>
        <v/>
      </c>
      <c r="M438" s="22" t="n"/>
      <c r="N438" s="24">
        <f>IF(ISNUMBER(M438),DATE(YEAR(M438)+2,MONTH(M438),DAY(M438)),"")</f>
        <v/>
      </c>
      <c r="O438" s="21" t="n"/>
      <c r="P438" s="21" t="n"/>
      <c r="Q438" s="21" t="n"/>
    </row>
    <row r="439">
      <c r="A439" s="21" t="n"/>
      <c r="B439" s="21" t="n"/>
      <c r="C439" s="22" t="n"/>
      <c r="D439" s="21" t="n"/>
      <c r="E439" s="21" t="n"/>
      <c r="F439" s="22" t="n"/>
      <c r="G439" s="21" t="n"/>
      <c r="H439" s="22" t="n"/>
      <c r="I439" s="23" t="n"/>
      <c r="J439" s="24">
        <f>IF(ISNUMBER(H439),H439-IF(ISNUMBER(I439),I439,30),"")</f>
        <v/>
      </c>
      <c r="K439" s="25">
        <f>IF(H439="","",IF(ISNUMBER(H439),H439-TODAY(),"Check date"))</f>
        <v/>
      </c>
      <c r="L439" s="26">
        <f>IF(K439="","",IF(ISNUMBER(K439),IF(K439&lt;0,"Expired",IF(K439&lt;=30,"Due ≤30 days",IF(K439&lt;=90,"Due ≤90 days","OK"))),"Check date"))</f>
        <v/>
      </c>
      <c r="M439" s="22" t="n"/>
      <c r="N439" s="24">
        <f>IF(ISNUMBER(M439),DATE(YEAR(M439)+2,MONTH(M439),DAY(M439)),"")</f>
        <v/>
      </c>
      <c r="O439" s="21" t="n"/>
      <c r="P439" s="21" t="n"/>
      <c r="Q439" s="21" t="n"/>
    </row>
    <row r="440">
      <c r="A440" s="21" t="n"/>
      <c r="B440" s="21" t="n"/>
      <c r="C440" s="22" t="n"/>
      <c r="D440" s="21" t="n"/>
      <c r="E440" s="21" t="n"/>
      <c r="F440" s="22" t="n"/>
      <c r="G440" s="21" t="n"/>
      <c r="H440" s="22" t="n"/>
      <c r="I440" s="23" t="n"/>
      <c r="J440" s="24">
        <f>IF(ISNUMBER(H440),H440-IF(ISNUMBER(I440),I440,30),"")</f>
        <v/>
      </c>
      <c r="K440" s="25">
        <f>IF(H440="","",IF(ISNUMBER(H440),H440-TODAY(),"Check date"))</f>
        <v/>
      </c>
      <c r="L440" s="26">
        <f>IF(K440="","",IF(ISNUMBER(K440),IF(K440&lt;0,"Expired",IF(K440&lt;=30,"Due ≤30 days",IF(K440&lt;=90,"Due ≤90 days","OK"))),"Check date"))</f>
        <v/>
      </c>
      <c r="M440" s="22" t="n"/>
      <c r="N440" s="24">
        <f>IF(ISNUMBER(M440),DATE(YEAR(M440)+2,MONTH(M440),DAY(M440)),"")</f>
        <v/>
      </c>
      <c r="O440" s="21" t="n"/>
      <c r="P440" s="21" t="n"/>
      <c r="Q440" s="21" t="n"/>
    </row>
    <row r="441">
      <c r="A441" s="21" t="n"/>
      <c r="B441" s="21" t="n"/>
      <c r="C441" s="22" t="n"/>
      <c r="D441" s="21" t="n"/>
      <c r="E441" s="21" t="n"/>
      <c r="F441" s="22" t="n"/>
      <c r="G441" s="21" t="n"/>
      <c r="H441" s="22" t="n"/>
      <c r="I441" s="23" t="n"/>
      <c r="J441" s="24">
        <f>IF(ISNUMBER(H441),H441-IF(ISNUMBER(I441),I441,30),"")</f>
        <v/>
      </c>
      <c r="K441" s="25">
        <f>IF(H441="","",IF(ISNUMBER(H441),H441-TODAY(),"Check date"))</f>
        <v/>
      </c>
      <c r="L441" s="26">
        <f>IF(K441="","",IF(ISNUMBER(K441),IF(K441&lt;0,"Expired",IF(K441&lt;=30,"Due ≤30 days",IF(K441&lt;=90,"Due ≤90 days","OK"))),"Check date"))</f>
        <v/>
      </c>
      <c r="M441" s="22" t="n"/>
      <c r="N441" s="24">
        <f>IF(ISNUMBER(M441),DATE(YEAR(M441)+2,MONTH(M441),DAY(M441)),"")</f>
        <v/>
      </c>
      <c r="O441" s="21" t="n"/>
      <c r="P441" s="21" t="n"/>
      <c r="Q441" s="21" t="n"/>
    </row>
    <row r="442">
      <c r="A442" s="21" t="n"/>
      <c r="B442" s="21" t="n"/>
      <c r="C442" s="22" t="n"/>
      <c r="D442" s="21" t="n"/>
      <c r="E442" s="21" t="n"/>
      <c r="F442" s="22" t="n"/>
      <c r="G442" s="21" t="n"/>
      <c r="H442" s="22" t="n"/>
      <c r="I442" s="23" t="n"/>
      <c r="J442" s="24">
        <f>IF(ISNUMBER(H442),H442-IF(ISNUMBER(I442),I442,30),"")</f>
        <v/>
      </c>
      <c r="K442" s="25">
        <f>IF(H442="","",IF(ISNUMBER(H442),H442-TODAY(),"Check date"))</f>
        <v/>
      </c>
      <c r="L442" s="26">
        <f>IF(K442="","",IF(ISNUMBER(K442),IF(K442&lt;0,"Expired",IF(K442&lt;=30,"Due ≤30 days",IF(K442&lt;=90,"Due ≤90 days","OK"))),"Check date"))</f>
        <v/>
      </c>
      <c r="M442" s="22" t="n"/>
      <c r="N442" s="24">
        <f>IF(ISNUMBER(M442),DATE(YEAR(M442)+2,MONTH(M442),DAY(M442)),"")</f>
        <v/>
      </c>
      <c r="O442" s="21" t="n"/>
      <c r="P442" s="21" t="n"/>
      <c r="Q442" s="21" t="n"/>
    </row>
    <row r="443">
      <c r="A443" s="21" t="n"/>
      <c r="B443" s="21" t="n"/>
      <c r="C443" s="22" t="n"/>
      <c r="D443" s="21" t="n"/>
      <c r="E443" s="21" t="n"/>
      <c r="F443" s="22" t="n"/>
      <c r="G443" s="21" t="n"/>
      <c r="H443" s="22" t="n"/>
      <c r="I443" s="23" t="n"/>
      <c r="J443" s="24">
        <f>IF(ISNUMBER(H443),H443-IF(ISNUMBER(I443),I443,30),"")</f>
        <v/>
      </c>
      <c r="K443" s="25">
        <f>IF(H443="","",IF(ISNUMBER(H443),H443-TODAY(),"Check date"))</f>
        <v/>
      </c>
      <c r="L443" s="26">
        <f>IF(K443="","",IF(ISNUMBER(K443),IF(K443&lt;0,"Expired",IF(K443&lt;=30,"Due ≤30 days",IF(K443&lt;=90,"Due ≤90 days","OK"))),"Check date"))</f>
        <v/>
      </c>
      <c r="M443" s="22" t="n"/>
      <c r="N443" s="24">
        <f>IF(ISNUMBER(M443),DATE(YEAR(M443)+2,MONTH(M443),DAY(M443)),"")</f>
        <v/>
      </c>
      <c r="O443" s="21" t="n"/>
      <c r="P443" s="21" t="n"/>
      <c r="Q443" s="21" t="n"/>
    </row>
    <row r="444">
      <c r="A444" s="21" t="n"/>
      <c r="B444" s="21" t="n"/>
      <c r="C444" s="22" t="n"/>
      <c r="D444" s="21" t="n"/>
      <c r="E444" s="21" t="n"/>
      <c r="F444" s="22" t="n"/>
      <c r="G444" s="21" t="n"/>
      <c r="H444" s="22" t="n"/>
      <c r="I444" s="23" t="n"/>
      <c r="J444" s="24">
        <f>IF(ISNUMBER(H444),H444-IF(ISNUMBER(I444),I444,30),"")</f>
        <v/>
      </c>
      <c r="K444" s="25">
        <f>IF(H444="","",IF(ISNUMBER(H444),H444-TODAY(),"Check date"))</f>
        <v/>
      </c>
      <c r="L444" s="26">
        <f>IF(K444="","",IF(ISNUMBER(K444),IF(K444&lt;0,"Expired",IF(K444&lt;=30,"Due ≤30 days",IF(K444&lt;=90,"Due ≤90 days","OK"))),"Check date"))</f>
        <v/>
      </c>
      <c r="M444" s="22" t="n"/>
      <c r="N444" s="24">
        <f>IF(ISNUMBER(M444),DATE(YEAR(M444)+2,MONTH(M444),DAY(M444)),"")</f>
        <v/>
      </c>
      <c r="O444" s="21" t="n"/>
      <c r="P444" s="21" t="n"/>
      <c r="Q444" s="21" t="n"/>
    </row>
    <row r="445">
      <c r="A445" s="21" t="n"/>
      <c r="B445" s="21" t="n"/>
      <c r="C445" s="22" t="n"/>
      <c r="D445" s="21" t="n"/>
      <c r="E445" s="21" t="n"/>
      <c r="F445" s="22" t="n"/>
      <c r="G445" s="21" t="n"/>
      <c r="H445" s="22" t="n"/>
      <c r="I445" s="23" t="n"/>
      <c r="J445" s="24">
        <f>IF(ISNUMBER(H445),H445-IF(ISNUMBER(I445),I445,30),"")</f>
        <v/>
      </c>
      <c r="K445" s="25">
        <f>IF(H445="","",IF(ISNUMBER(H445),H445-TODAY(),"Check date"))</f>
        <v/>
      </c>
      <c r="L445" s="26">
        <f>IF(K445="","",IF(ISNUMBER(K445),IF(K445&lt;0,"Expired",IF(K445&lt;=30,"Due ≤30 days",IF(K445&lt;=90,"Due ≤90 days","OK"))),"Check date"))</f>
        <v/>
      </c>
      <c r="M445" s="22" t="n"/>
      <c r="N445" s="24">
        <f>IF(ISNUMBER(M445),DATE(YEAR(M445)+2,MONTH(M445),DAY(M445)),"")</f>
        <v/>
      </c>
      <c r="O445" s="21" t="n"/>
      <c r="P445" s="21" t="n"/>
      <c r="Q445" s="21" t="n"/>
    </row>
    <row r="446">
      <c r="A446" s="21" t="n"/>
      <c r="B446" s="21" t="n"/>
      <c r="C446" s="22" t="n"/>
      <c r="D446" s="21" t="n"/>
      <c r="E446" s="21" t="n"/>
      <c r="F446" s="22" t="n"/>
      <c r="G446" s="21" t="n"/>
      <c r="H446" s="22" t="n"/>
      <c r="I446" s="23" t="n"/>
      <c r="J446" s="24">
        <f>IF(ISNUMBER(H446),H446-IF(ISNUMBER(I446),I446,30),"")</f>
        <v/>
      </c>
      <c r="K446" s="25">
        <f>IF(H446="","",IF(ISNUMBER(H446),H446-TODAY(),"Check date"))</f>
        <v/>
      </c>
      <c r="L446" s="26">
        <f>IF(K446="","",IF(ISNUMBER(K446),IF(K446&lt;0,"Expired",IF(K446&lt;=30,"Due ≤30 days",IF(K446&lt;=90,"Due ≤90 days","OK"))),"Check date"))</f>
        <v/>
      </c>
      <c r="M446" s="22" t="n"/>
      <c r="N446" s="24">
        <f>IF(ISNUMBER(M446),DATE(YEAR(M446)+2,MONTH(M446),DAY(M446)),"")</f>
        <v/>
      </c>
      <c r="O446" s="21" t="n"/>
      <c r="P446" s="21" t="n"/>
      <c r="Q446" s="21" t="n"/>
    </row>
    <row r="447">
      <c r="A447" s="21" t="n"/>
      <c r="B447" s="21" t="n"/>
      <c r="C447" s="22" t="n"/>
      <c r="D447" s="21" t="n"/>
      <c r="E447" s="21" t="n"/>
      <c r="F447" s="22" t="n"/>
      <c r="G447" s="21" t="n"/>
      <c r="H447" s="22" t="n"/>
      <c r="I447" s="23" t="n"/>
      <c r="J447" s="24">
        <f>IF(ISNUMBER(H447),H447-IF(ISNUMBER(I447),I447,30),"")</f>
        <v/>
      </c>
      <c r="K447" s="25">
        <f>IF(H447="","",IF(ISNUMBER(H447),H447-TODAY(),"Check date"))</f>
        <v/>
      </c>
      <c r="L447" s="26">
        <f>IF(K447="","",IF(ISNUMBER(K447),IF(K447&lt;0,"Expired",IF(K447&lt;=30,"Due ≤30 days",IF(K447&lt;=90,"Due ≤90 days","OK"))),"Check date"))</f>
        <v/>
      </c>
      <c r="M447" s="22" t="n"/>
      <c r="N447" s="24">
        <f>IF(ISNUMBER(M447),DATE(YEAR(M447)+2,MONTH(M447),DAY(M447)),"")</f>
        <v/>
      </c>
      <c r="O447" s="21" t="n"/>
      <c r="P447" s="21" t="n"/>
      <c r="Q447" s="21" t="n"/>
    </row>
    <row r="448">
      <c r="A448" s="21" t="n"/>
      <c r="B448" s="21" t="n"/>
      <c r="C448" s="22" t="n"/>
      <c r="D448" s="21" t="n"/>
      <c r="E448" s="21" t="n"/>
      <c r="F448" s="22" t="n"/>
      <c r="G448" s="21" t="n"/>
      <c r="H448" s="22" t="n"/>
      <c r="I448" s="23" t="n"/>
      <c r="J448" s="24">
        <f>IF(ISNUMBER(H448),H448-IF(ISNUMBER(I448),I448,30),"")</f>
        <v/>
      </c>
      <c r="K448" s="25">
        <f>IF(H448="","",IF(ISNUMBER(H448),H448-TODAY(),"Check date"))</f>
        <v/>
      </c>
      <c r="L448" s="26">
        <f>IF(K448="","",IF(ISNUMBER(K448),IF(K448&lt;0,"Expired",IF(K448&lt;=30,"Due ≤30 days",IF(K448&lt;=90,"Due ≤90 days","OK"))),"Check date"))</f>
        <v/>
      </c>
      <c r="M448" s="22" t="n"/>
      <c r="N448" s="24">
        <f>IF(ISNUMBER(M448),DATE(YEAR(M448)+2,MONTH(M448),DAY(M448)),"")</f>
        <v/>
      </c>
      <c r="O448" s="21" t="n"/>
      <c r="P448" s="21" t="n"/>
      <c r="Q448" s="21" t="n"/>
    </row>
    <row r="449">
      <c r="A449" s="21" t="n"/>
      <c r="B449" s="21" t="n"/>
      <c r="C449" s="22" t="n"/>
      <c r="D449" s="21" t="n"/>
      <c r="E449" s="21" t="n"/>
      <c r="F449" s="22" t="n"/>
      <c r="G449" s="21" t="n"/>
      <c r="H449" s="22" t="n"/>
      <c r="I449" s="23" t="n"/>
      <c r="J449" s="24">
        <f>IF(ISNUMBER(H449),H449-IF(ISNUMBER(I449),I449,30),"")</f>
        <v/>
      </c>
      <c r="K449" s="25">
        <f>IF(H449="","",IF(ISNUMBER(H449),H449-TODAY(),"Check date"))</f>
        <v/>
      </c>
      <c r="L449" s="26">
        <f>IF(K449="","",IF(ISNUMBER(K449),IF(K449&lt;0,"Expired",IF(K449&lt;=30,"Due ≤30 days",IF(K449&lt;=90,"Due ≤90 days","OK"))),"Check date"))</f>
        <v/>
      </c>
      <c r="M449" s="22" t="n"/>
      <c r="N449" s="24">
        <f>IF(ISNUMBER(M449),DATE(YEAR(M449)+2,MONTH(M449),DAY(M449)),"")</f>
        <v/>
      </c>
      <c r="O449" s="21" t="n"/>
      <c r="P449" s="21" t="n"/>
      <c r="Q449" s="21" t="n"/>
    </row>
    <row r="450">
      <c r="A450" s="21" t="n"/>
      <c r="B450" s="21" t="n"/>
      <c r="C450" s="22" t="n"/>
      <c r="D450" s="21" t="n"/>
      <c r="E450" s="21" t="n"/>
      <c r="F450" s="22" t="n"/>
      <c r="G450" s="21" t="n"/>
      <c r="H450" s="22" t="n"/>
      <c r="I450" s="23" t="n"/>
      <c r="J450" s="24">
        <f>IF(ISNUMBER(H450),H450-IF(ISNUMBER(I450),I450,30),"")</f>
        <v/>
      </c>
      <c r="K450" s="25">
        <f>IF(H450="","",IF(ISNUMBER(H450),H450-TODAY(),"Check date"))</f>
        <v/>
      </c>
      <c r="L450" s="26">
        <f>IF(K450="","",IF(ISNUMBER(K450),IF(K450&lt;0,"Expired",IF(K450&lt;=30,"Due ≤30 days",IF(K450&lt;=90,"Due ≤90 days","OK"))),"Check date"))</f>
        <v/>
      </c>
      <c r="M450" s="22" t="n"/>
      <c r="N450" s="24">
        <f>IF(ISNUMBER(M450),DATE(YEAR(M450)+2,MONTH(M450),DAY(M450)),"")</f>
        <v/>
      </c>
      <c r="O450" s="21" t="n"/>
      <c r="P450" s="21" t="n"/>
      <c r="Q450" s="21" t="n"/>
    </row>
    <row r="451">
      <c r="A451" s="21" t="n"/>
      <c r="B451" s="21" t="n"/>
      <c r="C451" s="22" t="n"/>
      <c r="D451" s="21" t="n"/>
      <c r="E451" s="21" t="n"/>
      <c r="F451" s="22" t="n"/>
      <c r="G451" s="21" t="n"/>
      <c r="H451" s="22" t="n"/>
      <c r="I451" s="23" t="n"/>
      <c r="J451" s="24">
        <f>IF(ISNUMBER(H451),H451-IF(ISNUMBER(I451),I451,30),"")</f>
        <v/>
      </c>
      <c r="K451" s="25">
        <f>IF(H451="","",IF(ISNUMBER(H451),H451-TODAY(),"Check date"))</f>
        <v/>
      </c>
      <c r="L451" s="26">
        <f>IF(K451="","",IF(ISNUMBER(K451),IF(K451&lt;0,"Expired",IF(K451&lt;=30,"Due ≤30 days",IF(K451&lt;=90,"Due ≤90 days","OK"))),"Check date"))</f>
        <v/>
      </c>
      <c r="M451" s="22" t="n"/>
      <c r="N451" s="24">
        <f>IF(ISNUMBER(M451),DATE(YEAR(M451)+2,MONTH(M451),DAY(M451)),"")</f>
        <v/>
      </c>
      <c r="O451" s="21" t="n"/>
      <c r="P451" s="21" t="n"/>
      <c r="Q451" s="21" t="n"/>
    </row>
    <row r="452">
      <c r="A452" s="21" t="n"/>
      <c r="B452" s="21" t="n"/>
      <c r="C452" s="22" t="n"/>
      <c r="D452" s="21" t="n"/>
      <c r="E452" s="21" t="n"/>
      <c r="F452" s="22" t="n"/>
      <c r="G452" s="21" t="n"/>
      <c r="H452" s="22" t="n"/>
      <c r="I452" s="23" t="n"/>
      <c r="J452" s="24">
        <f>IF(ISNUMBER(H452),H452-IF(ISNUMBER(I452),I452,30),"")</f>
        <v/>
      </c>
      <c r="K452" s="25">
        <f>IF(H452="","",IF(ISNUMBER(H452),H452-TODAY(),"Check date"))</f>
        <v/>
      </c>
      <c r="L452" s="26">
        <f>IF(K452="","",IF(ISNUMBER(K452),IF(K452&lt;0,"Expired",IF(K452&lt;=30,"Due ≤30 days",IF(K452&lt;=90,"Due ≤90 days","OK"))),"Check date"))</f>
        <v/>
      </c>
      <c r="M452" s="22" t="n"/>
      <c r="N452" s="24">
        <f>IF(ISNUMBER(M452),DATE(YEAR(M452)+2,MONTH(M452),DAY(M452)),"")</f>
        <v/>
      </c>
      <c r="O452" s="21" t="n"/>
      <c r="P452" s="21" t="n"/>
      <c r="Q452" s="21" t="n"/>
    </row>
    <row r="453">
      <c r="A453" s="21" t="n"/>
      <c r="B453" s="21" t="n"/>
      <c r="C453" s="22" t="n"/>
      <c r="D453" s="21" t="n"/>
      <c r="E453" s="21" t="n"/>
      <c r="F453" s="22" t="n"/>
      <c r="G453" s="21" t="n"/>
      <c r="H453" s="22" t="n"/>
      <c r="I453" s="23" t="n"/>
      <c r="J453" s="24">
        <f>IF(ISNUMBER(H453),H453-IF(ISNUMBER(I453),I453,30),"")</f>
        <v/>
      </c>
      <c r="K453" s="25">
        <f>IF(H453="","",IF(ISNUMBER(H453),H453-TODAY(),"Check date"))</f>
        <v/>
      </c>
      <c r="L453" s="26">
        <f>IF(K453="","",IF(ISNUMBER(K453),IF(K453&lt;0,"Expired",IF(K453&lt;=30,"Due ≤30 days",IF(K453&lt;=90,"Due ≤90 days","OK"))),"Check date"))</f>
        <v/>
      </c>
      <c r="M453" s="22" t="n"/>
      <c r="N453" s="24">
        <f>IF(ISNUMBER(M453),DATE(YEAR(M453)+2,MONTH(M453),DAY(M453)),"")</f>
        <v/>
      </c>
      <c r="O453" s="21" t="n"/>
      <c r="P453" s="21" t="n"/>
      <c r="Q453" s="21" t="n"/>
    </row>
    <row r="454">
      <c r="A454" s="21" t="n"/>
      <c r="B454" s="21" t="n"/>
      <c r="C454" s="22" t="n"/>
      <c r="D454" s="21" t="n"/>
      <c r="E454" s="21" t="n"/>
      <c r="F454" s="22" t="n"/>
      <c r="G454" s="21" t="n"/>
      <c r="H454" s="22" t="n"/>
      <c r="I454" s="23" t="n"/>
      <c r="J454" s="24">
        <f>IF(ISNUMBER(H454),H454-IF(ISNUMBER(I454),I454,30),"")</f>
        <v/>
      </c>
      <c r="K454" s="25">
        <f>IF(H454="","",IF(ISNUMBER(H454),H454-TODAY(),"Check date"))</f>
        <v/>
      </c>
      <c r="L454" s="26">
        <f>IF(K454="","",IF(ISNUMBER(K454),IF(K454&lt;0,"Expired",IF(K454&lt;=30,"Due ≤30 days",IF(K454&lt;=90,"Due ≤90 days","OK"))),"Check date"))</f>
        <v/>
      </c>
      <c r="M454" s="22" t="n"/>
      <c r="N454" s="24">
        <f>IF(ISNUMBER(M454),DATE(YEAR(M454)+2,MONTH(M454),DAY(M454)),"")</f>
        <v/>
      </c>
      <c r="O454" s="21" t="n"/>
      <c r="P454" s="21" t="n"/>
      <c r="Q454" s="21" t="n"/>
    </row>
    <row r="455">
      <c r="A455" s="21" t="n"/>
      <c r="B455" s="21" t="n"/>
      <c r="C455" s="22" t="n"/>
      <c r="D455" s="21" t="n"/>
      <c r="E455" s="21" t="n"/>
      <c r="F455" s="22" t="n"/>
      <c r="G455" s="21" t="n"/>
      <c r="H455" s="22" t="n"/>
      <c r="I455" s="23" t="n"/>
      <c r="J455" s="24">
        <f>IF(ISNUMBER(H455),H455-IF(ISNUMBER(I455),I455,30),"")</f>
        <v/>
      </c>
      <c r="K455" s="25">
        <f>IF(H455="","",IF(ISNUMBER(H455),H455-TODAY(),"Check date"))</f>
        <v/>
      </c>
      <c r="L455" s="26">
        <f>IF(K455="","",IF(ISNUMBER(K455),IF(K455&lt;0,"Expired",IF(K455&lt;=30,"Due ≤30 days",IF(K455&lt;=90,"Due ≤90 days","OK"))),"Check date"))</f>
        <v/>
      </c>
      <c r="M455" s="22" t="n"/>
      <c r="N455" s="24">
        <f>IF(ISNUMBER(M455),DATE(YEAR(M455)+2,MONTH(M455),DAY(M455)),"")</f>
        <v/>
      </c>
      <c r="O455" s="21" t="n"/>
      <c r="P455" s="21" t="n"/>
      <c r="Q455" s="21" t="n"/>
    </row>
    <row r="456">
      <c r="A456" s="21" t="n"/>
      <c r="B456" s="21" t="n"/>
      <c r="C456" s="22" t="n"/>
      <c r="D456" s="21" t="n"/>
      <c r="E456" s="21" t="n"/>
      <c r="F456" s="22" t="n"/>
      <c r="G456" s="21" t="n"/>
      <c r="H456" s="22" t="n"/>
      <c r="I456" s="23" t="n"/>
      <c r="J456" s="24">
        <f>IF(ISNUMBER(H456),H456-IF(ISNUMBER(I456),I456,30),"")</f>
        <v/>
      </c>
      <c r="K456" s="25">
        <f>IF(H456="","",IF(ISNUMBER(H456),H456-TODAY(),"Check date"))</f>
        <v/>
      </c>
      <c r="L456" s="26">
        <f>IF(K456="","",IF(ISNUMBER(K456),IF(K456&lt;0,"Expired",IF(K456&lt;=30,"Due ≤30 days",IF(K456&lt;=90,"Due ≤90 days","OK"))),"Check date"))</f>
        <v/>
      </c>
      <c r="M456" s="22" t="n"/>
      <c r="N456" s="24">
        <f>IF(ISNUMBER(M456),DATE(YEAR(M456)+2,MONTH(M456),DAY(M456)),"")</f>
        <v/>
      </c>
      <c r="O456" s="21" t="n"/>
      <c r="P456" s="21" t="n"/>
      <c r="Q456" s="21" t="n"/>
    </row>
    <row r="457">
      <c r="A457" s="21" t="n"/>
      <c r="B457" s="21" t="n"/>
      <c r="C457" s="22" t="n"/>
      <c r="D457" s="21" t="n"/>
      <c r="E457" s="21" t="n"/>
      <c r="F457" s="22" t="n"/>
      <c r="G457" s="21" t="n"/>
      <c r="H457" s="22" t="n"/>
      <c r="I457" s="23" t="n"/>
      <c r="J457" s="24">
        <f>IF(ISNUMBER(H457),H457-IF(ISNUMBER(I457),I457,30),"")</f>
        <v/>
      </c>
      <c r="K457" s="25">
        <f>IF(H457="","",IF(ISNUMBER(H457),H457-TODAY(),"Check date"))</f>
        <v/>
      </c>
      <c r="L457" s="26">
        <f>IF(K457="","",IF(ISNUMBER(K457),IF(K457&lt;0,"Expired",IF(K457&lt;=30,"Due ≤30 days",IF(K457&lt;=90,"Due ≤90 days","OK"))),"Check date"))</f>
        <v/>
      </c>
      <c r="M457" s="22" t="n"/>
      <c r="N457" s="24">
        <f>IF(ISNUMBER(M457),DATE(YEAR(M457)+2,MONTH(M457),DAY(M457)),"")</f>
        <v/>
      </c>
      <c r="O457" s="21" t="n"/>
      <c r="P457" s="21" t="n"/>
      <c r="Q457" s="21" t="n"/>
    </row>
    <row r="458">
      <c r="A458" s="21" t="n"/>
      <c r="B458" s="21" t="n"/>
      <c r="C458" s="22" t="n"/>
      <c r="D458" s="21" t="n"/>
      <c r="E458" s="21" t="n"/>
      <c r="F458" s="22" t="n"/>
      <c r="G458" s="21" t="n"/>
      <c r="H458" s="22" t="n"/>
      <c r="I458" s="23" t="n"/>
      <c r="J458" s="24">
        <f>IF(ISNUMBER(H458),H458-IF(ISNUMBER(I458),I458,30),"")</f>
        <v/>
      </c>
      <c r="K458" s="25">
        <f>IF(H458="","",IF(ISNUMBER(H458),H458-TODAY(),"Check date"))</f>
        <v/>
      </c>
      <c r="L458" s="26">
        <f>IF(K458="","",IF(ISNUMBER(K458),IF(K458&lt;0,"Expired",IF(K458&lt;=30,"Due ≤30 days",IF(K458&lt;=90,"Due ≤90 days","OK"))),"Check date"))</f>
        <v/>
      </c>
      <c r="M458" s="22" t="n"/>
      <c r="N458" s="24">
        <f>IF(ISNUMBER(M458),DATE(YEAR(M458)+2,MONTH(M458),DAY(M458)),"")</f>
        <v/>
      </c>
      <c r="O458" s="21" t="n"/>
      <c r="P458" s="21" t="n"/>
      <c r="Q458" s="21" t="n"/>
    </row>
    <row r="459">
      <c r="A459" s="21" t="n"/>
      <c r="B459" s="21" t="n"/>
      <c r="C459" s="22" t="n"/>
      <c r="D459" s="21" t="n"/>
      <c r="E459" s="21" t="n"/>
      <c r="F459" s="22" t="n"/>
      <c r="G459" s="21" t="n"/>
      <c r="H459" s="22" t="n"/>
      <c r="I459" s="23" t="n"/>
      <c r="J459" s="24">
        <f>IF(ISNUMBER(H459),H459-IF(ISNUMBER(I459),I459,30),"")</f>
        <v/>
      </c>
      <c r="K459" s="25">
        <f>IF(H459="","",IF(ISNUMBER(H459),H459-TODAY(),"Check date"))</f>
        <v/>
      </c>
      <c r="L459" s="26">
        <f>IF(K459="","",IF(ISNUMBER(K459),IF(K459&lt;0,"Expired",IF(K459&lt;=30,"Due ≤30 days",IF(K459&lt;=90,"Due ≤90 days","OK"))),"Check date"))</f>
        <v/>
      </c>
      <c r="M459" s="22" t="n"/>
      <c r="N459" s="24">
        <f>IF(ISNUMBER(M459),DATE(YEAR(M459)+2,MONTH(M459),DAY(M459)),"")</f>
        <v/>
      </c>
      <c r="O459" s="21" t="n"/>
      <c r="P459" s="21" t="n"/>
      <c r="Q459" s="21" t="n"/>
    </row>
    <row r="460">
      <c r="A460" s="21" t="n"/>
      <c r="B460" s="21" t="n"/>
      <c r="C460" s="22" t="n"/>
      <c r="D460" s="21" t="n"/>
      <c r="E460" s="21" t="n"/>
      <c r="F460" s="22" t="n"/>
      <c r="G460" s="21" t="n"/>
      <c r="H460" s="22" t="n"/>
      <c r="I460" s="23" t="n"/>
      <c r="J460" s="24">
        <f>IF(ISNUMBER(H460),H460-IF(ISNUMBER(I460),I460,30),"")</f>
        <v/>
      </c>
      <c r="K460" s="25">
        <f>IF(H460="","",IF(ISNUMBER(H460),H460-TODAY(),"Check date"))</f>
        <v/>
      </c>
      <c r="L460" s="26">
        <f>IF(K460="","",IF(ISNUMBER(K460),IF(K460&lt;0,"Expired",IF(K460&lt;=30,"Due ≤30 days",IF(K460&lt;=90,"Due ≤90 days","OK"))),"Check date"))</f>
        <v/>
      </c>
      <c r="M460" s="22" t="n"/>
      <c r="N460" s="24">
        <f>IF(ISNUMBER(M460),DATE(YEAR(M460)+2,MONTH(M460),DAY(M460)),"")</f>
        <v/>
      </c>
      <c r="O460" s="21" t="n"/>
      <c r="P460" s="21" t="n"/>
      <c r="Q460" s="21" t="n"/>
    </row>
    <row r="461">
      <c r="A461" s="21" t="n"/>
      <c r="B461" s="21" t="n"/>
      <c r="C461" s="22" t="n"/>
      <c r="D461" s="21" t="n"/>
      <c r="E461" s="21" t="n"/>
      <c r="F461" s="22" t="n"/>
      <c r="G461" s="21" t="n"/>
      <c r="H461" s="22" t="n"/>
      <c r="I461" s="23" t="n"/>
      <c r="J461" s="24">
        <f>IF(ISNUMBER(H461),H461-IF(ISNUMBER(I461),I461,30),"")</f>
        <v/>
      </c>
      <c r="K461" s="25">
        <f>IF(H461="","",IF(ISNUMBER(H461),H461-TODAY(),"Check date"))</f>
        <v/>
      </c>
      <c r="L461" s="26">
        <f>IF(K461="","",IF(ISNUMBER(K461),IF(K461&lt;0,"Expired",IF(K461&lt;=30,"Due ≤30 days",IF(K461&lt;=90,"Due ≤90 days","OK"))),"Check date"))</f>
        <v/>
      </c>
      <c r="M461" s="22" t="n"/>
      <c r="N461" s="24">
        <f>IF(ISNUMBER(M461),DATE(YEAR(M461)+2,MONTH(M461),DAY(M461)),"")</f>
        <v/>
      </c>
      <c r="O461" s="21" t="n"/>
      <c r="P461" s="21" t="n"/>
      <c r="Q461" s="21" t="n"/>
    </row>
    <row r="462">
      <c r="A462" s="21" t="n"/>
      <c r="B462" s="21" t="n"/>
      <c r="C462" s="22" t="n"/>
      <c r="D462" s="21" t="n"/>
      <c r="E462" s="21" t="n"/>
      <c r="F462" s="22" t="n"/>
      <c r="G462" s="21" t="n"/>
      <c r="H462" s="22" t="n"/>
      <c r="I462" s="23" t="n"/>
      <c r="J462" s="24">
        <f>IF(ISNUMBER(H462),H462-IF(ISNUMBER(I462),I462,30),"")</f>
        <v/>
      </c>
      <c r="K462" s="25">
        <f>IF(H462="","",IF(ISNUMBER(H462),H462-TODAY(),"Check date"))</f>
        <v/>
      </c>
      <c r="L462" s="26">
        <f>IF(K462="","",IF(ISNUMBER(K462),IF(K462&lt;0,"Expired",IF(K462&lt;=30,"Due ≤30 days",IF(K462&lt;=90,"Due ≤90 days","OK"))),"Check date"))</f>
        <v/>
      </c>
      <c r="M462" s="22" t="n"/>
      <c r="N462" s="24">
        <f>IF(ISNUMBER(M462),DATE(YEAR(M462)+2,MONTH(M462),DAY(M462)),"")</f>
        <v/>
      </c>
      <c r="O462" s="21" t="n"/>
      <c r="P462" s="21" t="n"/>
      <c r="Q462" s="21" t="n"/>
    </row>
    <row r="463">
      <c r="A463" s="21" t="n"/>
      <c r="B463" s="21" t="n"/>
      <c r="C463" s="22" t="n"/>
      <c r="D463" s="21" t="n"/>
      <c r="E463" s="21" t="n"/>
      <c r="F463" s="22" t="n"/>
      <c r="G463" s="21" t="n"/>
      <c r="H463" s="22" t="n"/>
      <c r="I463" s="23" t="n"/>
      <c r="J463" s="24">
        <f>IF(ISNUMBER(H463),H463-IF(ISNUMBER(I463),I463,30),"")</f>
        <v/>
      </c>
      <c r="K463" s="25">
        <f>IF(H463="","",IF(ISNUMBER(H463),H463-TODAY(),"Check date"))</f>
        <v/>
      </c>
      <c r="L463" s="26">
        <f>IF(K463="","",IF(ISNUMBER(K463),IF(K463&lt;0,"Expired",IF(K463&lt;=30,"Due ≤30 days",IF(K463&lt;=90,"Due ≤90 days","OK"))),"Check date"))</f>
        <v/>
      </c>
      <c r="M463" s="22" t="n"/>
      <c r="N463" s="24">
        <f>IF(ISNUMBER(M463),DATE(YEAR(M463)+2,MONTH(M463),DAY(M463)),"")</f>
        <v/>
      </c>
      <c r="O463" s="21" t="n"/>
      <c r="P463" s="21" t="n"/>
      <c r="Q463" s="21" t="n"/>
    </row>
    <row r="464">
      <c r="A464" s="21" t="n"/>
      <c r="B464" s="21" t="n"/>
      <c r="C464" s="22" t="n"/>
      <c r="D464" s="21" t="n"/>
      <c r="E464" s="21" t="n"/>
      <c r="F464" s="22" t="n"/>
      <c r="G464" s="21" t="n"/>
      <c r="H464" s="22" t="n"/>
      <c r="I464" s="23" t="n"/>
      <c r="J464" s="24">
        <f>IF(ISNUMBER(H464),H464-IF(ISNUMBER(I464),I464,30),"")</f>
        <v/>
      </c>
      <c r="K464" s="25">
        <f>IF(H464="","",IF(ISNUMBER(H464),H464-TODAY(),"Check date"))</f>
        <v/>
      </c>
      <c r="L464" s="26">
        <f>IF(K464="","",IF(ISNUMBER(K464),IF(K464&lt;0,"Expired",IF(K464&lt;=30,"Due ≤30 days",IF(K464&lt;=90,"Due ≤90 days","OK"))),"Check date"))</f>
        <v/>
      </c>
      <c r="M464" s="22" t="n"/>
      <c r="N464" s="24">
        <f>IF(ISNUMBER(M464),DATE(YEAR(M464)+2,MONTH(M464),DAY(M464)),"")</f>
        <v/>
      </c>
      <c r="O464" s="21" t="n"/>
      <c r="P464" s="21" t="n"/>
      <c r="Q464" s="21" t="n"/>
    </row>
    <row r="465">
      <c r="A465" s="21" t="n"/>
      <c r="B465" s="21" t="n"/>
      <c r="C465" s="22" t="n"/>
      <c r="D465" s="21" t="n"/>
      <c r="E465" s="21" t="n"/>
      <c r="F465" s="22" t="n"/>
      <c r="G465" s="21" t="n"/>
      <c r="H465" s="22" t="n"/>
      <c r="I465" s="23" t="n"/>
      <c r="J465" s="24">
        <f>IF(ISNUMBER(H465),H465-IF(ISNUMBER(I465),I465,30),"")</f>
        <v/>
      </c>
      <c r="K465" s="25">
        <f>IF(H465="","",IF(ISNUMBER(H465),H465-TODAY(),"Check date"))</f>
        <v/>
      </c>
      <c r="L465" s="26">
        <f>IF(K465="","",IF(ISNUMBER(K465),IF(K465&lt;0,"Expired",IF(K465&lt;=30,"Due ≤30 days",IF(K465&lt;=90,"Due ≤90 days","OK"))),"Check date"))</f>
        <v/>
      </c>
      <c r="M465" s="22" t="n"/>
      <c r="N465" s="24">
        <f>IF(ISNUMBER(M465),DATE(YEAR(M465)+2,MONTH(M465),DAY(M465)),"")</f>
        <v/>
      </c>
      <c r="O465" s="21" t="n"/>
      <c r="P465" s="21" t="n"/>
      <c r="Q465" s="21" t="n"/>
    </row>
    <row r="466">
      <c r="A466" s="21" t="n"/>
      <c r="B466" s="21" t="n"/>
      <c r="C466" s="22" t="n"/>
      <c r="D466" s="21" t="n"/>
      <c r="E466" s="21" t="n"/>
      <c r="F466" s="22" t="n"/>
      <c r="G466" s="21" t="n"/>
      <c r="H466" s="22" t="n"/>
      <c r="I466" s="23" t="n"/>
      <c r="J466" s="24">
        <f>IF(ISNUMBER(H466),H466-IF(ISNUMBER(I466),I466,30),"")</f>
        <v/>
      </c>
      <c r="K466" s="25">
        <f>IF(H466="","",IF(ISNUMBER(H466),H466-TODAY(),"Check date"))</f>
        <v/>
      </c>
      <c r="L466" s="26">
        <f>IF(K466="","",IF(ISNUMBER(K466),IF(K466&lt;0,"Expired",IF(K466&lt;=30,"Due ≤30 days",IF(K466&lt;=90,"Due ≤90 days","OK"))),"Check date"))</f>
        <v/>
      </c>
      <c r="M466" s="22" t="n"/>
      <c r="N466" s="24">
        <f>IF(ISNUMBER(M466),DATE(YEAR(M466)+2,MONTH(M466),DAY(M466)),"")</f>
        <v/>
      </c>
      <c r="O466" s="21" t="n"/>
      <c r="P466" s="21" t="n"/>
      <c r="Q466" s="21" t="n"/>
    </row>
    <row r="467">
      <c r="A467" s="21" t="n"/>
      <c r="B467" s="21" t="n"/>
      <c r="C467" s="22" t="n"/>
      <c r="D467" s="21" t="n"/>
      <c r="E467" s="21" t="n"/>
      <c r="F467" s="22" t="n"/>
      <c r="G467" s="21" t="n"/>
      <c r="H467" s="22" t="n"/>
      <c r="I467" s="23" t="n"/>
      <c r="J467" s="24">
        <f>IF(ISNUMBER(H467),H467-IF(ISNUMBER(I467),I467,30),"")</f>
        <v/>
      </c>
      <c r="K467" s="25">
        <f>IF(H467="","",IF(ISNUMBER(H467),H467-TODAY(),"Check date"))</f>
        <v/>
      </c>
      <c r="L467" s="26">
        <f>IF(K467="","",IF(ISNUMBER(K467),IF(K467&lt;0,"Expired",IF(K467&lt;=30,"Due ≤30 days",IF(K467&lt;=90,"Due ≤90 days","OK"))),"Check date"))</f>
        <v/>
      </c>
      <c r="M467" s="22" t="n"/>
      <c r="N467" s="24">
        <f>IF(ISNUMBER(M467),DATE(YEAR(M467)+2,MONTH(M467),DAY(M467)),"")</f>
        <v/>
      </c>
      <c r="O467" s="21" t="n"/>
      <c r="P467" s="21" t="n"/>
      <c r="Q467" s="21" t="n"/>
    </row>
    <row r="468">
      <c r="A468" s="21" t="n"/>
      <c r="B468" s="21" t="n"/>
      <c r="C468" s="22" t="n"/>
      <c r="D468" s="21" t="n"/>
      <c r="E468" s="21" t="n"/>
      <c r="F468" s="22" t="n"/>
      <c r="G468" s="21" t="n"/>
      <c r="H468" s="22" t="n"/>
      <c r="I468" s="23" t="n"/>
      <c r="J468" s="24">
        <f>IF(ISNUMBER(H468),H468-IF(ISNUMBER(I468),I468,30),"")</f>
        <v/>
      </c>
      <c r="K468" s="25">
        <f>IF(H468="","",IF(ISNUMBER(H468),H468-TODAY(),"Check date"))</f>
        <v/>
      </c>
      <c r="L468" s="26">
        <f>IF(K468="","",IF(ISNUMBER(K468),IF(K468&lt;0,"Expired",IF(K468&lt;=30,"Due ≤30 days",IF(K468&lt;=90,"Due ≤90 days","OK"))),"Check date"))</f>
        <v/>
      </c>
      <c r="M468" s="22" t="n"/>
      <c r="N468" s="24">
        <f>IF(ISNUMBER(M468),DATE(YEAR(M468)+2,MONTH(M468),DAY(M468)),"")</f>
        <v/>
      </c>
      <c r="O468" s="21" t="n"/>
      <c r="P468" s="21" t="n"/>
      <c r="Q468" s="21" t="n"/>
    </row>
    <row r="469">
      <c r="A469" s="21" t="n"/>
      <c r="B469" s="21" t="n"/>
      <c r="C469" s="22" t="n"/>
      <c r="D469" s="21" t="n"/>
      <c r="E469" s="21" t="n"/>
      <c r="F469" s="22" t="n"/>
      <c r="G469" s="21" t="n"/>
      <c r="H469" s="22" t="n"/>
      <c r="I469" s="23" t="n"/>
      <c r="J469" s="24">
        <f>IF(ISNUMBER(H469),H469-IF(ISNUMBER(I469),I469,30),"")</f>
        <v/>
      </c>
      <c r="K469" s="25">
        <f>IF(H469="","",IF(ISNUMBER(H469),H469-TODAY(),"Check date"))</f>
        <v/>
      </c>
      <c r="L469" s="26">
        <f>IF(K469="","",IF(ISNUMBER(K469),IF(K469&lt;0,"Expired",IF(K469&lt;=30,"Due ≤30 days",IF(K469&lt;=90,"Due ≤90 days","OK"))),"Check date"))</f>
        <v/>
      </c>
      <c r="M469" s="22" t="n"/>
      <c r="N469" s="24">
        <f>IF(ISNUMBER(M469),DATE(YEAR(M469)+2,MONTH(M469),DAY(M469)),"")</f>
        <v/>
      </c>
      <c r="O469" s="21" t="n"/>
      <c r="P469" s="21" t="n"/>
      <c r="Q469" s="21" t="n"/>
    </row>
    <row r="470">
      <c r="A470" s="21" t="n"/>
      <c r="B470" s="21" t="n"/>
      <c r="C470" s="22" t="n"/>
      <c r="D470" s="21" t="n"/>
      <c r="E470" s="21" t="n"/>
      <c r="F470" s="22" t="n"/>
      <c r="G470" s="21" t="n"/>
      <c r="H470" s="22" t="n"/>
      <c r="I470" s="23" t="n"/>
      <c r="J470" s="24">
        <f>IF(ISNUMBER(H470),H470-IF(ISNUMBER(I470),I470,30),"")</f>
        <v/>
      </c>
      <c r="K470" s="25">
        <f>IF(H470="","",IF(ISNUMBER(H470),H470-TODAY(),"Check date"))</f>
        <v/>
      </c>
      <c r="L470" s="26">
        <f>IF(K470="","",IF(ISNUMBER(K470),IF(K470&lt;0,"Expired",IF(K470&lt;=30,"Due ≤30 days",IF(K470&lt;=90,"Due ≤90 days","OK"))),"Check date"))</f>
        <v/>
      </c>
      <c r="M470" s="22" t="n"/>
      <c r="N470" s="24">
        <f>IF(ISNUMBER(M470),DATE(YEAR(M470)+2,MONTH(M470),DAY(M470)),"")</f>
        <v/>
      </c>
      <c r="O470" s="21" t="n"/>
      <c r="P470" s="21" t="n"/>
      <c r="Q470" s="21" t="n"/>
    </row>
    <row r="471">
      <c r="A471" s="21" t="n"/>
      <c r="B471" s="21" t="n"/>
      <c r="C471" s="22" t="n"/>
      <c r="D471" s="21" t="n"/>
      <c r="E471" s="21" t="n"/>
      <c r="F471" s="22" t="n"/>
      <c r="G471" s="21" t="n"/>
      <c r="H471" s="22" t="n"/>
      <c r="I471" s="23" t="n"/>
      <c r="J471" s="24">
        <f>IF(ISNUMBER(H471),H471-IF(ISNUMBER(I471),I471,30),"")</f>
        <v/>
      </c>
      <c r="K471" s="25">
        <f>IF(H471="","",IF(ISNUMBER(H471),H471-TODAY(),"Check date"))</f>
        <v/>
      </c>
      <c r="L471" s="26">
        <f>IF(K471="","",IF(ISNUMBER(K471),IF(K471&lt;0,"Expired",IF(K471&lt;=30,"Due ≤30 days",IF(K471&lt;=90,"Due ≤90 days","OK"))),"Check date"))</f>
        <v/>
      </c>
      <c r="M471" s="22" t="n"/>
      <c r="N471" s="24">
        <f>IF(ISNUMBER(M471),DATE(YEAR(M471)+2,MONTH(M471),DAY(M471)),"")</f>
        <v/>
      </c>
      <c r="O471" s="21" t="n"/>
      <c r="P471" s="21" t="n"/>
      <c r="Q471" s="21" t="n"/>
    </row>
    <row r="472">
      <c r="A472" s="21" t="n"/>
      <c r="B472" s="21" t="n"/>
      <c r="C472" s="22" t="n"/>
      <c r="D472" s="21" t="n"/>
      <c r="E472" s="21" t="n"/>
      <c r="F472" s="22" t="n"/>
      <c r="G472" s="21" t="n"/>
      <c r="H472" s="22" t="n"/>
      <c r="I472" s="23" t="n"/>
      <c r="J472" s="24">
        <f>IF(ISNUMBER(H472),H472-IF(ISNUMBER(I472),I472,30),"")</f>
        <v/>
      </c>
      <c r="K472" s="25">
        <f>IF(H472="","",IF(ISNUMBER(H472),H472-TODAY(),"Check date"))</f>
        <v/>
      </c>
      <c r="L472" s="26">
        <f>IF(K472="","",IF(ISNUMBER(K472),IF(K472&lt;0,"Expired",IF(K472&lt;=30,"Due ≤30 days",IF(K472&lt;=90,"Due ≤90 days","OK"))),"Check date"))</f>
        <v/>
      </c>
      <c r="M472" s="22" t="n"/>
      <c r="N472" s="24">
        <f>IF(ISNUMBER(M472),DATE(YEAR(M472)+2,MONTH(M472),DAY(M472)),"")</f>
        <v/>
      </c>
      <c r="O472" s="21" t="n"/>
      <c r="P472" s="21" t="n"/>
      <c r="Q472" s="21" t="n"/>
    </row>
    <row r="473">
      <c r="A473" s="21" t="n"/>
      <c r="B473" s="21" t="n"/>
      <c r="C473" s="22" t="n"/>
      <c r="D473" s="21" t="n"/>
      <c r="E473" s="21" t="n"/>
      <c r="F473" s="22" t="n"/>
      <c r="G473" s="21" t="n"/>
      <c r="H473" s="22" t="n"/>
      <c r="I473" s="23" t="n"/>
      <c r="J473" s="24">
        <f>IF(ISNUMBER(H473),H473-IF(ISNUMBER(I473),I473,30),"")</f>
        <v/>
      </c>
      <c r="K473" s="25">
        <f>IF(H473="","",IF(ISNUMBER(H473),H473-TODAY(),"Check date"))</f>
        <v/>
      </c>
      <c r="L473" s="26">
        <f>IF(K473="","",IF(ISNUMBER(K473),IF(K473&lt;0,"Expired",IF(K473&lt;=30,"Due ≤30 days",IF(K473&lt;=90,"Due ≤90 days","OK"))),"Check date"))</f>
        <v/>
      </c>
      <c r="M473" s="22" t="n"/>
      <c r="N473" s="24">
        <f>IF(ISNUMBER(M473),DATE(YEAR(M473)+2,MONTH(M473),DAY(M473)),"")</f>
        <v/>
      </c>
      <c r="O473" s="21" t="n"/>
      <c r="P473" s="21" t="n"/>
      <c r="Q473" s="21" t="n"/>
    </row>
    <row r="474">
      <c r="A474" s="21" t="n"/>
      <c r="B474" s="21" t="n"/>
      <c r="C474" s="22" t="n"/>
      <c r="D474" s="21" t="n"/>
      <c r="E474" s="21" t="n"/>
      <c r="F474" s="22" t="n"/>
      <c r="G474" s="21" t="n"/>
      <c r="H474" s="22" t="n"/>
      <c r="I474" s="23" t="n"/>
      <c r="J474" s="24">
        <f>IF(ISNUMBER(H474),H474-IF(ISNUMBER(I474),I474,30),"")</f>
        <v/>
      </c>
      <c r="K474" s="25">
        <f>IF(H474="","",IF(ISNUMBER(H474),H474-TODAY(),"Check date"))</f>
        <v/>
      </c>
      <c r="L474" s="26">
        <f>IF(K474="","",IF(ISNUMBER(K474),IF(K474&lt;0,"Expired",IF(K474&lt;=30,"Due ≤30 days",IF(K474&lt;=90,"Due ≤90 days","OK"))),"Check date"))</f>
        <v/>
      </c>
      <c r="M474" s="22" t="n"/>
      <c r="N474" s="24">
        <f>IF(ISNUMBER(M474),DATE(YEAR(M474)+2,MONTH(M474),DAY(M474)),"")</f>
        <v/>
      </c>
      <c r="O474" s="21" t="n"/>
      <c r="P474" s="21" t="n"/>
      <c r="Q474" s="21" t="n"/>
    </row>
    <row r="475">
      <c r="A475" s="21" t="n"/>
      <c r="B475" s="21" t="n"/>
      <c r="C475" s="22" t="n"/>
      <c r="D475" s="21" t="n"/>
      <c r="E475" s="21" t="n"/>
      <c r="F475" s="22" t="n"/>
      <c r="G475" s="21" t="n"/>
      <c r="H475" s="22" t="n"/>
      <c r="I475" s="23" t="n"/>
      <c r="J475" s="24">
        <f>IF(ISNUMBER(H475),H475-IF(ISNUMBER(I475),I475,30),"")</f>
        <v/>
      </c>
      <c r="K475" s="25">
        <f>IF(H475="","",IF(ISNUMBER(H475),H475-TODAY(),"Check date"))</f>
        <v/>
      </c>
      <c r="L475" s="26">
        <f>IF(K475="","",IF(ISNUMBER(K475),IF(K475&lt;0,"Expired",IF(K475&lt;=30,"Due ≤30 days",IF(K475&lt;=90,"Due ≤90 days","OK"))),"Check date"))</f>
        <v/>
      </c>
      <c r="M475" s="22" t="n"/>
      <c r="N475" s="24">
        <f>IF(ISNUMBER(M475),DATE(YEAR(M475)+2,MONTH(M475),DAY(M475)),"")</f>
        <v/>
      </c>
      <c r="O475" s="21" t="n"/>
      <c r="P475" s="21" t="n"/>
      <c r="Q475" s="21" t="n"/>
    </row>
    <row r="476">
      <c r="A476" s="21" t="n"/>
      <c r="B476" s="21" t="n"/>
      <c r="C476" s="22" t="n"/>
      <c r="D476" s="21" t="n"/>
      <c r="E476" s="21" t="n"/>
      <c r="F476" s="22" t="n"/>
      <c r="G476" s="21" t="n"/>
      <c r="H476" s="22" t="n"/>
      <c r="I476" s="23" t="n"/>
      <c r="J476" s="24">
        <f>IF(ISNUMBER(H476),H476-IF(ISNUMBER(I476),I476,30),"")</f>
        <v/>
      </c>
      <c r="K476" s="25">
        <f>IF(H476="","",IF(ISNUMBER(H476),H476-TODAY(),"Check date"))</f>
        <v/>
      </c>
      <c r="L476" s="26">
        <f>IF(K476="","",IF(ISNUMBER(K476),IF(K476&lt;0,"Expired",IF(K476&lt;=30,"Due ≤30 days",IF(K476&lt;=90,"Due ≤90 days","OK"))),"Check date"))</f>
        <v/>
      </c>
      <c r="M476" s="22" t="n"/>
      <c r="N476" s="24">
        <f>IF(ISNUMBER(M476),DATE(YEAR(M476)+2,MONTH(M476),DAY(M476)),"")</f>
        <v/>
      </c>
      <c r="O476" s="21" t="n"/>
      <c r="P476" s="21" t="n"/>
      <c r="Q476" s="21" t="n"/>
    </row>
    <row r="477">
      <c r="A477" s="21" t="n"/>
      <c r="B477" s="21" t="n"/>
      <c r="C477" s="22" t="n"/>
      <c r="D477" s="21" t="n"/>
      <c r="E477" s="21" t="n"/>
      <c r="F477" s="22" t="n"/>
      <c r="G477" s="21" t="n"/>
      <c r="H477" s="22" t="n"/>
      <c r="I477" s="23" t="n"/>
      <c r="J477" s="24">
        <f>IF(ISNUMBER(H477),H477-IF(ISNUMBER(I477),I477,30),"")</f>
        <v/>
      </c>
      <c r="K477" s="25">
        <f>IF(H477="","",IF(ISNUMBER(H477),H477-TODAY(),"Check date"))</f>
        <v/>
      </c>
      <c r="L477" s="26">
        <f>IF(K477="","",IF(ISNUMBER(K477),IF(K477&lt;0,"Expired",IF(K477&lt;=30,"Due ≤30 days",IF(K477&lt;=90,"Due ≤90 days","OK"))),"Check date"))</f>
        <v/>
      </c>
      <c r="M477" s="22" t="n"/>
      <c r="N477" s="24">
        <f>IF(ISNUMBER(M477),DATE(YEAR(M477)+2,MONTH(M477),DAY(M477)),"")</f>
        <v/>
      </c>
      <c r="O477" s="21" t="n"/>
      <c r="P477" s="21" t="n"/>
      <c r="Q477" s="21" t="n"/>
    </row>
    <row r="478">
      <c r="A478" s="21" t="n"/>
      <c r="B478" s="21" t="n"/>
      <c r="C478" s="22" t="n"/>
      <c r="D478" s="21" t="n"/>
      <c r="E478" s="21" t="n"/>
      <c r="F478" s="22" t="n"/>
      <c r="G478" s="21" t="n"/>
      <c r="H478" s="22" t="n"/>
      <c r="I478" s="23" t="n"/>
      <c r="J478" s="24">
        <f>IF(ISNUMBER(H478),H478-IF(ISNUMBER(I478),I478,30),"")</f>
        <v/>
      </c>
      <c r="K478" s="25">
        <f>IF(H478="","",IF(ISNUMBER(H478),H478-TODAY(),"Check date"))</f>
        <v/>
      </c>
      <c r="L478" s="26">
        <f>IF(K478="","",IF(ISNUMBER(K478),IF(K478&lt;0,"Expired",IF(K478&lt;=30,"Due ≤30 days",IF(K478&lt;=90,"Due ≤90 days","OK"))),"Check date"))</f>
        <v/>
      </c>
      <c r="M478" s="22" t="n"/>
      <c r="N478" s="24">
        <f>IF(ISNUMBER(M478),DATE(YEAR(M478)+2,MONTH(M478),DAY(M478)),"")</f>
        <v/>
      </c>
      <c r="O478" s="21" t="n"/>
      <c r="P478" s="21" t="n"/>
      <c r="Q478" s="21" t="n"/>
    </row>
    <row r="479">
      <c r="A479" s="21" t="n"/>
      <c r="B479" s="21" t="n"/>
      <c r="C479" s="22" t="n"/>
      <c r="D479" s="21" t="n"/>
      <c r="E479" s="21" t="n"/>
      <c r="F479" s="22" t="n"/>
      <c r="G479" s="21" t="n"/>
      <c r="H479" s="22" t="n"/>
      <c r="I479" s="23" t="n"/>
      <c r="J479" s="24">
        <f>IF(ISNUMBER(H479),H479-IF(ISNUMBER(I479),I479,30),"")</f>
        <v/>
      </c>
      <c r="K479" s="25">
        <f>IF(H479="","",IF(ISNUMBER(H479),H479-TODAY(),"Check date"))</f>
        <v/>
      </c>
      <c r="L479" s="26">
        <f>IF(K479="","",IF(ISNUMBER(K479),IF(K479&lt;0,"Expired",IF(K479&lt;=30,"Due ≤30 days",IF(K479&lt;=90,"Due ≤90 days","OK"))),"Check date"))</f>
        <v/>
      </c>
      <c r="M479" s="22" t="n"/>
      <c r="N479" s="24">
        <f>IF(ISNUMBER(M479),DATE(YEAR(M479)+2,MONTH(M479),DAY(M479)),"")</f>
        <v/>
      </c>
      <c r="O479" s="21" t="n"/>
      <c r="P479" s="21" t="n"/>
      <c r="Q479" s="21" t="n"/>
    </row>
    <row r="480">
      <c r="A480" s="21" t="n"/>
      <c r="B480" s="21" t="n"/>
      <c r="C480" s="22" t="n"/>
      <c r="D480" s="21" t="n"/>
      <c r="E480" s="21" t="n"/>
      <c r="F480" s="22" t="n"/>
      <c r="G480" s="21" t="n"/>
      <c r="H480" s="22" t="n"/>
      <c r="I480" s="23" t="n"/>
      <c r="J480" s="24">
        <f>IF(ISNUMBER(H480),H480-IF(ISNUMBER(I480),I480,30),"")</f>
        <v/>
      </c>
      <c r="K480" s="25">
        <f>IF(H480="","",IF(ISNUMBER(H480),H480-TODAY(),"Check date"))</f>
        <v/>
      </c>
      <c r="L480" s="26">
        <f>IF(K480="","",IF(ISNUMBER(K480),IF(K480&lt;0,"Expired",IF(K480&lt;=30,"Due ≤30 days",IF(K480&lt;=90,"Due ≤90 days","OK"))),"Check date"))</f>
        <v/>
      </c>
      <c r="M480" s="22" t="n"/>
      <c r="N480" s="24">
        <f>IF(ISNUMBER(M480),DATE(YEAR(M480)+2,MONTH(M480),DAY(M480)),"")</f>
        <v/>
      </c>
      <c r="O480" s="21" t="n"/>
      <c r="P480" s="21" t="n"/>
      <c r="Q480" s="21" t="n"/>
    </row>
    <row r="481">
      <c r="A481" s="21" t="n"/>
      <c r="B481" s="21" t="n"/>
      <c r="C481" s="22" t="n"/>
      <c r="D481" s="21" t="n"/>
      <c r="E481" s="21" t="n"/>
      <c r="F481" s="22" t="n"/>
      <c r="G481" s="21" t="n"/>
      <c r="H481" s="22" t="n"/>
      <c r="I481" s="23" t="n"/>
      <c r="J481" s="24">
        <f>IF(ISNUMBER(H481),H481-IF(ISNUMBER(I481),I481,30),"")</f>
        <v/>
      </c>
      <c r="K481" s="25">
        <f>IF(H481="","",IF(ISNUMBER(H481),H481-TODAY(),"Check date"))</f>
        <v/>
      </c>
      <c r="L481" s="26">
        <f>IF(K481="","",IF(ISNUMBER(K481),IF(K481&lt;0,"Expired",IF(K481&lt;=30,"Due ≤30 days",IF(K481&lt;=90,"Due ≤90 days","OK"))),"Check date"))</f>
        <v/>
      </c>
      <c r="M481" s="22" t="n"/>
      <c r="N481" s="24">
        <f>IF(ISNUMBER(M481),DATE(YEAR(M481)+2,MONTH(M481),DAY(M481)),"")</f>
        <v/>
      </c>
      <c r="O481" s="21" t="n"/>
      <c r="P481" s="21" t="n"/>
      <c r="Q481" s="21" t="n"/>
    </row>
    <row r="482">
      <c r="A482" s="21" t="n"/>
      <c r="B482" s="21" t="n"/>
      <c r="C482" s="22" t="n"/>
      <c r="D482" s="21" t="n"/>
      <c r="E482" s="21" t="n"/>
      <c r="F482" s="22" t="n"/>
      <c r="G482" s="21" t="n"/>
      <c r="H482" s="22" t="n"/>
      <c r="I482" s="23" t="n"/>
      <c r="J482" s="24">
        <f>IF(ISNUMBER(H482),H482-IF(ISNUMBER(I482),I482,30),"")</f>
        <v/>
      </c>
      <c r="K482" s="25">
        <f>IF(H482="","",IF(ISNUMBER(H482),H482-TODAY(),"Check date"))</f>
        <v/>
      </c>
      <c r="L482" s="26">
        <f>IF(K482="","",IF(ISNUMBER(K482),IF(K482&lt;0,"Expired",IF(K482&lt;=30,"Due ≤30 days",IF(K482&lt;=90,"Due ≤90 days","OK"))),"Check date"))</f>
        <v/>
      </c>
      <c r="M482" s="22" t="n"/>
      <c r="N482" s="24">
        <f>IF(ISNUMBER(M482),DATE(YEAR(M482)+2,MONTH(M482),DAY(M482)),"")</f>
        <v/>
      </c>
      <c r="O482" s="21" t="n"/>
      <c r="P482" s="21" t="n"/>
      <c r="Q482" s="21" t="n"/>
    </row>
    <row r="483">
      <c r="A483" s="21" t="n"/>
      <c r="B483" s="21" t="n"/>
      <c r="C483" s="22" t="n"/>
      <c r="D483" s="21" t="n"/>
      <c r="E483" s="21" t="n"/>
      <c r="F483" s="22" t="n"/>
      <c r="G483" s="21" t="n"/>
      <c r="H483" s="22" t="n"/>
      <c r="I483" s="23" t="n"/>
      <c r="J483" s="24">
        <f>IF(ISNUMBER(H483),H483-IF(ISNUMBER(I483),I483,30),"")</f>
        <v/>
      </c>
      <c r="K483" s="25">
        <f>IF(H483="","",IF(ISNUMBER(H483),H483-TODAY(),"Check date"))</f>
        <v/>
      </c>
      <c r="L483" s="26">
        <f>IF(K483="","",IF(ISNUMBER(K483),IF(K483&lt;0,"Expired",IF(K483&lt;=30,"Due ≤30 days",IF(K483&lt;=90,"Due ≤90 days","OK"))),"Check date"))</f>
        <v/>
      </c>
      <c r="M483" s="22" t="n"/>
      <c r="N483" s="24">
        <f>IF(ISNUMBER(M483),DATE(YEAR(M483)+2,MONTH(M483),DAY(M483)),"")</f>
        <v/>
      </c>
      <c r="O483" s="21" t="n"/>
      <c r="P483" s="21" t="n"/>
      <c r="Q483" s="21" t="n"/>
    </row>
    <row r="484">
      <c r="A484" s="21" t="n"/>
      <c r="B484" s="21" t="n"/>
      <c r="C484" s="22" t="n"/>
      <c r="D484" s="21" t="n"/>
      <c r="E484" s="21" t="n"/>
      <c r="F484" s="22" t="n"/>
      <c r="G484" s="21" t="n"/>
      <c r="H484" s="22" t="n"/>
      <c r="I484" s="23" t="n"/>
      <c r="J484" s="24">
        <f>IF(ISNUMBER(H484),H484-IF(ISNUMBER(I484),I484,30),"")</f>
        <v/>
      </c>
      <c r="K484" s="25">
        <f>IF(H484="","",IF(ISNUMBER(H484),H484-TODAY(),"Check date"))</f>
        <v/>
      </c>
      <c r="L484" s="26">
        <f>IF(K484="","",IF(ISNUMBER(K484),IF(K484&lt;0,"Expired",IF(K484&lt;=30,"Due ≤30 days",IF(K484&lt;=90,"Due ≤90 days","OK"))),"Check date"))</f>
        <v/>
      </c>
      <c r="M484" s="22" t="n"/>
      <c r="N484" s="24">
        <f>IF(ISNUMBER(M484),DATE(YEAR(M484)+2,MONTH(M484),DAY(M484)),"")</f>
        <v/>
      </c>
      <c r="O484" s="21" t="n"/>
      <c r="P484" s="21" t="n"/>
      <c r="Q484" s="21" t="n"/>
    </row>
    <row r="485">
      <c r="A485" s="21" t="n"/>
      <c r="B485" s="21" t="n"/>
      <c r="C485" s="22" t="n"/>
      <c r="D485" s="21" t="n"/>
      <c r="E485" s="21" t="n"/>
      <c r="F485" s="22" t="n"/>
      <c r="G485" s="21" t="n"/>
      <c r="H485" s="22" t="n"/>
      <c r="I485" s="23" t="n"/>
      <c r="J485" s="24">
        <f>IF(ISNUMBER(H485),H485-IF(ISNUMBER(I485),I485,30),"")</f>
        <v/>
      </c>
      <c r="K485" s="25">
        <f>IF(H485="","",IF(ISNUMBER(H485),H485-TODAY(),"Check date"))</f>
        <v/>
      </c>
      <c r="L485" s="26">
        <f>IF(K485="","",IF(ISNUMBER(K485),IF(K485&lt;0,"Expired",IF(K485&lt;=30,"Due ≤30 days",IF(K485&lt;=90,"Due ≤90 days","OK"))),"Check date"))</f>
        <v/>
      </c>
      <c r="M485" s="22" t="n"/>
      <c r="N485" s="24">
        <f>IF(ISNUMBER(M485),DATE(YEAR(M485)+2,MONTH(M485),DAY(M485)),"")</f>
        <v/>
      </c>
      <c r="O485" s="21" t="n"/>
      <c r="P485" s="21" t="n"/>
      <c r="Q485" s="21" t="n"/>
    </row>
    <row r="486">
      <c r="A486" s="21" t="n"/>
      <c r="B486" s="21" t="n"/>
      <c r="C486" s="22" t="n"/>
      <c r="D486" s="21" t="n"/>
      <c r="E486" s="21" t="n"/>
      <c r="F486" s="22" t="n"/>
      <c r="G486" s="21" t="n"/>
      <c r="H486" s="22" t="n"/>
      <c r="I486" s="23" t="n"/>
      <c r="J486" s="24">
        <f>IF(ISNUMBER(H486),H486-IF(ISNUMBER(I486),I486,30),"")</f>
        <v/>
      </c>
      <c r="K486" s="25">
        <f>IF(H486="","",IF(ISNUMBER(H486),H486-TODAY(),"Check date"))</f>
        <v/>
      </c>
      <c r="L486" s="26">
        <f>IF(K486="","",IF(ISNUMBER(K486),IF(K486&lt;0,"Expired",IF(K486&lt;=30,"Due ≤30 days",IF(K486&lt;=90,"Due ≤90 days","OK"))),"Check date"))</f>
        <v/>
      </c>
      <c r="M486" s="22" t="n"/>
      <c r="N486" s="24">
        <f>IF(ISNUMBER(M486),DATE(YEAR(M486)+2,MONTH(M486),DAY(M486)),"")</f>
        <v/>
      </c>
      <c r="O486" s="21" t="n"/>
      <c r="P486" s="21" t="n"/>
      <c r="Q486" s="21" t="n"/>
    </row>
    <row r="487">
      <c r="A487" s="21" t="n"/>
      <c r="B487" s="21" t="n"/>
      <c r="C487" s="22" t="n"/>
      <c r="D487" s="21" t="n"/>
      <c r="E487" s="21" t="n"/>
      <c r="F487" s="22" t="n"/>
      <c r="G487" s="21" t="n"/>
      <c r="H487" s="22" t="n"/>
      <c r="I487" s="23" t="n"/>
      <c r="J487" s="24">
        <f>IF(ISNUMBER(H487),H487-IF(ISNUMBER(I487),I487,30),"")</f>
        <v/>
      </c>
      <c r="K487" s="25">
        <f>IF(H487="","",IF(ISNUMBER(H487),H487-TODAY(),"Check date"))</f>
        <v/>
      </c>
      <c r="L487" s="26">
        <f>IF(K487="","",IF(ISNUMBER(K487),IF(K487&lt;0,"Expired",IF(K487&lt;=30,"Due ≤30 days",IF(K487&lt;=90,"Due ≤90 days","OK"))),"Check date"))</f>
        <v/>
      </c>
      <c r="M487" s="22" t="n"/>
      <c r="N487" s="24">
        <f>IF(ISNUMBER(M487),DATE(YEAR(M487)+2,MONTH(M487),DAY(M487)),"")</f>
        <v/>
      </c>
      <c r="O487" s="21" t="n"/>
      <c r="P487" s="21" t="n"/>
      <c r="Q487" s="21" t="n"/>
    </row>
    <row r="488">
      <c r="A488" s="21" t="n"/>
      <c r="B488" s="21" t="n"/>
      <c r="C488" s="22" t="n"/>
      <c r="D488" s="21" t="n"/>
      <c r="E488" s="21" t="n"/>
      <c r="F488" s="22" t="n"/>
      <c r="G488" s="21" t="n"/>
      <c r="H488" s="22" t="n"/>
      <c r="I488" s="23" t="n"/>
      <c r="J488" s="24">
        <f>IF(ISNUMBER(H488),H488-IF(ISNUMBER(I488),I488,30),"")</f>
        <v/>
      </c>
      <c r="K488" s="25">
        <f>IF(H488="","",IF(ISNUMBER(H488),H488-TODAY(),"Check date"))</f>
        <v/>
      </c>
      <c r="L488" s="26">
        <f>IF(K488="","",IF(ISNUMBER(K488),IF(K488&lt;0,"Expired",IF(K488&lt;=30,"Due ≤30 days",IF(K488&lt;=90,"Due ≤90 days","OK"))),"Check date"))</f>
        <v/>
      </c>
      <c r="M488" s="22" t="n"/>
      <c r="N488" s="24">
        <f>IF(ISNUMBER(M488),DATE(YEAR(M488)+2,MONTH(M488),DAY(M488)),"")</f>
        <v/>
      </c>
      <c r="O488" s="21" t="n"/>
      <c r="P488" s="21" t="n"/>
      <c r="Q488" s="21" t="n"/>
    </row>
    <row r="489">
      <c r="A489" s="21" t="n"/>
      <c r="B489" s="21" t="n"/>
      <c r="C489" s="22" t="n"/>
      <c r="D489" s="21" t="n"/>
      <c r="E489" s="21" t="n"/>
      <c r="F489" s="22" t="n"/>
      <c r="G489" s="21" t="n"/>
      <c r="H489" s="22" t="n"/>
      <c r="I489" s="23" t="n"/>
      <c r="J489" s="24">
        <f>IF(ISNUMBER(H489),H489-IF(ISNUMBER(I489),I489,30),"")</f>
        <v/>
      </c>
      <c r="K489" s="25">
        <f>IF(H489="","",IF(ISNUMBER(H489),H489-TODAY(),"Check date"))</f>
        <v/>
      </c>
      <c r="L489" s="26">
        <f>IF(K489="","",IF(ISNUMBER(K489),IF(K489&lt;0,"Expired",IF(K489&lt;=30,"Due ≤30 days",IF(K489&lt;=90,"Due ≤90 days","OK"))),"Check date"))</f>
        <v/>
      </c>
      <c r="M489" s="22" t="n"/>
      <c r="N489" s="24">
        <f>IF(ISNUMBER(M489),DATE(YEAR(M489)+2,MONTH(M489),DAY(M489)),"")</f>
        <v/>
      </c>
      <c r="O489" s="21" t="n"/>
      <c r="P489" s="21" t="n"/>
      <c r="Q489" s="21" t="n"/>
    </row>
    <row r="490">
      <c r="A490" s="21" t="n"/>
      <c r="B490" s="21" t="n"/>
      <c r="C490" s="22" t="n"/>
      <c r="D490" s="21" t="n"/>
      <c r="E490" s="21" t="n"/>
      <c r="F490" s="22" t="n"/>
      <c r="G490" s="21" t="n"/>
      <c r="H490" s="22" t="n"/>
      <c r="I490" s="23" t="n"/>
      <c r="J490" s="24">
        <f>IF(ISNUMBER(H490),H490-IF(ISNUMBER(I490),I490,30),"")</f>
        <v/>
      </c>
      <c r="K490" s="25">
        <f>IF(H490="","",IF(ISNUMBER(H490),H490-TODAY(),"Check date"))</f>
        <v/>
      </c>
      <c r="L490" s="26">
        <f>IF(K490="","",IF(ISNUMBER(K490),IF(K490&lt;0,"Expired",IF(K490&lt;=30,"Due ≤30 days",IF(K490&lt;=90,"Due ≤90 days","OK"))),"Check date"))</f>
        <v/>
      </c>
      <c r="M490" s="22" t="n"/>
      <c r="N490" s="24">
        <f>IF(ISNUMBER(M490),DATE(YEAR(M490)+2,MONTH(M490),DAY(M490)),"")</f>
        <v/>
      </c>
      <c r="O490" s="21" t="n"/>
      <c r="P490" s="21" t="n"/>
      <c r="Q490" s="21" t="n"/>
    </row>
    <row r="491">
      <c r="A491" s="21" t="n"/>
      <c r="B491" s="21" t="n"/>
      <c r="C491" s="22" t="n"/>
      <c r="D491" s="21" t="n"/>
      <c r="E491" s="21" t="n"/>
      <c r="F491" s="22" t="n"/>
      <c r="G491" s="21" t="n"/>
      <c r="H491" s="22" t="n"/>
      <c r="I491" s="23" t="n"/>
      <c r="J491" s="24">
        <f>IF(ISNUMBER(H491),H491-IF(ISNUMBER(I491),I491,30),"")</f>
        <v/>
      </c>
      <c r="K491" s="25">
        <f>IF(H491="","",IF(ISNUMBER(H491),H491-TODAY(),"Check date"))</f>
        <v/>
      </c>
      <c r="L491" s="26">
        <f>IF(K491="","",IF(ISNUMBER(K491),IF(K491&lt;0,"Expired",IF(K491&lt;=30,"Due ≤30 days",IF(K491&lt;=90,"Due ≤90 days","OK"))),"Check date"))</f>
        <v/>
      </c>
      <c r="M491" s="22" t="n"/>
      <c r="N491" s="24">
        <f>IF(ISNUMBER(M491),DATE(YEAR(M491)+2,MONTH(M491),DAY(M491)),"")</f>
        <v/>
      </c>
      <c r="O491" s="21" t="n"/>
      <c r="P491" s="21" t="n"/>
      <c r="Q491" s="21" t="n"/>
    </row>
    <row r="492">
      <c r="A492" s="21" t="n"/>
      <c r="B492" s="21" t="n"/>
      <c r="C492" s="22" t="n"/>
      <c r="D492" s="21" t="n"/>
      <c r="E492" s="21" t="n"/>
      <c r="F492" s="22" t="n"/>
      <c r="G492" s="21" t="n"/>
      <c r="H492" s="22" t="n"/>
      <c r="I492" s="23" t="n"/>
      <c r="J492" s="24">
        <f>IF(ISNUMBER(H492),H492-IF(ISNUMBER(I492),I492,30),"")</f>
        <v/>
      </c>
      <c r="K492" s="25">
        <f>IF(H492="","",IF(ISNUMBER(H492),H492-TODAY(),"Check date"))</f>
        <v/>
      </c>
      <c r="L492" s="26">
        <f>IF(K492="","",IF(ISNUMBER(K492),IF(K492&lt;0,"Expired",IF(K492&lt;=30,"Due ≤30 days",IF(K492&lt;=90,"Due ≤90 days","OK"))),"Check date"))</f>
        <v/>
      </c>
      <c r="M492" s="22" t="n"/>
      <c r="N492" s="24">
        <f>IF(ISNUMBER(M492),DATE(YEAR(M492)+2,MONTH(M492),DAY(M492)),"")</f>
        <v/>
      </c>
      <c r="O492" s="21" t="n"/>
      <c r="P492" s="21" t="n"/>
      <c r="Q492" s="21" t="n"/>
    </row>
    <row r="493">
      <c r="A493" s="21" t="n"/>
      <c r="B493" s="21" t="n"/>
      <c r="C493" s="22" t="n"/>
      <c r="D493" s="21" t="n"/>
      <c r="E493" s="21" t="n"/>
      <c r="F493" s="22" t="n"/>
      <c r="G493" s="21" t="n"/>
      <c r="H493" s="22" t="n"/>
      <c r="I493" s="23" t="n"/>
      <c r="J493" s="24">
        <f>IF(ISNUMBER(H493),H493-IF(ISNUMBER(I493),I493,30),"")</f>
        <v/>
      </c>
      <c r="K493" s="25">
        <f>IF(H493="","",IF(ISNUMBER(H493),H493-TODAY(),"Check date"))</f>
        <v/>
      </c>
      <c r="L493" s="26">
        <f>IF(K493="","",IF(ISNUMBER(K493),IF(K493&lt;0,"Expired",IF(K493&lt;=30,"Due ≤30 days",IF(K493&lt;=90,"Due ≤90 days","OK"))),"Check date"))</f>
        <v/>
      </c>
      <c r="M493" s="22" t="n"/>
      <c r="N493" s="24">
        <f>IF(ISNUMBER(M493),DATE(YEAR(M493)+2,MONTH(M493),DAY(M493)),"")</f>
        <v/>
      </c>
      <c r="O493" s="21" t="n"/>
      <c r="P493" s="21" t="n"/>
      <c r="Q493" s="21" t="n"/>
    </row>
    <row r="494">
      <c r="A494" s="21" t="n"/>
      <c r="B494" s="21" t="n"/>
      <c r="C494" s="22" t="n"/>
      <c r="D494" s="21" t="n"/>
      <c r="E494" s="21" t="n"/>
      <c r="F494" s="22" t="n"/>
      <c r="G494" s="21" t="n"/>
      <c r="H494" s="22" t="n"/>
      <c r="I494" s="23" t="n"/>
      <c r="J494" s="24">
        <f>IF(ISNUMBER(H494),H494-IF(ISNUMBER(I494),I494,30),"")</f>
        <v/>
      </c>
      <c r="K494" s="25">
        <f>IF(H494="","",IF(ISNUMBER(H494),H494-TODAY(),"Check date"))</f>
        <v/>
      </c>
      <c r="L494" s="26">
        <f>IF(K494="","",IF(ISNUMBER(K494),IF(K494&lt;0,"Expired",IF(K494&lt;=30,"Due ≤30 days",IF(K494&lt;=90,"Due ≤90 days","OK"))),"Check date"))</f>
        <v/>
      </c>
      <c r="M494" s="22" t="n"/>
      <c r="N494" s="24">
        <f>IF(ISNUMBER(M494),DATE(YEAR(M494)+2,MONTH(M494),DAY(M494)),"")</f>
        <v/>
      </c>
      <c r="O494" s="21" t="n"/>
      <c r="P494" s="21" t="n"/>
      <c r="Q494" s="21" t="n"/>
    </row>
    <row r="495">
      <c r="A495" s="21" t="n"/>
      <c r="B495" s="21" t="n"/>
      <c r="C495" s="22" t="n"/>
      <c r="D495" s="21" t="n"/>
      <c r="E495" s="21" t="n"/>
      <c r="F495" s="22" t="n"/>
      <c r="G495" s="21" t="n"/>
      <c r="H495" s="22" t="n"/>
      <c r="I495" s="23" t="n"/>
      <c r="J495" s="24">
        <f>IF(ISNUMBER(H495),H495-IF(ISNUMBER(I495),I495,30),"")</f>
        <v/>
      </c>
      <c r="K495" s="25">
        <f>IF(H495="","",IF(ISNUMBER(H495),H495-TODAY(),"Check date"))</f>
        <v/>
      </c>
      <c r="L495" s="26">
        <f>IF(K495="","",IF(ISNUMBER(K495),IF(K495&lt;0,"Expired",IF(K495&lt;=30,"Due ≤30 days",IF(K495&lt;=90,"Due ≤90 days","OK"))),"Check date"))</f>
        <v/>
      </c>
      <c r="M495" s="22" t="n"/>
      <c r="N495" s="24">
        <f>IF(ISNUMBER(M495),DATE(YEAR(M495)+2,MONTH(M495),DAY(M495)),"")</f>
        <v/>
      </c>
      <c r="O495" s="21" t="n"/>
      <c r="P495" s="21" t="n"/>
      <c r="Q495" s="21" t="n"/>
    </row>
    <row r="496">
      <c r="A496" s="21" t="n"/>
      <c r="B496" s="21" t="n"/>
      <c r="C496" s="22" t="n"/>
      <c r="D496" s="21" t="n"/>
      <c r="E496" s="21" t="n"/>
      <c r="F496" s="22" t="n"/>
      <c r="G496" s="21" t="n"/>
      <c r="H496" s="22" t="n"/>
      <c r="I496" s="23" t="n"/>
      <c r="J496" s="24">
        <f>IF(ISNUMBER(H496),H496-IF(ISNUMBER(I496),I496,30),"")</f>
        <v/>
      </c>
      <c r="K496" s="25">
        <f>IF(H496="","",IF(ISNUMBER(H496),H496-TODAY(),"Check date"))</f>
        <v/>
      </c>
      <c r="L496" s="26">
        <f>IF(K496="","",IF(ISNUMBER(K496),IF(K496&lt;0,"Expired",IF(K496&lt;=30,"Due ≤30 days",IF(K496&lt;=90,"Due ≤90 days","OK"))),"Check date"))</f>
        <v/>
      </c>
      <c r="M496" s="22" t="n"/>
      <c r="N496" s="24">
        <f>IF(ISNUMBER(M496),DATE(YEAR(M496)+2,MONTH(M496),DAY(M496)),"")</f>
        <v/>
      </c>
      <c r="O496" s="21" t="n"/>
      <c r="P496" s="21" t="n"/>
      <c r="Q496" s="21" t="n"/>
    </row>
    <row r="497">
      <c r="A497" s="21" t="n"/>
      <c r="B497" s="21" t="n"/>
      <c r="C497" s="22" t="n"/>
      <c r="D497" s="21" t="n"/>
      <c r="E497" s="21" t="n"/>
      <c r="F497" s="22" t="n"/>
      <c r="G497" s="21" t="n"/>
      <c r="H497" s="22" t="n"/>
      <c r="I497" s="23" t="n"/>
      <c r="J497" s="24">
        <f>IF(ISNUMBER(H497),H497-IF(ISNUMBER(I497),I497,30),"")</f>
        <v/>
      </c>
      <c r="K497" s="25">
        <f>IF(H497="","",IF(ISNUMBER(H497),H497-TODAY(),"Check date"))</f>
        <v/>
      </c>
      <c r="L497" s="26">
        <f>IF(K497="","",IF(ISNUMBER(K497),IF(K497&lt;0,"Expired",IF(K497&lt;=30,"Due ≤30 days",IF(K497&lt;=90,"Due ≤90 days","OK"))),"Check date"))</f>
        <v/>
      </c>
      <c r="M497" s="22" t="n"/>
      <c r="N497" s="24">
        <f>IF(ISNUMBER(M497),DATE(YEAR(M497)+2,MONTH(M497),DAY(M497)),"")</f>
        <v/>
      </c>
      <c r="O497" s="21" t="n"/>
      <c r="P497" s="21" t="n"/>
      <c r="Q497" s="21" t="n"/>
    </row>
    <row r="498">
      <c r="A498" s="21" t="n"/>
      <c r="B498" s="21" t="n"/>
      <c r="C498" s="22" t="n"/>
      <c r="D498" s="21" t="n"/>
      <c r="E498" s="21" t="n"/>
      <c r="F498" s="22" t="n"/>
      <c r="G498" s="21" t="n"/>
      <c r="H498" s="22" t="n"/>
      <c r="I498" s="23" t="n"/>
      <c r="J498" s="24">
        <f>IF(ISNUMBER(H498),H498-IF(ISNUMBER(I498),I498,30),"")</f>
        <v/>
      </c>
      <c r="K498" s="25">
        <f>IF(H498="","",IF(ISNUMBER(H498),H498-TODAY(),"Check date"))</f>
        <v/>
      </c>
      <c r="L498" s="26">
        <f>IF(K498="","",IF(ISNUMBER(K498),IF(K498&lt;0,"Expired",IF(K498&lt;=30,"Due ≤30 days",IF(K498&lt;=90,"Due ≤90 days","OK"))),"Check date"))</f>
        <v/>
      </c>
      <c r="M498" s="22" t="n"/>
      <c r="N498" s="24">
        <f>IF(ISNUMBER(M498),DATE(YEAR(M498)+2,MONTH(M498),DAY(M498)),"")</f>
        <v/>
      </c>
      <c r="O498" s="21" t="n"/>
      <c r="P498" s="21" t="n"/>
      <c r="Q498" s="21" t="n"/>
    </row>
    <row r="499">
      <c r="A499" s="21" t="n"/>
      <c r="B499" s="21" t="n"/>
      <c r="C499" s="22" t="n"/>
      <c r="D499" s="21" t="n"/>
      <c r="E499" s="21" t="n"/>
      <c r="F499" s="22" t="n"/>
      <c r="G499" s="21" t="n"/>
      <c r="H499" s="22" t="n"/>
      <c r="I499" s="23" t="n"/>
      <c r="J499" s="24">
        <f>IF(ISNUMBER(H499),H499-IF(ISNUMBER(I499),I499,30),"")</f>
        <v/>
      </c>
      <c r="K499" s="25">
        <f>IF(H499="","",IF(ISNUMBER(H499),H499-TODAY(),"Check date"))</f>
        <v/>
      </c>
      <c r="L499" s="26">
        <f>IF(K499="","",IF(ISNUMBER(K499),IF(K499&lt;0,"Expired",IF(K499&lt;=30,"Due ≤30 days",IF(K499&lt;=90,"Due ≤90 days","OK"))),"Check date"))</f>
        <v/>
      </c>
      <c r="M499" s="22" t="n"/>
      <c r="N499" s="24">
        <f>IF(ISNUMBER(M499),DATE(YEAR(M499)+2,MONTH(M499),DAY(M499)),"")</f>
        <v/>
      </c>
      <c r="O499" s="21" t="n"/>
      <c r="P499" s="21" t="n"/>
      <c r="Q499" s="21" t="n"/>
    </row>
    <row r="500">
      <c r="A500" s="21" t="n"/>
      <c r="B500" s="21" t="n"/>
      <c r="C500" s="22" t="n"/>
      <c r="D500" s="21" t="n"/>
      <c r="E500" s="21" t="n"/>
      <c r="F500" s="22" t="n"/>
      <c r="G500" s="21" t="n"/>
      <c r="H500" s="22" t="n"/>
      <c r="I500" s="23" t="n"/>
      <c r="J500" s="24">
        <f>IF(ISNUMBER(H500),H500-IF(ISNUMBER(I500),I500,30),"")</f>
        <v/>
      </c>
      <c r="K500" s="25">
        <f>IF(H500="","",IF(ISNUMBER(H500),H500-TODAY(),"Check date"))</f>
        <v/>
      </c>
      <c r="L500" s="26">
        <f>IF(K500="","",IF(ISNUMBER(K500),IF(K500&lt;0,"Expired",IF(K500&lt;=30,"Due ≤30 days",IF(K500&lt;=90,"Due ≤90 days","OK"))),"Check date"))</f>
        <v/>
      </c>
      <c r="M500" s="22" t="n"/>
      <c r="N500" s="24">
        <f>IF(ISNUMBER(M500),DATE(YEAR(M500)+2,MONTH(M500),DAY(M500)),"")</f>
        <v/>
      </c>
      <c r="O500" s="21" t="n"/>
      <c r="P500" s="21" t="n"/>
      <c r="Q500" s="21" t="n"/>
    </row>
    <row r="501">
      <c r="A501" s="21" t="n"/>
      <c r="B501" s="21" t="n"/>
      <c r="C501" s="22" t="n"/>
      <c r="D501" s="21" t="n"/>
      <c r="E501" s="21" t="n"/>
      <c r="F501" s="22" t="n"/>
      <c r="G501" s="21" t="n"/>
      <c r="H501" s="22" t="n"/>
      <c r="I501" s="23" t="n"/>
      <c r="J501" s="24">
        <f>IF(ISNUMBER(H501),H501-IF(ISNUMBER(I501),I501,30),"")</f>
        <v/>
      </c>
      <c r="K501" s="25">
        <f>IF(H501="","",IF(ISNUMBER(H501),H501-TODAY(),"Check date"))</f>
        <v/>
      </c>
      <c r="L501" s="26">
        <f>IF(K501="","",IF(ISNUMBER(K501),IF(K501&lt;0,"Expired",IF(K501&lt;=30,"Due ≤30 days",IF(K501&lt;=90,"Due ≤90 days","OK"))),"Check date"))</f>
        <v/>
      </c>
      <c r="M501" s="22" t="n"/>
      <c r="N501" s="24">
        <f>IF(ISNUMBER(M501),DATE(YEAR(M501)+2,MONTH(M501),DAY(M501)),"")</f>
        <v/>
      </c>
      <c r="O501" s="21" t="n"/>
      <c r="P501" s="21" t="n"/>
      <c r="Q501" s="21" t="n"/>
    </row>
    <row r="502">
      <c r="A502" s="21" t="n"/>
      <c r="B502" s="21" t="n"/>
      <c r="C502" s="22" t="n"/>
      <c r="D502" s="21" t="n"/>
      <c r="E502" s="21" t="n"/>
      <c r="F502" s="22" t="n"/>
      <c r="G502" s="21" t="n"/>
      <c r="H502" s="22" t="n"/>
      <c r="I502" s="23" t="n"/>
      <c r="J502" s="24">
        <f>IF(ISNUMBER(H502),H502-IF(ISNUMBER(I502),I502,30),"")</f>
        <v/>
      </c>
      <c r="K502" s="25">
        <f>IF(H502="","",IF(ISNUMBER(H502),H502-TODAY(),"Check date"))</f>
        <v/>
      </c>
      <c r="L502" s="26">
        <f>IF(K502="","",IF(ISNUMBER(K502),IF(K502&lt;0,"Expired",IF(K502&lt;=30,"Due ≤30 days",IF(K502&lt;=90,"Due ≤90 days","OK"))),"Check date"))</f>
        <v/>
      </c>
      <c r="M502" s="22" t="n"/>
      <c r="N502" s="24">
        <f>IF(ISNUMBER(M502),DATE(YEAR(M502)+2,MONTH(M502),DAY(M502)),"")</f>
        <v/>
      </c>
      <c r="O502" s="21" t="n"/>
      <c r="P502" s="21" t="n"/>
      <c r="Q502" s="21" t="n"/>
    </row>
    <row r="503">
      <c r="A503" s="21" t="n"/>
      <c r="B503" s="21" t="n"/>
      <c r="C503" s="22" t="n"/>
      <c r="D503" s="21" t="n"/>
      <c r="E503" s="21" t="n"/>
      <c r="F503" s="22" t="n"/>
      <c r="G503" s="21" t="n"/>
      <c r="H503" s="22" t="n"/>
      <c r="I503" s="23" t="n"/>
      <c r="J503" s="24">
        <f>IF(ISNUMBER(H503),H503-IF(ISNUMBER(I503),I503,30),"")</f>
        <v/>
      </c>
      <c r="K503" s="25">
        <f>IF(H503="","",IF(ISNUMBER(H503),H503-TODAY(),"Check date"))</f>
        <v/>
      </c>
      <c r="L503" s="26">
        <f>IF(K503="","",IF(ISNUMBER(K503),IF(K503&lt;0,"Expired",IF(K503&lt;=30,"Due ≤30 days",IF(K503&lt;=90,"Due ≤90 days","OK"))),"Check date"))</f>
        <v/>
      </c>
      <c r="M503" s="22" t="n"/>
      <c r="N503" s="24">
        <f>IF(ISNUMBER(M503),DATE(YEAR(M503)+2,MONTH(M503),DAY(M503)),"")</f>
        <v/>
      </c>
      <c r="O503" s="21" t="n"/>
      <c r="P503" s="21" t="n"/>
      <c r="Q503" s="21" t="n"/>
    </row>
  </sheetData>
  <conditionalFormatting sqref="J4:J503 K4:K503 L4:L503">
    <cfRule type="expression" priority="1" dxfId="0" stopIfTrue="1">
      <formula>AND(ISNUMBER($K4),$K4&lt;0)</formula>
    </cfRule>
    <cfRule type="expression" priority="2" dxfId="1" stopIfTrue="1">
      <formula>AND(ISNUMBER($K4),$K4&lt;=30)</formula>
    </cfRule>
    <cfRule type="expression" priority="3" dxfId="2" stopIfTrue="1">
      <formula>AND(ISNUMBER($K4),$K4&lt;=90)</formula>
    </cfRule>
    <cfRule type="expression" priority="4" dxfId="3" stopIfTrue="1">
      <formula>ISNUMBER($K4)</formula>
    </cfRule>
  </conditionalFormatting>
  <conditionalFormatting sqref="A4:A503 B4:B503 C4:C503 D4:D503 E4:E503 F4:F503 G4:G503 H4:H503 I4:I503 M4:M503 O4:O503 P4:P503 Q4:Q503">
    <cfRule type="expression" priority="5" dxfId="4">
      <formula>LEFT($A4,9)="Example –"</formula>
    </cfRule>
    <cfRule type="expression" priority="6" dxfId="5">
      <formula>MOD(ROW(),2)=0</formula>
    </cfRule>
  </conditionalFormatting>
  <dataValidations count="6">
    <dataValidation sqref="C4:C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D4:D503" showDropDown="0" showInputMessage="0" showErrorMessage="1" allowBlank="1" errorTitle="Check type" error="That is not on the list. Keep it anyway, or add it to the Lists sheet." type="list" errorStyle="warning">
      <formula1>=Lists!$A$2:$A$4</formula1>
    </dataValidation>
    <dataValidation sqref="F4:F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H4:H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  <dataValidation sqref="I4:I503" showDropDown="0" showInputMessage="0" showErrorMessage="1" allowBlank="1" errorTitle="Number expected" error="Type a number (no currency symbol)." type="decimal" errorStyle="warning" operator="greaterThanOrEqual">
      <formula1>0</formula1>
    </dataValidation>
    <dataValidation sqref="M4:M503" showDropDown="0" showInputMessage="0" showErrorMessage="1" allowBlank="1" errorTitle="Date expected" error="Type a real date, e.g. 14 Jun 2027 (or 2027-06-14). Text that only looks like a date will not calculate." type="date" errorStyle="warning" operator="greaterThan">
      <formula1>32874</formula1>
    </dataValidation>
  </dataValidations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G2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5" customWidth="1" min="4" max="4"/>
    <col width="10" customWidth="1" min="5" max="5"/>
    <col width="15" customWidth="1" min="6" max="6"/>
    <col width="28" customWidth="1" min="7" max="7"/>
    <col width="6" customWidth="1" min="8" max="8"/>
  </cols>
  <sheetData>
    <row r="1">
      <c r="B1" s="27" t="inlineStr">
        <is>
          <t>Dashboard</t>
        </is>
      </c>
    </row>
    <row r="2">
      <c r="B2" s="3" t="inlineStr">
        <is>
          <t>As of</t>
        </is>
      </c>
      <c r="C2" s="28">
        <f>TODAY()</f>
        <v/>
      </c>
    </row>
    <row r="4">
      <c r="B4" s="29" t="inlineStr">
        <is>
          <t>Where things stand</t>
        </is>
      </c>
    </row>
    <row r="5">
      <c r="B5" s="30" t="n"/>
      <c r="C5" s="31" t="inlineStr">
        <is>
          <t>Status</t>
        </is>
      </c>
      <c r="D5" s="32" t="inlineStr">
        <is>
          <t>Checks</t>
        </is>
      </c>
    </row>
    <row r="6">
      <c r="C6" s="33" t="inlineStr">
        <is>
          <t>Expired</t>
        </is>
      </c>
      <c r="D6" s="34">
        <f>COUNTIF('Checks'!$L$4:$L$503,"Expired")</f>
        <v/>
      </c>
    </row>
    <row r="7">
      <c r="C7" s="35" t="inlineStr">
        <is>
          <t>Due ≤30 days</t>
        </is>
      </c>
      <c r="D7" s="34">
        <f>COUNTIF('Checks'!$L$4:$L$503,"Due ≤30 days")</f>
        <v/>
      </c>
    </row>
    <row r="8">
      <c r="C8" s="36" t="inlineStr">
        <is>
          <t>Due ≤90 days</t>
        </is>
      </c>
      <c r="D8" s="34">
        <f>COUNTIF('Checks'!$L$4:$L$503,"Due ≤90 days")</f>
        <v/>
      </c>
    </row>
    <row r="9">
      <c r="C9" s="37" t="inlineStr">
        <is>
          <t>OK</t>
        </is>
      </c>
      <c r="D9" s="34">
        <f>COUNTIF('Checks'!$L$4:$L$503,"OK")</f>
        <v/>
      </c>
    </row>
    <row r="10">
      <c r="C10" s="38" t="inlineStr">
        <is>
          <t>No follow-up needed (no time limit)</t>
        </is>
      </c>
      <c r="D10" s="34">
        <f>SUMPRODUCT((LEN('Checks'!$A$4:$A$503)&gt;0)*(ISNUMBER('Checks'!$J$4:$J$503)=FALSE))</f>
        <v/>
      </c>
    </row>
    <row r="11">
      <c r="C11" s="38" t="inlineStr">
        <is>
          <t>Total rows</t>
        </is>
      </c>
      <c r="D11" s="34">
        <f>COUNTIF('Checks'!$A$4:$A$503,"?*")</f>
        <v/>
      </c>
    </row>
    <row r="12">
      <c r="C12" s="3" t="inlineStr">
        <is>
          <t>Status is calculated from the follow-up check by. Counts update every time the file recalculates.</t>
        </is>
      </c>
    </row>
    <row r="14">
      <c r="B14" s="29" t="inlineStr">
        <is>
          <t>Next 10 due</t>
        </is>
      </c>
    </row>
    <row r="15">
      <c r="B15" s="13" t="inlineStr">
        <is>
          <t>#</t>
        </is>
      </c>
      <c r="C15" s="13" t="inlineStr">
        <is>
          <t>Item</t>
        </is>
      </c>
      <c r="D15" s="13" t="inlineStr">
        <is>
          <t>Follow-up check by</t>
        </is>
      </c>
      <c r="E15" s="13" t="inlineStr">
        <is>
          <t>Days left</t>
        </is>
      </c>
      <c r="F15" s="13" t="inlineStr">
        <is>
          <t>Status</t>
        </is>
      </c>
      <c r="G15" s="13" t="inlineStr">
        <is>
          <t>Owner email</t>
        </is>
      </c>
    </row>
    <row r="16">
      <c r="B16" s="39" t="n">
        <v>1</v>
      </c>
      <c r="C16" s="40">
        <f>IF(_calc!$D$4="","",INDEX('Checks'!$A$4:$A$503,_calc!$D$4))</f>
        <v/>
      </c>
      <c r="D16" s="41">
        <f>IF(_calc!$C$4="","",INT(_calc!$C$4))</f>
        <v/>
      </c>
      <c r="E16" s="42">
        <f>IF(_calc!$C$4="","",INT(_calc!$C$4)-TODAY())</f>
        <v/>
      </c>
      <c r="F16" s="38">
        <f>IF(E16="","",IF(E16&lt;0,"Expired",IF(E16&lt;=30,"Due ≤30 days",IF(E16&lt;=90,"Due ≤90 days","OK"))))</f>
        <v/>
      </c>
      <c r="G16" s="40">
        <f>IF(_calc!$D$4="","",IF(LEN(INDEX('Checks'!$O$4:$O$503,_calc!$D$4))=0,"",INDEX('Checks'!$O$4:$O$503,_calc!$D$4)))</f>
        <v/>
      </c>
    </row>
    <row r="17">
      <c r="B17" s="39" t="n">
        <v>2</v>
      </c>
      <c r="C17" s="40">
        <f>IF(_calc!$D$5="","",INDEX('Checks'!$A$4:$A$503,_calc!$D$5))</f>
        <v/>
      </c>
      <c r="D17" s="41">
        <f>IF(_calc!$C$5="","",INT(_calc!$C$5))</f>
        <v/>
      </c>
      <c r="E17" s="42">
        <f>IF(_calc!$C$5="","",INT(_calc!$C$5)-TODAY())</f>
        <v/>
      </c>
      <c r="F17" s="38">
        <f>IF(E17="","",IF(E17&lt;0,"Expired",IF(E17&lt;=30,"Due ≤30 days",IF(E17&lt;=90,"Due ≤90 days","OK"))))</f>
        <v/>
      </c>
      <c r="G17" s="40">
        <f>IF(_calc!$D$5="","",IF(LEN(INDEX('Checks'!$O$4:$O$503,_calc!$D$5))=0,"",INDEX('Checks'!$O$4:$O$503,_calc!$D$5)))</f>
        <v/>
      </c>
    </row>
    <row r="18">
      <c r="B18" s="39" t="n">
        <v>3</v>
      </c>
      <c r="C18" s="40">
        <f>IF(_calc!$D$6="","",INDEX('Checks'!$A$4:$A$503,_calc!$D$6))</f>
        <v/>
      </c>
      <c r="D18" s="41">
        <f>IF(_calc!$C$6="","",INT(_calc!$C$6))</f>
        <v/>
      </c>
      <c r="E18" s="42">
        <f>IF(_calc!$C$6="","",INT(_calc!$C$6)-TODAY())</f>
        <v/>
      </c>
      <c r="F18" s="38">
        <f>IF(E18="","",IF(E18&lt;0,"Expired",IF(E18&lt;=30,"Due ≤30 days",IF(E18&lt;=90,"Due ≤90 days","OK"))))</f>
        <v/>
      </c>
      <c r="G18" s="40">
        <f>IF(_calc!$D$6="","",IF(LEN(INDEX('Checks'!$O$4:$O$503,_calc!$D$6))=0,"",INDEX('Checks'!$O$4:$O$503,_calc!$D$6)))</f>
        <v/>
      </c>
    </row>
    <row r="19">
      <c r="B19" s="39" t="n">
        <v>4</v>
      </c>
      <c r="C19" s="40">
        <f>IF(_calc!$D$7="","",INDEX('Checks'!$A$4:$A$503,_calc!$D$7))</f>
        <v/>
      </c>
      <c r="D19" s="41">
        <f>IF(_calc!$C$7="","",INT(_calc!$C$7))</f>
        <v/>
      </c>
      <c r="E19" s="42">
        <f>IF(_calc!$C$7="","",INT(_calc!$C$7)-TODAY())</f>
        <v/>
      </c>
      <c r="F19" s="38">
        <f>IF(E19="","",IF(E19&lt;0,"Expired",IF(E19&lt;=30,"Due ≤30 days",IF(E19&lt;=90,"Due ≤90 days","OK"))))</f>
        <v/>
      </c>
      <c r="G19" s="40">
        <f>IF(_calc!$D$7="","",IF(LEN(INDEX('Checks'!$O$4:$O$503,_calc!$D$7))=0,"",INDEX('Checks'!$O$4:$O$503,_calc!$D$7)))</f>
        <v/>
      </c>
    </row>
    <row r="20">
      <c r="B20" s="39" t="n">
        <v>5</v>
      </c>
      <c r="C20" s="40">
        <f>IF(_calc!$D$8="","",INDEX('Checks'!$A$4:$A$503,_calc!$D$8))</f>
        <v/>
      </c>
      <c r="D20" s="41">
        <f>IF(_calc!$C$8="","",INT(_calc!$C$8))</f>
        <v/>
      </c>
      <c r="E20" s="42">
        <f>IF(_calc!$C$8="","",INT(_calc!$C$8)-TODAY())</f>
        <v/>
      </c>
      <c r="F20" s="38">
        <f>IF(E20="","",IF(E20&lt;0,"Expired",IF(E20&lt;=30,"Due ≤30 days",IF(E20&lt;=90,"Due ≤90 days","OK"))))</f>
        <v/>
      </c>
      <c r="G20" s="40">
        <f>IF(_calc!$D$8="","",IF(LEN(INDEX('Checks'!$O$4:$O$503,_calc!$D$8))=0,"",INDEX('Checks'!$O$4:$O$503,_calc!$D$8)))</f>
        <v/>
      </c>
    </row>
    <row r="21">
      <c r="B21" s="39" t="n">
        <v>6</v>
      </c>
      <c r="C21" s="40">
        <f>IF(_calc!$D$9="","",INDEX('Checks'!$A$4:$A$503,_calc!$D$9))</f>
        <v/>
      </c>
      <c r="D21" s="41">
        <f>IF(_calc!$C$9="","",INT(_calc!$C$9))</f>
        <v/>
      </c>
      <c r="E21" s="42">
        <f>IF(_calc!$C$9="","",INT(_calc!$C$9)-TODAY())</f>
        <v/>
      </c>
      <c r="F21" s="38">
        <f>IF(E21="","",IF(E21&lt;0,"Expired",IF(E21&lt;=30,"Due ≤30 days",IF(E21&lt;=90,"Due ≤90 days","OK"))))</f>
        <v/>
      </c>
      <c r="G21" s="40">
        <f>IF(_calc!$D$9="","",IF(LEN(INDEX('Checks'!$O$4:$O$503,_calc!$D$9))=0,"",INDEX('Checks'!$O$4:$O$503,_calc!$D$9)))</f>
        <v/>
      </c>
    </row>
    <row r="22">
      <c r="B22" s="39" t="n">
        <v>7</v>
      </c>
      <c r="C22" s="40">
        <f>IF(_calc!$D$10="","",INDEX('Checks'!$A$4:$A$503,_calc!$D$10))</f>
        <v/>
      </c>
      <c r="D22" s="41">
        <f>IF(_calc!$C$10="","",INT(_calc!$C$10))</f>
        <v/>
      </c>
      <c r="E22" s="42">
        <f>IF(_calc!$C$10="","",INT(_calc!$C$10)-TODAY())</f>
        <v/>
      </c>
      <c r="F22" s="38">
        <f>IF(E22="","",IF(E22&lt;0,"Expired",IF(E22&lt;=30,"Due ≤30 days",IF(E22&lt;=90,"Due ≤90 days","OK"))))</f>
        <v/>
      </c>
      <c r="G22" s="40">
        <f>IF(_calc!$D$10="","",IF(LEN(INDEX('Checks'!$O$4:$O$503,_calc!$D$10))=0,"",INDEX('Checks'!$O$4:$O$503,_calc!$D$10)))</f>
        <v/>
      </c>
    </row>
    <row r="23">
      <c r="B23" s="39" t="n">
        <v>8</v>
      </c>
      <c r="C23" s="40">
        <f>IF(_calc!$D$11="","",INDEX('Checks'!$A$4:$A$503,_calc!$D$11))</f>
        <v/>
      </c>
      <c r="D23" s="41">
        <f>IF(_calc!$C$11="","",INT(_calc!$C$11))</f>
        <v/>
      </c>
      <c r="E23" s="42">
        <f>IF(_calc!$C$11="","",INT(_calc!$C$11)-TODAY())</f>
        <v/>
      </c>
      <c r="F23" s="38">
        <f>IF(E23="","",IF(E23&lt;0,"Expired",IF(E23&lt;=30,"Due ≤30 days",IF(E23&lt;=90,"Due ≤90 days","OK"))))</f>
        <v/>
      </c>
      <c r="G23" s="40">
        <f>IF(_calc!$D$11="","",IF(LEN(INDEX('Checks'!$O$4:$O$503,_calc!$D$11))=0,"",INDEX('Checks'!$O$4:$O$503,_calc!$D$11)))</f>
        <v/>
      </c>
    </row>
    <row r="24">
      <c r="B24" s="39" t="n">
        <v>9</v>
      </c>
      <c r="C24" s="40">
        <f>IF(_calc!$D$12="","",INDEX('Checks'!$A$4:$A$503,_calc!$D$12))</f>
        <v/>
      </c>
      <c r="D24" s="41">
        <f>IF(_calc!$C$12="","",INT(_calc!$C$12))</f>
        <v/>
      </c>
      <c r="E24" s="42">
        <f>IF(_calc!$C$12="","",INT(_calc!$C$12)-TODAY())</f>
        <v/>
      </c>
      <c r="F24" s="38">
        <f>IF(E24="","",IF(E24&lt;0,"Expired",IF(E24&lt;=30,"Due ≤30 days",IF(E24&lt;=90,"Due ≤90 days","OK"))))</f>
        <v/>
      </c>
      <c r="G24" s="40">
        <f>IF(_calc!$D$12="","",IF(LEN(INDEX('Checks'!$O$4:$O$503,_calc!$D$12))=0,"",INDEX('Checks'!$O$4:$O$503,_calc!$D$12)))</f>
        <v/>
      </c>
    </row>
    <row r="25">
      <c r="B25" s="39" t="n">
        <v>10</v>
      </c>
      <c r="C25" s="40">
        <f>IF(_calc!$D$13="","",INDEX('Checks'!$A$4:$A$503,_calc!$D$13))</f>
        <v/>
      </c>
      <c r="D25" s="41">
        <f>IF(_calc!$C$13="","",INT(_calc!$C$13))</f>
        <v/>
      </c>
      <c r="E25" s="42">
        <f>IF(_calc!$C$13="","",INT(_calc!$C$13)-TODAY())</f>
        <v/>
      </c>
      <c r="F25" s="38">
        <f>IF(E25="","",IF(E25&lt;0,"Expired",IF(E25&lt;=30,"Due ≤30 days",IF(E25&lt;=90,"Due ≤90 days","OK"))))</f>
        <v/>
      </c>
      <c r="G25" s="40">
        <f>IF(_calc!$D$13="","",IF(LEN(INDEX('Checks'!$O$4:$O$503,_calc!$D$13))=0,"",INDEX('Checks'!$O$4:$O$503,_calc!$D$13)))</f>
        <v/>
      </c>
    </row>
    <row r="26">
      <c r="C26" s="3" t="inlineStr">
        <is>
          <t>Earliest dates first, including anything already expired.</t>
        </is>
      </c>
    </row>
    <row r="27">
      <c r="C27" s="3" t="inlineStr">
        <is>
          <t>Made by ExpiryEdge · expiryedge.com</t>
        </is>
      </c>
    </row>
  </sheetData>
  <conditionalFormatting sqref="D16:F25">
    <cfRule type="expression" priority="1" dxfId="0" stopIfTrue="1">
      <formula>AND(ISNUMBER($E16),$E16&lt;0)</formula>
    </cfRule>
    <cfRule type="expression" priority="2" dxfId="1" stopIfTrue="1">
      <formula>AND(ISNUMBER($E16),$E16&lt;=30)</formula>
    </cfRule>
    <cfRule type="expression" priority="3" dxfId="2" stopIfTrue="1">
      <formula>AND(ISNUMBER($E16),$E16&lt;=90)</formula>
    </cfRule>
    <cfRule type="expression" priority="4" dxfId="3" stopIfTrue="1">
      <formula>ISNUMBER($E16)</formula>
    </cfRule>
  </conditionalFormatting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35584B"/>
    <outlinePr summaryBelow="1" summaryRight="1"/>
    <pageSetUpPr fitToPage="1"/>
  </sheetPr>
  <dimension ref="A1:K501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8" customWidth="1" min="3" max="3"/>
    <col width="13" customWidth="1" min="4" max="4"/>
    <col width="13" customWidth="1" min="5" max="5"/>
    <col width="60" customWidth="1" min="6" max="6"/>
    <col width="24" customWidth="1" min="7" max="7"/>
    <col width="13" customWidth="1" min="8" max="8"/>
    <col width="13" customWidth="1" min="9" max="9"/>
    <col width="13" customWidth="1" min="10" max="10"/>
    <col width="26" customWidth="1" min="11" max="11"/>
  </cols>
  <sheetData>
    <row r="1">
      <c r="A1" s="12" t="inlineStr">
        <is>
          <t>name</t>
        </is>
      </c>
      <c r="B1" s="12" t="inlineStr">
        <is>
          <t>expiry_date</t>
        </is>
      </c>
      <c r="C1" s="12" t="inlineStr">
        <is>
          <t>type</t>
        </is>
      </c>
      <c r="D1" s="12" t="inlineStr">
        <is>
          <t>start_date</t>
        </is>
      </c>
      <c r="E1" s="12" t="inlineStr">
        <is>
          <t>priority</t>
        </is>
      </c>
      <c r="F1" s="12" t="inlineStr">
        <is>
          <t>notes</t>
        </is>
      </c>
      <c r="G1" s="12" t="inlineStr">
        <is>
          <t>url</t>
        </is>
      </c>
      <c r="H1" s="12" t="inlineStr">
        <is>
          <t>value</t>
        </is>
      </c>
      <c r="I1" s="12" t="inlineStr">
        <is>
          <t>currency</t>
        </is>
      </c>
      <c r="J1" s="12" t="inlineStr">
        <is>
          <t>penalty_amount</t>
        </is>
      </c>
      <c r="K1" s="12" t="inlineStr">
        <is>
          <t>notification_email</t>
        </is>
      </c>
    </row>
    <row r="2">
      <c r="A2" s="43">
        <f>IF(_calc!$E$4="","","Right to work follow-up – "&amp;IF(LEN(INDEX('Checks'!$A$4:$A$503,_calc!$E$4))=0,"",INDEX('Checks'!$A$4:$A$503,_calc!$E$4)))</f>
        <v/>
      </c>
      <c r="B2" s="43">
        <f>IF(_calc!$E$4="","",IF(ISNUMBER(INDEX('Checks'!$H$4:$H$503,_calc!$E$4)),TEXT(INDEX('Checks'!$H$4:$H$503,_calc!$E$4),"yyyy-mm-dd"),""))</f>
        <v/>
      </c>
      <c r="C2" s="43">
        <f>IF(_calc!$E$4="","","Right to work")</f>
        <v/>
      </c>
      <c r="D2" s="43">
        <f>IF(_calc!$E$4="","",IF(ISNUMBER(INDEX('Checks'!$F$4:$F$503,_calc!$E$4)),TEXT(INDEX('Checks'!$F$4:$F$503,_calc!$E$4),"yyyy-mm-dd"),""))</f>
        <v/>
      </c>
      <c r="E2" s="43">
        <f>IF(_calc!$E$4="","","High")</f>
        <v/>
      </c>
      <c r="F2" s="43">
        <f>IF(_calc!$E$4="","",TRIM(IF(LEN(IF(LEN(INDEX('Checks'!$B$4:$B$503,_calc!$E$4))=0,"",INDEX('Checks'!$B$4:$B$503,_calc!$E$4)))=0,"","Role: "&amp;IF(LEN(INDEX('Checks'!$B$4:$B$503,_calc!$E$4))=0,"",INDEX('Checks'!$B$4:$B$503,_calc!$E$4))&amp;". ")&amp;IF(LEN(IF(LEN(INDEX('Checks'!$D$4:$D$503,_calc!$E$4))=0,"",INDEX('Checks'!$D$4:$D$503,_calc!$E$4)))=0,"","Check type: "&amp;IF(LEN(INDEX('Checks'!$D$4:$D$503,_calc!$E$4))=0,"",INDEX('Checks'!$D$4:$D$503,_calc!$E$4))&amp;". ")&amp;IF(LEN(IF(LEN(INDEX('Checks'!$E$4:$E$503,_calc!$E$4))=0,"",INDEX('Checks'!$E$4:$E$503,_calc!$E$4)))=0,"","Evidence: "&amp;IF(LEN(INDEX('Checks'!$E$4:$E$503,_calc!$E$4))=0,"",INDEX('Checks'!$E$4:$E$503,_calc!$E$4))&amp;". ")&amp;IF(LEN(IF(LEN(INDEX('Checks'!$G$4:$G$503,_calc!$E$4))=0,"",INDEX('Checks'!$G$4:$G$503,_calc!$E$4)))=0,"","Checked by: "&amp;IF(LEN(INDEX('Checks'!$G$4:$G$503,_calc!$E$4))=0,"",INDEX('Checks'!$G$4:$G$503,_calc!$E$4))&amp;". ")&amp;IF(LEN(IF(LEN(INDEX('Checks'!$Q$4:$Q$503,_calc!$E$4))=0,"",INDEX('Checks'!$Q$4:$Q$503,_calc!$E$4)))=0,"",IF(LEN(INDEX('Checks'!$Q$4:$Q$503,_calc!$E$4))=0,"",INDEX('Checks'!$Q$4:$Q$503,_calc!$E$4)))))</f>
        <v/>
      </c>
      <c r="G2" s="43">
        <f>IF(_calc!$E$4="","",IF(LEN(INDEX('Checks'!$P$4:$P$503,_calc!$E$4))=0,"",INDEX('Checks'!$P$4:$P$503,_calc!$E$4)))</f>
        <v/>
      </c>
      <c r="K2" s="43">
        <f>IF(_calc!$E$4="","",IF(LEN(INDEX('Checks'!$O$4:$O$503,_calc!$E$4))=0,"",INDEX('Checks'!$O$4:$O$503,_calc!$E$4)))</f>
        <v/>
      </c>
    </row>
    <row r="3">
      <c r="A3" s="43">
        <f>IF(_calc!$E$5="","","Right to work follow-up – "&amp;IF(LEN(INDEX('Checks'!$A$4:$A$503,_calc!$E$5))=0,"",INDEX('Checks'!$A$4:$A$503,_calc!$E$5)))</f>
        <v/>
      </c>
      <c r="B3" s="43">
        <f>IF(_calc!$E$5="","",IF(ISNUMBER(INDEX('Checks'!$H$4:$H$503,_calc!$E$5)),TEXT(INDEX('Checks'!$H$4:$H$503,_calc!$E$5),"yyyy-mm-dd"),""))</f>
        <v/>
      </c>
      <c r="C3" s="43">
        <f>IF(_calc!$E$5="","","Right to work")</f>
        <v/>
      </c>
      <c r="D3" s="43">
        <f>IF(_calc!$E$5="","",IF(ISNUMBER(INDEX('Checks'!$F$4:$F$503,_calc!$E$5)),TEXT(INDEX('Checks'!$F$4:$F$503,_calc!$E$5),"yyyy-mm-dd"),""))</f>
        <v/>
      </c>
      <c r="E3" s="43">
        <f>IF(_calc!$E$5="","","High")</f>
        <v/>
      </c>
      <c r="F3" s="43">
        <f>IF(_calc!$E$5="","",TRIM(IF(LEN(IF(LEN(INDEX('Checks'!$B$4:$B$503,_calc!$E$5))=0,"",INDEX('Checks'!$B$4:$B$503,_calc!$E$5)))=0,"","Role: "&amp;IF(LEN(INDEX('Checks'!$B$4:$B$503,_calc!$E$5))=0,"",INDEX('Checks'!$B$4:$B$503,_calc!$E$5))&amp;". ")&amp;IF(LEN(IF(LEN(INDEX('Checks'!$D$4:$D$503,_calc!$E$5))=0,"",INDEX('Checks'!$D$4:$D$503,_calc!$E$5)))=0,"","Check type: "&amp;IF(LEN(INDEX('Checks'!$D$4:$D$503,_calc!$E$5))=0,"",INDEX('Checks'!$D$4:$D$503,_calc!$E$5))&amp;". ")&amp;IF(LEN(IF(LEN(INDEX('Checks'!$E$4:$E$503,_calc!$E$5))=0,"",INDEX('Checks'!$E$4:$E$503,_calc!$E$5)))=0,"","Evidence: "&amp;IF(LEN(INDEX('Checks'!$E$4:$E$503,_calc!$E$5))=0,"",INDEX('Checks'!$E$4:$E$503,_calc!$E$5))&amp;". ")&amp;IF(LEN(IF(LEN(INDEX('Checks'!$G$4:$G$503,_calc!$E$5))=0,"",INDEX('Checks'!$G$4:$G$503,_calc!$E$5)))=0,"","Checked by: "&amp;IF(LEN(INDEX('Checks'!$G$4:$G$503,_calc!$E$5))=0,"",INDEX('Checks'!$G$4:$G$503,_calc!$E$5))&amp;". ")&amp;IF(LEN(IF(LEN(INDEX('Checks'!$Q$4:$Q$503,_calc!$E$5))=0,"",INDEX('Checks'!$Q$4:$Q$503,_calc!$E$5)))=0,"",IF(LEN(INDEX('Checks'!$Q$4:$Q$503,_calc!$E$5))=0,"",INDEX('Checks'!$Q$4:$Q$503,_calc!$E$5)))))</f>
        <v/>
      </c>
      <c r="G3" s="43">
        <f>IF(_calc!$E$5="","",IF(LEN(INDEX('Checks'!$P$4:$P$503,_calc!$E$5))=0,"",INDEX('Checks'!$P$4:$P$503,_calc!$E$5)))</f>
        <v/>
      </c>
      <c r="K3" s="43">
        <f>IF(_calc!$E$5="","",IF(LEN(INDEX('Checks'!$O$4:$O$503,_calc!$E$5))=0,"",INDEX('Checks'!$O$4:$O$503,_calc!$E$5)))</f>
        <v/>
      </c>
    </row>
    <row r="4">
      <c r="A4" s="43">
        <f>IF(_calc!$E$6="","","Right to work follow-up – "&amp;IF(LEN(INDEX('Checks'!$A$4:$A$503,_calc!$E$6))=0,"",INDEX('Checks'!$A$4:$A$503,_calc!$E$6)))</f>
        <v/>
      </c>
      <c r="B4" s="43">
        <f>IF(_calc!$E$6="","",IF(ISNUMBER(INDEX('Checks'!$H$4:$H$503,_calc!$E$6)),TEXT(INDEX('Checks'!$H$4:$H$503,_calc!$E$6),"yyyy-mm-dd"),""))</f>
        <v/>
      </c>
      <c r="C4" s="43">
        <f>IF(_calc!$E$6="","","Right to work")</f>
        <v/>
      </c>
      <c r="D4" s="43">
        <f>IF(_calc!$E$6="","",IF(ISNUMBER(INDEX('Checks'!$F$4:$F$503,_calc!$E$6)),TEXT(INDEX('Checks'!$F$4:$F$503,_calc!$E$6),"yyyy-mm-dd"),""))</f>
        <v/>
      </c>
      <c r="E4" s="43">
        <f>IF(_calc!$E$6="","","High")</f>
        <v/>
      </c>
      <c r="F4" s="43">
        <f>IF(_calc!$E$6="","",TRIM(IF(LEN(IF(LEN(INDEX('Checks'!$B$4:$B$503,_calc!$E$6))=0,"",INDEX('Checks'!$B$4:$B$503,_calc!$E$6)))=0,"","Role: "&amp;IF(LEN(INDEX('Checks'!$B$4:$B$503,_calc!$E$6))=0,"",INDEX('Checks'!$B$4:$B$503,_calc!$E$6))&amp;". ")&amp;IF(LEN(IF(LEN(INDEX('Checks'!$D$4:$D$503,_calc!$E$6))=0,"",INDEX('Checks'!$D$4:$D$503,_calc!$E$6)))=0,"","Check type: "&amp;IF(LEN(INDEX('Checks'!$D$4:$D$503,_calc!$E$6))=0,"",INDEX('Checks'!$D$4:$D$503,_calc!$E$6))&amp;". ")&amp;IF(LEN(IF(LEN(INDEX('Checks'!$E$4:$E$503,_calc!$E$6))=0,"",INDEX('Checks'!$E$4:$E$503,_calc!$E$6)))=0,"","Evidence: "&amp;IF(LEN(INDEX('Checks'!$E$4:$E$503,_calc!$E$6))=0,"",INDEX('Checks'!$E$4:$E$503,_calc!$E$6))&amp;". ")&amp;IF(LEN(IF(LEN(INDEX('Checks'!$G$4:$G$503,_calc!$E$6))=0,"",INDEX('Checks'!$G$4:$G$503,_calc!$E$6)))=0,"","Checked by: "&amp;IF(LEN(INDEX('Checks'!$G$4:$G$503,_calc!$E$6))=0,"",INDEX('Checks'!$G$4:$G$503,_calc!$E$6))&amp;". ")&amp;IF(LEN(IF(LEN(INDEX('Checks'!$Q$4:$Q$503,_calc!$E$6))=0,"",INDEX('Checks'!$Q$4:$Q$503,_calc!$E$6)))=0,"",IF(LEN(INDEX('Checks'!$Q$4:$Q$503,_calc!$E$6))=0,"",INDEX('Checks'!$Q$4:$Q$503,_calc!$E$6)))))</f>
        <v/>
      </c>
      <c r="G4" s="43">
        <f>IF(_calc!$E$6="","",IF(LEN(INDEX('Checks'!$P$4:$P$503,_calc!$E$6))=0,"",INDEX('Checks'!$P$4:$P$503,_calc!$E$6)))</f>
        <v/>
      </c>
      <c r="K4" s="43">
        <f>IF(_calc!$E$6="","",IF(LEN(INDEX('Checks'!$O$4:$O$503,_calc!$E$6))=0,"",INDEX('Checks'!$O$4:$O$503,_calc!$E$6)))</f>
        <v/>
      </c>
    </row>
    <row r="5">
      <c r="A5" s="43">
        <f>IF(_calc!$E$7="","","Right to work follow-up – "&amp;IF(LEN(INDEX('Checks'!$A$4:$A$503,_calc!$E$7))=0,"",INDEX('Checks'!$A$4:$A$503,_calc!$E$7)))</f>
        <v/>
      </c>
      <c r="B5" s="43">
        <f>IF(_calc!$E$7="","",IF(ISNUMBER(INDEX('Checks'!$H$4:$H$503,_calc!$E$7)),TEXT(INDEX('Checks'!$H$4:$H$503,_calc!$E$7),"yyyy-mm-dd"),""))</f>
        <v/>
      </c>
      <c r="C5" s="43">
        <f>IF(_calc!$E$7="","","Right to work")</f>
        <v/>
      </c>
      <c r="D5" s="43">
        <f>IF(_calc!$E$7="","",IF(ISNUMBER(INDEX('Checks'!$F$4:$F$503,_calc!$E$7)),TEXT(INDEX('Checks'!$F$4:$F$503,_calc!$E$7),"yyyy-mm-dd"),""))</f>
        <v/>
      </c>
      <c r="E5" s="43">
        <f>IF(_calc!$E$7="","","High")</f>
        <v/>
      </c>
      <c r="F5" s="43">
        <f>IF(_calc!$E$7="","",TRIM(IF(LEN(IF(LEN(INDEX('Checks'!$B$4:$B$503,_calc!$E$7))=0,"",INDEX('Checks'!$B$4:$B$503,_calc!$E$7)))=0,"","Role: "&amp;IF(LEN(INDEX('Checks'!$B$4:$B$503,_calc!$E$7))=0,"",INDEX('Checks'!$B$4:$B$503,_calc!$E$7))&amp;". ")&amp;IF(LEN(IF(LEN(INDEX('Checks'!$D$4:$D$503,_calc!$E$7))=0,"",INDEX('Checks'!$D$4:$D$503,_calc!$E$7)))=0,"","Check type: "&amp;IF(LEN(INDEX('Checks'!$D$4:$D$503,_calc!$E$7))=0,"",INDEX('Checks'!$D$4:$D$503,_calc!$E$7))&amp;". ")&amp;IF(LEN(IF(LEN(INDEX('Checks'!$E$4:$E$503,_calc!$E$7))=0,"",INDEX('Checks'!$E$4:$E$503,_calc!$E$7)))=0,"","Evidence: "&amp;IF(LEN(INDEX('Checks'!$E$4:$E$503,_calc!$E$7))=0,"",INDEX('Checks'!$E$4:$E$503,_calc!$E$7))&amp;". ")&amp;IF(LEN(IF(LEN(INDEX('Checks'!$G$4:$G$503,_calc!$E$7))=0,"",INDEX('Checks'!$G$4:$G$503,_calc!$E$7)))=0,"","Checked by: "&amp;IF(LEN(INDEX('Checks'!$G$4:$G$503,_calc!$E$7))=0,"",INDEX('Checks'!$G$4:$G$503,_calc!$E$7))&amp;". ")&amp;IF(LEN(IF(LEN(INDEX('Checks'!$Q$4:$Q$503,_calc!$E$7))=0,"",INDEX('Checks'!$Q$4:$Q$503,_calc!$E$7)))=0,"",IF(LEN(INDEX('Checks'!$Q$4:$Q$503,_calc!$E$7))=0,"",INDEX('Checks'!$Q$4:$Q$503,_calc!$E$7)))))</f>
        <v/>
      </c>
      <c r="G5" s="43">
        <f>IF(_calc!$E$7="","",IF(LEN(INDEX('Checks'!$P$4:$P$503,_calc!$E$7))=0,"",INDEX('Checks'!$P$4:$P$503,_calc!$E$7)))</f>
        <v/>
      </c>
      <c r="K5" s="43">
        <f>IF(_calc!$E$7="","",IF(LEN(INDEX('Checks'!$O$4:$O$503,_calc!$E$7))=0,"",INDEX('Checks'!$O$4:$O$503,_calc!$E$7)))</f>
        <v/>
      </c>
    </row>
    <row r="6">
      <c r="A6" s="43">
        <f>IF(_calc!$E$8="","","Right to work follow-up – "&amp;IF(LEN(INDEX('Checks'!$A$4:$A$503,_calc!$E$8))=0,"",INDEX('Checks'!$A$4:$A$503,_calc!$E$8)))</f>
        <v/>
      </c>
      <c r="B6" s="43">
        <f>IF(_calc!$E$8="","",IF(ISNUMBER(INDEX('Checks'!$H$4:$H$503,_calc!$E$8)),TEXT(INDEX('Checks'!$H$4:$H$503,_calc!$E$8),"yyyy-mm-dd"),""))</f>
        <v/>
      </c>
      <c r="C6" s="43">
        <f>IF(_calc!$E$8="","","Right to work")</f>
        <v/>
      </c>
      <c r="D6" s="43">
        <f>IF(_calc!$E$8="","",IF(ISNUMBER(INDEX('Checks'!$F$4:$F$503,_calc!$E$8)),TEXT(INDEX('Checks'!$F$4:$F$503,_calc!$E$8),"yyyy-mm-dd"),""))</f>
        <v/>
      </c>
      <c r="E6" s="43">
        <f>IF(_calc!$E$8="","","High")</f>
        <v/>
      </c>
      <c r="F6" s="43">
        <f>IF(_calc!$E$8="","",TRIM(IF(LEN(IF(LEN(INDEX('Checks'!$B$4:$B$503,_calc!$E$8))=0,"",INDEX('Checks'!$B$4:$B$503,_calc!$E$8)))=0,"","Role: "&amp;IF(LEN(INDEX('Checks'!$B$4:$B$503,_calc!$E$8))=0,"",INDEX('Checks'!$B$4:$B$503,_calc!$E$8))&amp;". ")&amp;IF(LEN(IF(LEN(INDEX('Checks'!$D$4:$D$503,_calc!$E$8))=0,"",INDEX('Checks'!$D$4:$D$503,_calc!$E$8)))=0,"","Check type: "&amp;IF(LEN(INDEX('Checks'!$D$4:$D$503,_calc!$E$8))=0,"",INDEX('Checks'!$D$4:$D$503,_calc!$E$8))&amp;". ")&amp;IF(LEN(IF(LEN(INDEX('Checks'!$E$4:$E$503,_calc!$E$8))=0,"",INDEX('Checks'!$E$4:$E$503,_calc!$E$8)))=0,"","Evidence: "&amp;IF(LEN(INDEX('Checks'!$E$4:$E$503,_calc!$E$8))=0,"",INDEX('Checks'!$E$4:$E$503,_calc!$E$8))&amp;". ")&amp;IF(LEN(IF(LEN(INDEX('Checks'!$G$4:$G$503,_calc!$E$8))=0,"",INDEX('Checks'!$G$4:$G$503,_calc!$E$8)))=0,"","Checked by: "&amp;IF(LEN(INDEX('Checks'!$G$4:$G$503,_calc!$E$8))=0,"",INDEX('Checks'!$G$4:$G$503,_calc!$E$8))&amp;". ")&amp;IF(LEN(IF(LEN(INDEX('Checks'!$Q$4:$Q$503,_calc!$E$8))=0,"",INDEX('Checks'!$Q$4:$Q$503,_calc!$E$8)))=0,"",IF(LEN(INDEX('Checks'!$Q$4:$Q$503,_calc!$E$8))=0,"",INDEX('Checks'!$Q$4:$Q$503,_calc!$E$8)))))</f>
        <v/>
      </c>
      <c r="G6" s="43">
        <f>IF(_calc!$E$8="","",IF(LEN(INDEX('Checks'!$P$4:$P$503,_calc!$E$8))=0,"",INDEX('Checks'!$P$4:$P$503,_calc!$E$8)))</f>
        <v/>
      </c>
      <c r="K6" s="43">
        <f>IF(_calc!$E$8="","",IF(LEN(INDEX('Checks'!$O$4:$O$503,_calc!$E$8))=0,"",INDEX('Checks'!$O$4:$O$503,_calc!$E$8)))</f>
        <v/>
      </c>
    </row>
    <row r="7">
      <c r="A7" s="43">
        <f>IF(_calc!$E$9="","","Right to work follow-up – "&amp;IF(LEN(INDEX('Checks'!$A$4:$A$503,_calc!$E$9))=0,"",INDEX('Checks'!$A$4:$A$503,_calc!$E$9)))</f>
        <v/>
      </c>
      <c r="B7" s="43">
        <f>IF(_calc!$E$9="","",IF(ISNUMBER(INDEX('Checks'!$H$4:$H$503,_calc!$E$9)),TEXT(INDEX('Checks'!$H$4:$H$503,_calc!$E$9),"yyyy-mm-dd"),""))</f>
        <v/>
      </c>
      <c r="C7" s="43">
        <f>IF(_calc!$E$9="","","Right to work")</f>
        <v/>
      </c>
      <c r="D7" s="43">
        <f>IF(_calc!$E$9="","",IF(ISNUMBER(INDEX('Checks'!$F$4:$F$503,_calc!$E$9)),TEXT(INDEX('Checks'!$F$4:$F$503,_calc!$E$9),"yyyy-mm-dd"),""))</f>
        <v/>
      </c>
      <c r="E7" s="43">
        <f>IF(_calc!$E$9="","","High")</f>
        <v/>
      </c>
      <c r="F7" s="43">
        <f>IF(_calc!$E$9="","",TRIM(IF(LEN(IF(LEN(INDEX('Checks'!$B$4:$B$503,_calc!$E$9))=0,"",INDEX('Checks'!$B$4:$B$503,_calc!$E$9)))=0,"","Role: "&amp;IF(LEN(INDEX('Checks'!$B$4:$B$503,_calc!$E$9))=0,"",INDEX('Checks'!$B$4:$B$503,_calc!$E$9))&amp;". ")&amp;IF(LEN(IF(LEN(INDEX('Checks'!$D$4:$D$503,_calc!$E$9))=0,"",INDEX('Checks'!$D$4:$D$503,_calc!$E$9)))=0,"","Check type: "&amp;IF(LEN(INDEX('Checks'!$D$4:$D$503,_calc!$E$9))=0,"",INDEX('Checks'!$D$4:$D$503,_calc!$E$9))&amp;". ")&amp;IF(LEN(IF(LEN(INDEX('Checks'!$E$4:$E$503,_calc!$E$9))=0,"",INDEX('Checks'!$E$4:$E$503,_calc!$E$9)))=0,"","Evidence: "&amp;IF(LEN(INDEX('Checks'!$E$4:$E$503,_calc!$E$9))=0,"",INDEX('Checks'!$E$4:$E$503,_calc!$E$9))&amp;". ")&amp;IF(LEN(IF(LEN(INDEX('Checks'!$G$4:$G$503,_calc!$E$9))=0,"",INDEX('Checks'!$G$4:$G$503,_calc!$E$9)))=0,"","Checked by: "&amp;IF(LEN(INDEX('Checks'!$G$4:$G$503,_calc!$E$9))=0,"",INDEX('Checks'!$G$4:$G$503,_calc!$E$9))&amp;". ")&amp;IF(LEN(IF(LEN(INDEX('Checks'!$Q$4:$Q$503,_calc!$E$9))=0,"",INDEX('Checks'!$Q$4:$Q$503,_calc!$E$9)))=0,"",IF(LEN(INDEX('Checks'!$Q$4:$Q$503,_calc!$E$9))=0,"",INDEX('Checks'!$Q$4:$Q$503,_calc!$E$9)))))</f>
        <v/>
      </c>
      <c r="G7" s="43">
        <f>IF(_calc!$E$9="","",IF(LEN(INDEX('Checks'!$P$4:$P$503,_calc!$E$9))=0,"",INDEX('Checks'!$P$4:$P$503,_calc!$E$9)))</f>
        <v/>
      </c>
      <c r="K7" s="43">
        <f>IF(_calc!$E$9="","",IF(LEN(INDEX('Checks'!$O$4:$O$503,_calc!$E$9))=0,"",INDEX('Checks'!$O$4:$O$503,_calc!$E$9)))</f>
        <v/>
      </c>
    </row>
    <row r="8">
      <c r="A8" s="43">
        <f>IF(_calc!$E$10="","","Right to work follow-up – "&amp;IF(LEN(INDEX('Checks'!$A$4:$A$503,_calc!$E$10))=0,"",INDEX('Checks'!$A$4:$A$503,_calc!$E$10)))</f>
        <v/>
      </c>
      <c r="B8" s="43">
        <f>IF(_calc!$E$10="","",IF(ISNUMBER(INDEX('Checks'!$H$4:$H$503,_calc!$E$10)),TEXT(INDEX('Checks'!$H$4:$H$503,_calc!$E$10),"yyyy-mm-dd"),""))</f>
        <v/>
      </c>
      <c r="C8" s="43">
        <f>IF(_calc!$E$10="","","Right to work")</f>
        <v/>
      </c>
      <c r="D8" s="43">
        <f>IF(_calc!$E$10="","",IF(ISNUMBER(INDEX('Checks'!$F$4:$F$503,_calc!$E$10)),TEXT(INDEX('Checks'!$F$4:$F$503,_calc!$E$10),"yyyy-mm-dd"),""))</f>
        <v/>
      </c>
      <c r="E8" s="43">
        <f>IF(_calc!$E$10="","","High")</f>
        <v/>
      </c>
      <c r="F8" s="43">
        <f>IF(_calc!$E$10="","",TRIM(IF(LEN(IF(LEN(INDEX('Checks'!$B$4:$B$503,_calc!$E$10))=0,"",INDEX('Checks'!$B$4:$B$503,_calc!$E$10)))=0,"","Role: "&amp;IF(LEN(INDEX('Checks'!$B$4:$B$503,_calc!$E$10))=0,"",INDEX('Checks'!$B$4:$B$503,_calc!$E$10))&amp;". ")&amp;IF(LEN(IF(LEN(INDEX('Checks'!$D$4:$D$503,_calc!$E$10))=0,"",INDEX('Checks'!$D$4:$D$503,_calc!$E$10)))=0,"","Check type: "&amp;IF(LEN(INDEX('Checks'!$D$4:$D$503,_calc!$E$10))=0,"",INDEX('Checks'!$D$4:$D$503,_calc!$E$10))&amp;". ")&amp;IF(LEN(IF(LEN(INDEX('Checks'!$E$4:$E$503,_calc!$E$10))=0,"",INDEX('Checks'!$E$4:$E$503,_calc!$E$10)))=0,"","Evidence: "&amp;IF(LEN(INDEX('Checks'!$E$4:$E$503,_calc!$E$10))=0,"",INDEX('Checks'!$E$4:$E$503,_calc!$E$10))&amp;". ")&amp;IF(LEN(IF(LEN(INDEX('Checks'!$G$4:$G$503,_calc!$E$10))=0,"",INDEX('Checks'!$G$4:$G$503,_calc!$E$10)))=0,"","Checked by: "&amp;IF(LEN(INDEX('Checks'!$G$4:$G$503,_calc!$E$10))=0,"",INDEX('Checks'!$G$4:$G$503,_calc!$E$10))&amp;". ")&amp;IF(LEN(IF(LEN(INDEX('Checks'!$Q$4:$Q$503,_calc!$E$10))=0,"",INDEX('Checks'!$Q$4:$Q$503,_calc!$E$10)))=0,"",IF(LEN(INDEX('Checks'!$Q$4:$Q$503,_calc!$E$10))=0,"",INDEX('Checks'!$Q$4:$Q$503,_calc!$E$10)))))</f>
        <v/>
      </c>
      <c r="G8" s="43">
        <f>IF(_calc!$E$10="","",IF(LEN(INDEX('Checks'!$P$4:$P$503,_calc!$E$10))=0,"",INDEX('Checks'!$P$4:$P$503,_calc!$E$10)))</f>
        <v/>
      </c>
      <c r="K8" s="43">
        <f>IF(_calc!$E$10="","",IF(LEN(INDEX('Checks'!$O$4:$O$503,_calc!$E$10))=0,"",INDEX('Checks'!$O$4:$O$503,_calc!$E$10)))</f>
        <v/>
      </c>
    </row>
    <row r="9">
      <c r="A9" s="43">
        <f>IF(_calc!$E$11="","","Right to work follow-up – "&amp;IF(LEN(INDEX('Checks'!$A$4:$A$503,_calc!$E$11))=0,"",INDEX('Checks'!$A$4:$A$503,_calc!$E$11)))</f>
        <v/>
      </c>
      <c r="B9" s="43">
        <f>IF(_calc!$E$11="","",IF(ISNUMBER(INDEX('Checks'!$H$4:$H$503,_calc!$E$11)),TEXT(INDEX('Checks'!$H$4:$H$503,_calc!$E$11),"yyyy-mm-dd"),""))</f>
        <v/>
      </c>
      <c r="C9" s="43">
        <f>IF(_calc!$E$11="","","Right to work")</f>
        <v/>
      </c>
      <c r="D9" s="43">
        <f>IF(_calc!$E$11="","",IF(ISNUMBER(INDEX('Checks'!$F$4:$F$503,_calc!$E$11)),TEXT(INDEX('Checks'!$F$4:$F$503,_calc!$E$11),"yyyy-mm-dd"),""))</f>
        <v/>
      </c>
      <c r="E9" s="43">
        <f>IF(_calc!$E$11="","","High")</f>
        <v/>
      </c>
      <c r="F9" s="43">
        <f>IF(_calc!$E$11="","",TRIM(IF(LEN(IF(LEN(INDEX('Checks'!$B$4:$B$503,_calc!$E$11))=0,"",INDEX('Checks'!$B$4:$B$503,_calc!$E$11)))=0,"","Role: "&amp;IF(LEN(INDEX('Checks'!$B$4:$B$503,_calc!$E$11))=0,"",INDEX('Checks'!$B$4:$B$503,_calc!$E$11))&amp;". ")&amp;IF(LEN(IF(LEN(INDEX('Checks'!$D$4:$D$503,_calc!$E$11))=0,"",INDEX('Checks'!$D$4:$D$503,_calc!$E$11)))=0,"","Check type: "&amp;IF(LEN(INDEX('Checks'!$D$4:$D$503,_calc!$E$11))=0,"",INDEX('Checks'!$D$4:$D$503,_calc!$E$11))&amp;". ")&amp;IF(LEN(IF(LEN(INDEX('Checks'!$E$4:$E$503,_calc!$E$11))=0,"",INDEX('Checks'!$E$4:$E$503,_calc!$E$11)))=0,"","Evidence: "&amp;IF(LEN(INDEX('Checks'!$E$4:$E$503,_calc!$E$11))=0,"",INDEX('Checks'!$E$4:$E$503,_calc!$E$11))&amp;". ")&amp;IF(LEN(IF(LEN(INDEX('Checks'!$G$4:$G$503,_calc!$E$11))=0,"",INDEX('Checks'!$G$4:$G$503,_calc!$E$11)))=0,"","Checked by: "&amp;IF(LEN(INDEX('Checks'!$G$4:$G$503,_calc!$E$11))=0,"",INDEX('Checks'!$G$4:$G$503,_calc!$E$11))&amp;". ")&amp;IF(LEN(IF(LEN(INDEX('Checks'!$Q$4:$Q$503,_calc!$E$11))=0,"",INDEX('Checks'!$Q$4:$Q$503,_calc!$E$11)))=0,"",IF(LEN(INDEX('Checks'!$Q$4:$Q$503,_calc!$E$11))=0,"",INDEX('Checks'!$Q$4:$Q$503,_calc!$E$11)))))</f>
        <v/>
      </c>
      <c r="G9" s="43">
        <f>IF(_calc!$E$11="","",IF(LEN(INDEX('Checks'!$P$4:$P$503,_calc!$E$11))=0,"",INDEX('Checks'!$P$4:$P$503,_calc!$E$11)))</f>
        <v/>
      </c>
      <c r="K9" s="43">
        <f>IF(_calc!$E$11="","",IF(LEN(INDEX('Checks'!$O$4:$O$503,_calc!$E$11))=0,"",INDEX('Checks'!$O$4:$O$503,_calc!$E$11)))</f>
        <v/>
      </c>
    </row>
    <row r="10">
      <c r="A10" s="43">
        <f>IF(_calc!$E$12="","","Right to work follow-up – "&amp;IF(LEN(INDEX('Checks'!$A$4:$A$503,_calc!$E$12))=0,"",INDEX('Checks'!$A$4:$A$503,_calc!$E$12)))</f>
        <v/>
      </c>
      <c r="B10" s="43">
        <f>IF(_calc!$E$12="","",IF(ISNUMBER(INDEX('Checks'!$H$4:$H$503,_calc!$E$12)),TEXT(INDEX('Checks'!$H$4:$H$503,_calc!$E$12),"yyyy-mm-dd"),""))</f>
        <v/>
      </c>
      <c r="C10" s="43">
        <f>IF(_calc!$E$12="","","Right to work")</f>
        <v/>
      </c>
      <c r="D10" s="43">
        <f>IF(_calc!$E$12="","",IF(ISNUMBER(INDEX('Checks'!$F$4:$F$503,_calc!$E$12)),TEXT(INDEX('Checks'!$F$4:$F$503,_calc!$E$12),"yyyy-mm-dd"),""))</f>
        <v/>
      </c>
      <c r="E10" s="43">
        <f>IF(_calc!$E$12="","","High")</f>
        <v/>
      </c>
      <c r="F10" s="43">
        <f>IF(_calc!$E$12="","",TRIM(IF(LEN(IF(LEN(INDEX('Checks'!$B$4:$B$503,_calc!$E$12))=0,"",INDEX('Checks'!$B$4:$B$503,_calc!$E$12)))=0,"","Role: "&amp;IF(LEN(INDEX('Checks'!$B$4:$B$503,_calc!$E$12))=0,"",INDEX('Checks'!$B$4:$B$503,_calc!$E$12))&amp;". ")&amp;IF(LEN(IF(LEN(INDEX('Checks'!$D$4:$D$503,_calc!$E$12))=0,"",INDEX('Checks'!$D$4:$D$503,_calc!$E$12)))=0,"","Check type: "&amp;IF(LEN(INDEX('Checks'!$D$4:$D$503,_calc!$E$12))=0,"",INDEX('Checks'!$D$4:$D$503,_calc!$E$12))&amp;". ")&amp;IF(LEN(IF(LEN(INDEX('Checks'!$E$4:$E$503,_calc!$E$12))=0,"",INDEX('Checks'!$E$4:$E$503,_calc!$E$12)))=0,"","Evidence: "&amp;IF(LEN(INDEX('Checks'!$E$4:$E$503,_calc!$E$12))=0,"",INDEX('Checks'!$E$4:$E$503,_calc!$E$12))&amp;". ")&amp;IF(LEN(IF(LEN(INDEX('Checks'!$G$4:$G$503,_calc!$E$12))=0,"",INDEX('Checks'!$G$4:$G$503,_calc!$E$12)))=0,"","Checked by: "&amp;IF(LEN(INDEX('Checks'!$G$4:$G$503,_calc!$E$12))=0,"",INDEX('Checks'!$G$4:$G$503,_calc!$E$12))&amp;". ")&amp;IF(LEN(IF(LEN(INDEX('Checks'!$Q$4:$Q$503,_calc!$E$12))=0,"",INDEX('Checks'!$Q$4:$Q$503,_calc!$E$12)))=0,"",IF(LEN(INDEX('Checks'!$Q$4:$Q$503,_calc!$E$12))=0,"",INDEX('Checks'!$Q$4:$Q$503,_calc!$E$12)))))</f>
        <v/>
      </c>
      <c r="G10" s="43">
        <f>IF(_calc!$E$12="","",IF(LEN(INDEX('Checks'!$P$4:$P$503,_calc!$E$12))=0,"",INDEX('Checks'!$P$4:$P$503,_calc!$E$12)))</f>
        <v/>
      </c>
      <c r="K10" s="43">
        <f>IF(_calc!$E$12="","",IF(LEN(INDEX('Checks'!$O$4:$O$503,_calc!$E$12))=0,"",INDEX('Checks'!$O$4:$O$503,_calc!$E$12)))</f>
        <v/>
      </c>
    </row>
    <row r="11">
      <c r="A11" s="43">
        <f>IF(_calc!$E$13="","","Right to work follow-up – "&amp;IF(LEN(INDEX('Checks'!$A$4:$A$503,_calc!$E$13))=0,"",INDEX('Checks'!$A$4:$A$503,_calc!$E$13)))</f>
        <v/>
      </c>
      <c r="B11" s="43">
        <f>IF(_calc!$E$13="","",IF(ISNUMBER(INDEX('Checks'!$H$4:$H$503,_calc!$E$13)),TEXT(INDEX('Checks'!$H$4:$H$503,_calc!$E$13),"yyyy-mm-dd"),""))</f>
        <v/>
      </c>
      <c r="C11" s="43">
        <f>IF(_calc!$E$13="","","Right to work")</f>
        <v/>
      </c>
      <c r="D11" s="43">
        <f>IF(_calc!$E$13="","",IF(ISNUMBER(INDEX('Checks'!$F$4:$F$503,_calc!$E$13)),TEXT(INDEX('Checks'!$F$4:$F$503,_calc!$E$13),"yyyy-mm-dd"),""))</f>
        <v/>
      </c>
      <c r="E11" s="43">
        <f>IF(_calc!$E$13="","","High")</f>
        <v/>
      </c>
      <c r="F11" s="43">
        <f>IF(_calc!$E$13="","",TRIM(IF(LEN(IF(LEN(INDEX('Checks'!$B$4:$B$503,_calc!$E$13))=0,"",INDEX('Checks'!$B$4:$B$503,_calc!$E$13)))=0,"","Role: "&amp;IF(LEN(INDEX('Checks'!$B$4:$B$503,_calc!$E$13))=0,"",INDEX('Checks'!$B$4:$B$503,_calc!$E$13))&amp;". ")&amp;IF(LEN(IF(LEN(INDEX('Checks'!$D$4:$D$503,_calc!$E$13))=0,"",INDEX('Checks'!$D$4:$D$503,_calc!$E$13)))=0,"","Check type: "&amp;IF(LEN(INDEX('Checks'!$D$4:$D$503,_calc!$E$13))=0,"",INDEX('Checks'!$D$4:$D$503,_calc!$E$13))&amp;". ")&amp;IF(LEN(IF(LEN(INDEX('Checks'!$E$4:$E$503,_calc!$E$13))=0,"",INDEX('Checks'!$E$4:$E$503,_calc!$E$13)))=0,"","Evidence: "&amp;IF(LEN(INDEX('Checks'!$E$4:$E$503,_calc!$E$13))=0,"",INDEX('Checks'!$E$4:$E$503,_calc!$E$13))&amp;". ")&amp;IF(LEN(IF(LEN(INDEX('Checks'!$G$4:$G$503,_calc!$E$13))=0,"",INDEX('Checks'!$G$4:$G$503,_calc!$E$13)))=0,"","Checked by: "&amp;IF(LEN(INDEX('Checks'!$G$4:$G$503,_calc!$E$13))=0,"",INDEX('Checks'!$G$4:$G$503,_calc!$E$13))&amp;". ")&amp;IF(LEN(IF(LEN(INDEX('Checks'!$Q$4:$Q$503,_calc!$E$13))=0,"",INDEX('Checks'!$Q$4:$Q$503,_calc!$E$13)))=0,"",IF(LEN(INDEX('Checks'!$Q$4:$Q$503,_calc!$E$13))=0,"",INDEX('Checks'!$Q$4:$Q$503,_calc!$E$13)))))</f>
        <v/>
      </c>
      <c r="G11" s="43">
        <f>IF(_calc!$E$13="","",IF(LEN(INDEX('Checks'!$P$4:$P$503,_calc!$E$13))=0,"",INDEX('Checks'!$P$4:$P$503,_calc!$E$13)))</f>
        <v/>
      </c>
      <c r="K11" s="43">
        <f>IF(_calc!$E$13="","",IF(LEN(INDEX('Checks'!$O$4:$O$503,_calc!$E$13))=0,"",INDEX('Checks'!$O$4:$O$503,_calc!$E$13)))</f>
        <v/>
      </c>
    </row>
    <row r="12">
      <c r="A12" s="43">
        <f>IF(_calc!$E$14="","","Right to work follow-up – "&amp;IF(LEN(INDEX('Checks'!$A$4:$A$503,_calc!$E$14))=0,"",INDEX('Checks'!$A$4:$A$503,_calc!$E$14)))</f>
        <v/>
      </c>
      <c r="B12" s="43">
        <f>IF(_calc!$E$14="","",IF(ISNUMBER(INDEX('Checks'!$H$4:$H$503,_calc!$E$14)),TEXT(INDEX('Checks'!$H$4:$H$503,_calc!$E$14),"yyyy-mm-dd"),""))</f>
        <v/>
      </c>
      <c r="C12" s="43">
        <f>IF(_calc!$E$14="","","Right to work")</f>
        <v/>
      </c>
      <c r="D12" s="43">
        <f>IF(_calc!$E$14="","",IF(ISNUMBER(INDEX('Checks'!$F$4:$F$503,_calc!$E$14)),TEXT(INDEX('Checks'!$F$4:$F$503,_calc!$E$14),"yyyy-mm-dd"),""))</f>
        <v/>
      </c>
      <c r="E12" s="43">
        <f>IF(_calc!$E$14="","","High")</f>
        <v/>
      </c>
      <c r="F12" s="43">
        <f>IF(_calc!$E$14="","",TRIM(IF(LEN(IF(LEN(INDEX('Checks'!$B$4:$B$503,_calc!$E$14))=0,"",INDEX('Checks'!$B$4:$B$503,_calc!$E$14)))=0,"","Role: "&amp;IF(LEN(INDEX('Checks'!$B$4:$B$503,_calc!$E$14))=0,"",INDEX('Checks'!$B$4:$B$503,_calc!$E$14))&amp;". ")&amp;IF(LEN(IF(LEN(INDEX('Checks'!$D$4:$D$503,_calc!$E$14))=0,"",INDEX('Checks'!$D$4:$D$503,_calc!$E$14)))=0,"","Check type: "&amp;IF(LEN(INDEX('Checks'!$D$4:$D$503,_calc!$E$14))=0,"",INDEX('Checks'!$D$4:$D$503,_calc!$E$14))&amp;". ")&amp;IF(LEN(IF(LEN(INDEX('Checks'!$E$4:$E$503,_calc!$E$14))=0,"",INDEX('Checks'!$E$4:$E$503,_calc!$E$14)))=0,"","Evidence: "&amp;IF(LEN(INDEX('Checks'!$E$4:$E$503,_calc!$E$14))=0,"",INDEX('Checks'!$E$4:$E$503,_calc!$E$14))&amp;". ")&amp;IF(LEN(IF(LEN(INDEX('Checks'!$G$4:$G$503,_calc!$E$14))=0,"",INDEX('Checks'!$G$4:$G$503,_calc!$E$14)))=0,"","Checked by: "&amp;IF(LEN(INDEX('Checks'!$G$4:$G$503,_calc!$E$14))=0,"",INDEX('Checks'!$G$4:$G$503,_calc!$E$14))&amp;". ")&amp;IF(LEN(IF(LEN(INDEX('Checks'!$Q$4:$Q$503,_calc!$E$14))=0,"",INDEX('Checks'!$Q$4:$Q$503,_calc!$E$14)))=0,"",IF(LEN(INDEX('Checks'!$Q$4:$Q$503,_calc!$E$14))=0,"",INDEX('Checks'!$Q$4:$Q$503,_calc!$E$14)))))</f>
        <v/>
      </c>
      <c r="G12" s="43">
        <f>IF(_calc!$E$14="","",IF(LEN(INDEX('Checks'!$P$4:$P$503,_calc!$E$14))=0,"",INDEX('Checks'!$P$4:$P$503,_calc!$E$14)))</f>
        <v/>
      </c>
      <c r="K12" s="43">
        <f>IF(_calc!$E$14="","",IF(LEN(INDEX('Checks'!$O$4:$O$503,_calc!$E$14))=0,"",INDEX('Checks'!$O$4:$O$503,_calc!$E$14)))</f>
        <v/>
      </c>
    </row>
    <row r="13">
      <c r="A13" s="43">
        <f>IF(_calc!$E$15="","","Right to work follow-up – "&amp;IF(LEN(INDEX('Checks'!$A$4:$A$503,_calc!$E$15))=0,"",INDEX('Checks'!$A$4:$A$503,_calc!$E$15)))</f>
        <v/>
      </c>
      <c r="B13" s="43">
        <f>IF(_calc!$E$15="","",IF(ISNUMBER(INDEX('Checks'!$H$4:$H$503,_calc!$E$15)),TEXT(INDEX('Checks'!$H$4:$H$503,_calc!$E$15),"yyyy-mm-dd"),""))</f>
        <v/>
      </c>
      <c r="C13" s="43">
        <f>IF(_calc!$E$15="","","Right to work")</f>
        <v/>
      </c>
      <c r="D13" s="43">
        <f>IF(_calc!$E$15="","",IF(ISNUMBER(INDEX('Checks'!$F$4:$F$503,_calc!$E$15)),TEXT(INDEX('Checks'!$F$4:$F$503,_calc!$E$15),"yyyy-mm-dd"),""))</f>
        <v/>
      </c>
      <c r="E13" s="43">
        <f>IF(_calc!$E$15="","","High")</f>
        <v/>
      </c>
      <c r="F13" s="43">
        <f>IF(_calc!$E$15="","",TRIM(IF(LEN(IF(LEN(INDEX('Checks'!$B$4:$B$503,_calc!$E$15))=0,"",INDEX('Checks'!$B$4:$B$503,_calc!$E$15)))=0,"","Role: "&amp;IF(LEN(INDEX('Checks'!$B$4:$B$503,_calc!$E$15))=0,"",INDEX('Checks'!$B$4:$B$503,_calc!$E$15))&amp;". ")&amp;IF(LEN(IF(LEN(INDEX('Checks'!$D$4:$D$503,_calc!$E$15))=0,"",INDEX('Checks'!$D$4:$D$503,_calc!$E$15)))=0,"","Check type: "&amp;IF(LEN(INDEX('Checks'!$D$4:$D$503,_calc!$E$15))=0,"",INDEX('Checks'!$D$4:$D$503,_calc!$E$15))&amp;". ")&amp;IF(LEN(IF(LEN(INDEX('Checks'!$E$4:$E$503,_calc!$E$15))=0,"",INDEX('Checks'!$E$4:$E$503,_calc!$E$15)))=0,"","Evidence: "&amp;IF(LEN(INDEX('Checks'!$E$4:$E$503,_calc!$E$15))=0,"",INDEX('Checks'!$E$4:$E$503,_calc!$E$15))&amp;". ")&amp;IF(LEN(IF(LEN(INDEX('Checks'!$G$4:$G$503,_calc!$E$15))=0,"",INDEX('Checks'!$G$4:$G$503,_calc!$E$15)))=0,"","Checked by: "&amp;IF(LEN(INDEX('Checks'!$G$4:$G$503,_calc!$E$15))=0,"",INDEX('Checks'!$G$4:$G$503,_calc!$E$15))&amp;". ")&amp;IF(LEN(IF(LEN(INDEX('Checks'!$Q$4:$Q$503,_calc!$E$15))=0,"",INDEX('Checks'!$Q$4:$Q$503,_calc!$E$15)))=0,"",IF(LEN(INDEX('Checks'!$Q$4:$Q$503,_calc!$E$15))=0,"",INDEX('Checks'!$Q$4:$Q$503,_calc!$E$15)))))</f>
        <v/>
      </c>
      <c r="G13" s="43">
        <f>IF(_calc!$E$15="","",IF(LEN(INDEX('Checks'!$P$4:$P$503,_calc!$E$15))=0,"",INDEX('Checks'!$P$4:$P$503,_calc!$E$15)))</f>
        <v/>
      </c>
      <c r="K13" s="43">
        <f>IF(_calc!$E$15="","",IF(LEN(INDEX('Checks'!$O$4:$O$503,_calc!$E$15))=0,"",INDEX('Checks'!$O$4:$O$503,_calc!$E$15)))</f>
        <v/>
      </c>
    </row>
    <row r="14">
      <c r="A14" s="43">
        <f>IF(_calc!$E$16="","","Right to work follow-up – "&amp;IF(LEN(INDEX('Checks'!$A$4:$A$503,_calc!$E$16))=0,"",INDEX('Checks'!$A$4:$A$503,_calc!$E$16)))</f>
        <v/>
      </c>
      <c r="B14" s="43">
        <f>IF(_calc!$E$16="","",IF(ISNUMBER(INDEX('Checks'!$H$4:$H$503,_calc!$E$16)),TEXT(INDEX('Checks'!$H$4:$H$503,_calc!$E$16),"yyyy-mm-dd"),""))</f>
        <v/>
      </c>
      <c r="C14" s="43">
        <f>IF(_calc!$E$16="","","Right to work")</f>
        <v/>
      </c>
      <c r="D14" s="43">
        <f>IF(_calc!$E$16="","",IF(ISNUMBER(INDEX('Checks'!$F$4:$F$503,_calc!$E$16)),TEXT(INDEX('Checks'!$F$4:$F$503,_calc!$E$16),"yyyy-mm-dd"),""))</f>
        <v/>
      </c>
      <c r="E14" s="43">
        <f>IF(_calc!$E$16="","","High")</f>
        <v/>
      </c>
      <c r="F14" s="43">
        <f>IF(_calc!$E$16="","",TRIM(IF(LEN(IF(LEN(INDEX('Checks'!$B$4:$B$503,_calc!$E$16))=0,"",INDEX('Checks'!$B$4:$B$503,_calc!$E$16)))=0,"","Role: "&amp;IF(LEN(INDEX('Checks'!$B$4:$B$503,_calc!$E$16))=0,"",INDEX('Checks'!$B$4:$B$503,_calc!$E$16))&amp;". ")&amp;IF(LEN(IF(LEN(INDEX('Checks'!$D$4:$D$503,_calc!$E$16))=0,"",INDEX('Checks'!$D$4:$D$503,_calc!$E$16)))=0,"","Check type: "&amp;IF(LEN(INDEX('Checks'!$D$4:$D$503,_calc!$E$16))=0,"",INDEX('Checks'!$D$4:$D$503,_calc!$E$16))&amp;". ")&amp;IF(LEN(IF(LEN(INDEX('Checks'!$E$4:$E$503,_calc!$E$16))=0,"",INDEX('Checks'!$E$4:$E$503,_calc!$E$16)))=0,"","Evidence: "&amp;IF(LEN(INDEX('Checks'!$E$4:$E$503,_calc!$E$16))=0,"",INDEX('Checks'!$E$4:$E$503,_calc!$E$16))&amp;". ")&amp;IF(LEN(IF(LEN(INDEX('Checks'!$G$4:$G$503,_calc!$E$16))=0,"",INDEX('Checks'!$G$4:$G$503,_calc!$E$16)))=0,"","Checked by: "&amp;IF(LEN(INDEX('Checks'!$G$4:$G$503,_calc!$E$16))=0,"",INDEX('Checks'!$G$4:$G$503,_calc!$E$16))&amp;". ")&amp;IF(LEN(IF(LEN(INDEX('Checks'!$Q$4:$Q$503,_calc!$E$16))=0,"",INDEX('Checks'!$Q$4:$Q$503,_calc!$E$16)))=0,"",IF(LEN(INDEX('Checks'!$Q$4:$Q$503,_calc!$E$16))=0,"",INDEX('Checks'!$Q$4:$Q$503,_calc!$E$16)))))</f>
        <v/>
      </c>
      <c r="G14" s="43">
        <f>IF(_calc!$E$16="","",IF(LEN(INDEX('Checks'!$P$4:$P$503,_calc!$E$16))=0,"",INDEX('Checks'!$P$4:$P$503,_calc!$E$16)))</f>
        <v/>
      </c>
      <c r="K14" s="43">
        <f>IF(_calc!$E$16="","",IF(LEN(INDEX('Checks'!$O$4:$O$503,_calc!$E$16))=0,"",INDEX('Checks'!$O$4:$O$503,_calc!$E$16)))</f>
        <v/>
      </c>
    </row>
    <row r="15">
      <c r="A15" s="43">
        <f>IF(_calc!$E$17="","","Right to work follow-up – "&amp;IF(LEN(INDEX('Checks'!$A$4:$A$503,_calc!$E$17))=0,"",INDEX('Checks'!$A$4:$A$503,_calc!$E$17)))</f>
        <v/>
      </c>
      <c r="B15" s="43">
        <f>IF(_calc!$E$17="","",IF(ISNUMBER(INDEX('Checks'!$H$4:$H$503,_calc!$E$17)),TEXT(INDEX('Checks'!$H$4:$H$503,_calc!$E$17),"yyyy-mm-dd"),""))</f>
        <v/>
      </c>
      <c r="C15" s="43">
        <f>IF(_calc!$E$17="","","Right to work")</f>
        <v/>
      </c>
      <c r="D15" s="43">
        <f>IF(_calc!$E$17="","",IF(ISNUMBER(INDEX('Checks'!$F$4:$F$503,_calc!$E$17)),TEXT(INDEX('Checks'!$F$4:$F$503,_calc!$E$17),"yyyy-mm-dd"),""))</f>
        <v/>
      </c>
      <c r="E15" s="43">
        <f>IF(_calc!$E$17="","","High")</f>
        <v/>
      </c>
      <c r="F15" s="43">
        <f>IF(_calc!$E$17="","",TRIM(IF(LEN(IF(LEN(INDEX('Checks'!$B$4:$B$503,_calc!$E$17))=0,"",INDEX('Checks'!$B$4:$B$503,_calc!$E$17)))=0,"","Role: "&amp;IF(LEN(INDEX('Checks'!$B$4:$B$503,_calc!$E$17))=0,"",INDEX('Checks'!$B$4:$B$503,_calc!$E$17))&amp;". ")&amp;IF(LEN(IF(LEN(INDEX('Checks'!$D$4:$D$503,_calc!$E$17))=0,"",INDEX('Checks'!$D$4:$D$503,_calc!$E$17)))=0,"","Check type: "&amp;IF(LEN(INDEX('Checks'!$D$4:$D$503,_calc!$E$17))=0,"",INDEX('Checks'!$D$4:$D$503,_calc!$E$17))&amp;". ")&amp;IF(LEN(IF(LEN(INDEX('Checks'!$E$4:$E$503,_calc!$E$17))=0,"",INDEX('Checks'!$E$4:$E$503,_calc!$E$17)))=0,"","Evidence: "&amp;IF(LEN(INDEX('Checks'!$E$4:$E$503,_calc!$E$17))=0,"",INDEX('Checks'!$E$4:$E$503,_calc!$E$17))&amp;". ")&amp;IF(LEN(IF(LEN(INDEX('Checks'!$G$4:$G$503,_calc!$E$17))=0,"",INDEX('Checks'!$G$4:$G$503,_calc!$E$17)))=0,"","Checked by: "&amp;IF(LEN(INDEX('Checks'!$G$4:$G$503,_calc!$E$17))=0,"",INDEX('Checks'!$G$4:$G$503,_calc!$E$17))&amp;". ")&amp;IF(LEN(IF(LEN(INDEX('Checks'!$Q$4:$Q$503,_calc!$E$17))=0,"",INDEX('Checks'!$Q$4:$Q$503,_calc!$E$17)))=0,"",IF(LEN(INDEX('Checks'!$Q$4:$Q$503,_calc!$E$17))=0,"",INDEX('Checks'!$Q$4:$Q$503,_calc!$E$17)))))</f>
        <v/>
      </c>
      <c r="G15" s="43">
        <f>IF(_calc!$E$17="","",IF(LEN(INDEX('Checks'!$P$4:$P$503,_calc!$E$17))=0,"",INDEX('Checks'!$P$4:$P$503,_calc!$E$17)))</f>
        <v/>
      </c>
      <c r="K15" s="43">
        <f>IF(_calc!$E$17="","",IF(LEN(INDEX('Checks'!$O$4:$O$503,_calc!$E$17))=0,"",INDEX('Checks'!$O$4:$O$503,_calc!$E$17)))</f>
        <v/>
      </c>
    </row>
    <row r="16">
      <c r="A16" s="43">
        <f>IF(_calc!$E$18="","","Right to work follow-up – "&amp;IF(LEN(INDEX('Checks'!$A$4:$A$503,_calc!$E$18))=0,"",INDEX('Checks'!$A$4:$A$503,_calc!$E$18)))</f>
        <v/>
      </c>
      <c r="B16" s="43">
        <f>IF(_calc!$E$18="","",IF(ISNUMBER(INDEX('Checks'!$H$4:$H$503,_calc!$E$18)),TEXT(INDEX('Checks'!$H$4:$H$503,_calc!$E$18),"yyyy-mm-dd"),""))</f>
        <v/>
      </c>
      <c r="C16" s="43">
        <f>IF(_calc!$E$18="","","Right to work")</f>
        <v/>
      </c>
      <c r="D16" s="43">
        <f>IF(_calc!$E$18="","",IF(ISNUMBER(INDEX('Checks'!$F$4:$F$503,_calc!$E$18)),TEXT(INDEX('Checks'!$F$4:$F$503,_calc!$E$18),"yyyy-mm-dd"),""))</f>
        <v/>
      </c>
      <c r="E16" s="43">
        <f>IF(_calc!$E$18="","","High")</f>
        <v/>
      </c>
      <c r="F16" s="43">
        <f>IF(_calc!$E$18="","",TRIM(IF(LEN(IF(LEN(INDEX('Checks'!$B$4:$B$503,_calc!$E$18))=0,"",INDEX('Checks'!$B$4:$B$503,_calc!$E$18)))=0,"","Role: "&amp;IF(LEN(INDEX('Checks'!$B$4:$B$503,_calc!$E$18))=0,"",INDEX('Checks'!$B$4:$B$503,_calc!$E$18))&amp;". ")&amp;IF(LEN(IF(LEN(INDEX('Checks'!$D$4:$D$503,_calc!$E$18))=0,"",INDEX('Checks'!$D$4:$D$503,_calc!$E$18)))=0,"","Check type: "&amp;IF(LEN(INDEX('Checks'!$D$4:$D$503,_calc!$E$18))=0,"",INDEX('Checks'!$D$4:$D$503,_calc!$E$18))&amp;". ")&amp;IF(LEN(IF(LEN(INDEX('Checks'!$E$4:$E$503,_calc!$E$18))=0,"",INDEX('Checks'!$E$4:$E$503,_calc!$E$18)))=0,"","Evidence: "&amp;IF(LEN(INDEX('Checks'!$E$4:$E$503,_calc!$E$18))=0,"",INDEX('Checks'!$E$4:$E$503,_calc!$E$18))&amp;". ")&amp;IF(LEN(IF(LEN(INDEX('Checks'!$G$4:$G$503,_calc!$E$18))=0,"",INDEX('Checks'!$G$4:$G$503,_calc!$E$18)))=0,"","Checked by: "&amp;IF(LEN(INDEX('Checks'!$G$4:$G$503,_calc!$E$18))=0,"",INDEX('Checks'!$G$4:$G$503,_calc!$E$18))&amp;". ")&amp;IF(LEN(IF(LEN(INDEX('Checks'!$Q$4:$Q$503,_calc!$E$18))=0,"",INDEX('Checks'!$Q$4:$Q$503,_calc!$E$18)))=0,"",IF(LEN(INDEX('Checks'!$Q$4:$Q$503,_calc!$E$18))=0,"",INDEX('Checks'!$Q$4:$Q$503,_calc!$E$18)))))</f>
        <v/>
      </c>
      <c r="G16" s="43">
        <f>IF(_calc!$E$18="","",IF(LEN(INDEX('Checks'!$P$4:$P$503,_calc!$E$18))=0,"",INDEX('Checks'!$P$4:$P$503,_calc!$E$18)))</f>
        <v/>
      </c>
      <c r="K16" s="43">
        <f>IF(_calc!$E$18="","",IF(LEN(INDEX('Checks'!$O$4:$O$503,_calc!$E$18))=0,"",INDEX('Checks'!$O$4:$O$503,_calc!$E$18)))</f>
        <v/>
      </c>
    </row>
    <row r="17">
      <c r="A17" s="43">
        <f>IF(_calc!$E$19="","","Right to work follow-up – "&amp;IF(LEN(INDEX('Checks'!$A$4:$A$503,_calc!$E$19))=0,"",INDEX('Checks'!$A$4:$A$503,_calc!$E$19)))</f>
        <v/>
      </c>
      <c r="B17" s="43">
        <f>IF(_calc!$E$19="","",IF(ISNUMBER(INDEX('Checks'!$H$4:$H$503,_calc!$E$19)),TEXT(INDEX('Checks'!$H$4:$H$503,_calc!$E$19),"yyyy-mm-dd"),""))</f>
        <v/>
      </c>
      <c r="C17" s="43">
        <f>IF(_calc!$E$19="","","Right to work")</f>
        <v/>
      </c>
      <c r="D17" s="43">
        <f>IF(_calc!$E$19="","",IF(ISNUMBER(INDEX('Checks'!$F$4:$F$503,_calc!$E$19)),TEXT(INDEX('Checks'!$F$4:$F$503,_calc!$E$19),"yyyy-mm-dd"),""))</f>
        <v/>
      </c>
      <c r="E17" s="43">
        <f>IF(_calc!$E$19="","","High")</f>
        <v/>
      </c>
      <c r="F17" s="43">
        <f>IF(_calc!$E$19="","",TRIM(IF(LEN(IF(LEN(INDEX('Checks'!$B$4:$B$503,_calc!$E$19))=0,"",INDEX('Checks'!$B$4:$B$503,_calc!$E$19)))=0,"","Role: "&amp;IF(LEN(INDEX('Checks'!$B$4:$B$503,_calc!$E$19))=0,"",INDEX('Checks'!$B$4:$B$503,_calc!$E$19))&amp;". ")&amp;IF(LEN(IF(LEN(INDEX('Checks'!$D$4:$D$503,_calc!$E$19))=0,"",INDEX('Checks'!$D$4:$D$503,_calc!$E$19)))=0,"","Check type: "&amp;IF(LEN(INDEX('Checks'!$D$4:$D$503,_calc!$E$19))=0,"",INDEX('Checks'!$D$4:$D$503,_calc!$E$19))&amp;". ")&amp;IF(LEN(IF(LEN(INDEX('Checks'!$E$4:$E$503,_calc!$E$19))=0,"",INDEX('Checks'!$E$4:$E$503,_calc!$E$19)))=0,"","Evidence: "&amp;IF(LEN(INDEX('Checks'!$E$4:$E$503,_calc!$E$19))=0,"",INDEX('Checks'!$E$4:$E$503,_calc!$E$19))&amp;". ")&amp;IF(LEN(IF(LEN(INDEX('Checks'!$G$4:$G$503,_calc!$E$19))=0,"",INDEX('Checks'!$G$4:$G$503,_calc!$E$19)))=0,"","Checked by: "&amp;IF(LEN(INDEX('Checks'!$G$4:$G$503,_calc!$E$19))=0,"",INDEX('Checks'!$G$4:$G$503,_calc!$E$19))&amp;". ")&amp;IF(LEN(IF(LEN(INDEX('Checks'!$Q$4:$Q$503,_calc!$E$19))=0,"",INDEX('Checks'!$Q$4:$Q$503,_calc!$E$19)))=0,"",IF(LEN(INDEX('Checks'!$Q$4:$Q$503,_calc!$E$19))=0,"",INDEX('Checks'!$Q$4:$Q$503,_calc!$E$19)))))</f>
        <v/>
      </c>
      <c r="G17" s="43">
        <f>IF(_calc!$E$19="","",IF(LEN(INDEX('Checks'!$P$4:$P$503,_calc!$E$19))=0,"",INDEX('Checks'!$P$4:$P$503,_calc!$E$19)))</f>
        <v/>
      </c>
      <c r="K17" s="43">
        <f>IF(_calc!$E$19="","",IF(LEN(INDEX('Checks'!$O$4:$O$503,_calc!$E$19))=0,"",INDEX('Checks'!$O$4:$O$503,_calc!$E$19)))</f>
        <v/>
      </c>
    </row>
    <row r="18">
      <c r="A18" s="43">
        <f>IF(_calc!$E$20="","","Right to work follow-up – "&amp;IF(LEN(INDEX('Checks'!$A$4:$A$503,_calc!$E$20))=0,"",INDEX('Checks'!$A$4:$A$503,_calc!$E$20)))</f>
        <v/>
      </c>
      <c r="B18" s="43">
        <f>IF(_calc!$E$20="","",IF(ISNUMBER(INDEX('Checks'!$H$4:$H$503,_calc!$E$20)),TEXT(INDEX('Checks'!$H$4:$H$503,_calc!$E$20),"yyyy-mm-dd"),""))</f>
        <v/>
      </c>
      <c r="C18" s="43">
        <f>IF(_calc!$E$20="","","Right to work")</f>
        <v/>
      </c>
      <c r="D18" s="43">
        <f>IF(_calc!$E$20="","",IF(ISNUMBER(INDEX('Checks'!$F$4:$F$503,_calc!$E$20)),TEXT(INDEX('Checks'!$F$4:$F$503,_calc!$E$20),"yyyy-mm-dd"),""))</f>
        <v/>
      </c>
      <c r="E18" s="43">
        <f>IF(_calc!$E$20="","","High")</f>
        <v/>
      </c>
      <c r="F18" s="43">
        <f>IF(_calc!$E$20="","",TRIM(IF(LEN(IF(LEN(INDEX('Checks'!$B$4:$B$503,_calc!$E$20))=0,"",INDEX('Checks'!$B$4:$B$503,_calc!$E$20)))=0,"","Role: "&amp;IF(LEN(INDEX('Checks'!$B$4:$B$503,_calc!$E$20))=0,"",INDEX('Checks'!$B$4:$B$503,_calc!$E$20))&amp;". ")&amp;IF(LEN(IF(LEN(INDEX('Checks'!$D$4:$D$503,_calc!$E$20))=0,"",INDEX('Checks'!$D$4:$D$503,_calc!$E$20)))=0,"","Check type: "&amp;IF(LEN(INDEX('Checks'!$D$4:$D$503,_calc!$E$20))=0,"",INDEX('Checks'!$D$4:$D$503,_calc!$E$20))&amp;". ")&amp;IF(LEN(IF(LEN(INDEX('Checks'!$E$4:$E$503,_calc!$E$20))=0,"",INDEX('Checks'!$E$4:$E$503,_calc!$E$20)))=0,"","Evidence: "&amp;IF(LEN(INDEX('Checks'!$E$4:$E$503,_calc!$E$20))=0,"",INDEX('Checks'!$E$4:$E$503,_calc!$E$20))&amp;". ")&amp;IF(LEN(IF(LEN(INDEX('Checks'!$G$4:$G$503,_calc!$E$20))=0,"",INDEX('Checks'!$G$4:$G$503,_calc!$E$20)))=0,"","Checked by: "&amp;IF(LEN(INDEX('Checks'!$G$4:$G$503,_calc!$E$20))=0,"",INDEX('Checks'!$G$4:$G$503,_calc!$E$20))&amp;". ")&amp;IF(LEN(IF(LEN(INDEX('Checks'!$Q$4:$Q$503,_calc!$E$20))=0,"",INDEX('Checks'!$Q$4:$Q$503,_calc!$E$20)))=0,"",IF(LEN(INDEX('Checks'!$Q$4:$Q$503,_calc!$E$20))=0,"",INDEX('Checks'!$Q$4:$Q$503,_calc!$E$20)))))</f>
        <v/>
      </c>
      <c r="G18" s="43">
        <f>IF(_calc!$E$20="","",IF(LEN(INDEX('Checks'!$P$4:$P$503,_calc!$E$20))=0,"",INDEX('Checks'!$P$4:$P$503,_calc!$E$20)))</f>
        <v/>
      </c>
      <c r="K18" s="43">
        <f>IF(_calc!$E$20="","",IF(LEN(INDEX('Checks'!$O$4:$O$503,_calc!$E$20))=0,"",INDEX('Checks'!$O$4:$O$503,_calc!$E$20)))</f>
        <v/>
      </c>
    </row>
    <row r="19">
      <c r="A19" s="43">
        <f>IF(_calc!$E$21="","","Right to work follow-up – "&amp;IF(LEN(INDEX('Checks'!$A$4:$A$503,_calc!$E$21))=0,"",INDEX('Checks'!$A$4:$A$503,_calc!$E$21)))</f>
        <v/>
      </c>
      <c r="B19" s="43">
        <f>IF(_calc!$E$21="","",IF(ISNUMBER(INDEX('Checks'!$H$4:$H$503,_calc!$E$21)),TEXT(INDEX('Checks'!$H$4:$H$503,_calc!$E$21),"yyyy-mm-dd"),""))</f>
        <v/>
      </c>
      <c r="C19" s="43">
        <f>IF(_calc!$E$21="","","Right to work")</f>
        <v/>
      </c>
      <c r="D19" s="43">
        <f>IF(_calc!$E$21="","",IF(ISNUMBER(INDEX('Checks'!$F$4:$F$503,_calc!$E$21)),TEXT(INDEX('Checks'!$F$4:$F$503,_calc!$E$21),"yyyy-mm-dd"),""))</f>
        <v/>
      </c>
      <c r="E19" s="43">
        <f>IF(_calc!$E$21="","","High")</f>
        <v/>
      </c>
      <c r="F19" s="43">
        <f>IF(_calc!$E$21="","",TRIM(IF(LEN(IF(LEN(INDEX('Checks'!$B$4:$B$503,_calc!$E$21))=0,"",INDEX('Checks'!$B$4:$B$503,_calc!$E$21)))=0,"","Role: "&amp;IF(LEN(INDEX('Checks'!$B$4:$B$503,_calc!$E$21))=0,"",INDEX('Checks'!$B$4:$B$503,_calc!$E$21))&amp;". ")&amp;IF(LEN(IF(LEN(INDEX('Checks'!$D$4:$D$503,_calc!$E$21))=0,"",INDEX('Checks'!$D$4:$D$503,_calc!$E$21)))=0,"","Check type: "&amp;IF(LEN(INDEX('Checks'!$D$4:$D$503,_calc!$E$21))=0,"",INDEX('Checks'!$D$4:$D$503,_calc!$E$21))&amp;". ")&amp;IF(LEN(IF(LEN(INDEX('Checks'!$E$4:$E$503,_calc!$E$21))=0,"",INDEX('Checks'!$E$4:$E$503,_calc!$E$21)))=0,"","Evidence: "&amp;IF(LEN(INDEX('Checks'!$E$4:$E$503,_calc!$E$21))=0,"",INDEX('Checks'!$E$4:$E$503,_calc!$E$21))&amp;". ")&amp;IF(LEN(IF(LEN(INDEX('Checks'!$G$4:$G$503,_calc!$E$21))=0,"",INDEX('Checks'!$G$4:$G$503,_calc!$E$21)))=0,"","Checked by: "&amp;IF(LEN(INDEX('Checks'!$G$4:$G$503,_calc!$E$21))=0,"",INDEX('Checks'!$G$4:$G$503,_calc!$E$21))&amp;". ")&amp;IF(LEN(IF(LEN(INDEX('Checks'!$Q$4:$Q$503,_calc!$E$21))=0,"",INDEX('Checks'!$Q$4:$Q$503,_calc!$E$21)))=0,"",IF(LEN(INDEX('Checks'!$Q$4:$Q$503,_calc!$E$21))=0,"",INDEX('Checks'!$Q$4:$Q$503,_calc!$E$21)))))</f>
        <v/>
      </c>
      <c r="G19" s="43">
        <f>IF(_calc!$E$21="","",IF(LEN(INDEX('Checks'!$P$4:$P$503,_calc!$E$21))=0,"",INDEX('Checks'!$P$4:$P$503,_calc!$E$21)))</f>
        <v/>
      </c>
      <c r="K19" s="43">
        <f>IF(_calc!$E$21="","",IF(LEN(INDEX('Checks'!$O$4:$O$503,_calc!$E$21))=0,"",INDEX('Checks'!$O$4:$O$503,_calc!$E$21)))</f>
        <v/>
      </c>
    </row>
    <row r="20">
      <c r="A20" s="43">
        <f>IF(_calc!$E$22="","","Right to work follow-up – "&amp;IF(LEN(INDEX('Checks'!$A$4:$A$503,_calc!$E$22))=0,"",INDEX('Checks'!$A$4:$A$503,_calc!$E$22)))</f>
        <v/>
      </c>
      <c r="B20" s="43">
        <f>IF(_calc!$E$22="","",IF(ISNUMBER(INDEX('Checks'!$H$4:$H$503,_calc!$E$22)),TEXT(INDEX('Checks'!$H$4:$H$503,_calc!$E$22),"yyyy-mm-dd"),""))</f>
        <v/>
      </c>
      <c r="C20" s="43">
        <f>IF(_calc!$E$22="","","Right to work")</f>
        <v/>
      </c>
      <c r="D20" s="43">
        <f>IF(_calc!$E$22="","",IF(ISNUMBER(INDEX('Checks'!$F$4:$F$503,_calc!$E$22)),TEXT(INDEX('Checks'!$F$4:$F$503,_calc!$E$22),"yyyy-mm-dd"),""))</f>
        <v/>
      </c>
      <c r="E20" s="43">
        <f>IF(_calc!$E$22="","","High")</f>
        <v/>
      </c>
      <c r="F20" s="43">
        <f>IF(_calc!$E$22="","",TRIM(IF(LEN(IF(LEN(INDEX('Checks'!$B$4:$B$503,_calc!$E$22))=0,"",INDEX('Checks'!$B$4:$B$503,_calc!$E$22)))=0,"","Role: "&amp;IF(LEN(INDEX('Checks'!$B$4:$B$503,_calc!$E$22))=0,"",INDEX('Checks'!$B$4:$B$503,_calc!$E$22))&amp;". ")&amp;IF(LEN(IF(LEN(INDEX('Checks'!$D$4:$D$503,_calc!$E$22))=0,"",INDEX('Checks'!$D$4:$D$503,_calc!$E$22)))=0,"","Check type: "&amp;IF(LEN(INDEX('Checks'!$D$4:$D$503,_calc!$E$22))=0,"",INDEX('Checks'!$D$4:$D$503,_calc!$E$22))&amp;". ")&amp;IF(LEN(IF(LEN(INDEX('Checks'!$E$4:$E$503,_calc!$E$22))=0,"",INDEX('Checks'!$E$4:$E$503,_calc!$E$22)))=0,"","Evidence: "&amp;IF(LEN(INDEX('Checks'!$E$4:$E$503,_calc!$E$22))=0,"",INDEX('Checks'!$E$4:$E$503,_calc!$E$22))&amp;". ")&amp;IF(LEN(IF(LEN(INDEX('Checks'!$G$4:$G$503,_calc!$E$22))=0,"",INDEX('Checks'!$G$4:$G$503,_calc!$E$22)))=0,"","Checked by: "&amp;IF(LEN(INDEX('Checks'!$G$4:$G$503,_calc!$E$22))=0,"",INDEX('Checks'!$G$4:$G$503,_calc!$E$22))&amp;". ")&amp;IF(LEN(IF(LEN(INDEX('Checks'!$Q$4:$Q$503,_calc!$E$22))=0,"",INDEX('Checks'!$Q$4:$Q$503,_calc!$E$22)))=0,"",IF(LEN(INDEX('Checks'!$Q$4:$Q$503,_calc!$E$22))=0,"",INDEX('Checks'!$Q$4:$Q$503,_calc!$E$22)))))</f>
        <v/>
      </c>
      <c r="G20" s="43">
        <f>IF(_calc!$E$22="","",IF(LEN(INDEX('Checks'!$P$4:$P$503,_calc!$E$22))=0,"",INDEX('Checks'!$P$4:$P$503,_calc!$E$22)))</f>
        <v/>
      </c>
      <c r="K20" s="43">
        <f>IF(_calc!$E$22="","",IF(LEN(INDEX('Checks'!$O$4:$O$503,_calc!$E$22))=0,"",INDEX('Checks'!$O$4:$O$503,_calc!$E$22)))</f>
        <v/>
      </c>
    </row>
    <row r="21">
      <c r="A21" s="43">
        <f>IF(_calc!$E$23="","","Right to work follow-up – "&amp;IF(LEN(INDEX('Checks'!$A$4:$A$503,_calc!$E$23))=0,"",INDEX('Checks'!$A$4:$A$503,_calc!$E$23)))</f>
        <v/>
      </c>
      <c r="B21" s="43">
        <f>IF(_calc!$E$23="","",IF(ISNUMBER(INDEX('Checks'!$H$4:$H$503,_calc!$E$23)),TEXT(INDEX('Checks'!$H$4:$H$503,_calc!$E$23),"yyyy-mm-dd"),""))</f>
        <v/>
      </c>
      <c r="C21" s="43">
        <f>IF(_calc!$E$23="","","Right to work")</f>
        <v/>
      </c>
      <c r="D21" s="43">
        <f>IF(_calc!$E$23="","",IF(ISNUMBER(INDEX('Checks'!$F$4:$F$503,_calc!$E$23)),TEXT(INDEX('Checks'!$F$4:$F$503,_calc!$E$23),"yyyy-mm-dd"),""))</f>
        <v/>
      </c>
      <c r="E21" s="43">
        <f>IF(_calc!$E$23="","","High")</f>
        <v/>
      </c>
      <c r="F21" s="43">
        <f>IF(_calc!$E$23="","",TRIM(IF(LEN(IF(LEN(INDEX('Checks'!$B$4:$B$503,_calc!$E$23))=0,"",INDEX('Checks'!$B$4:$B$503,_calc!$E$23)))=0,"","Role: "&amp;IF(LEN(INDEX('Checks'!$B$4:$B$503,_calc!$E$23))=0,"",INDEX('Checks'!$B$4:$B$503,_calc!$E$23))&amp;". ")&amp;IF(LEN(IF(LEN(INDEX('Checks'!$D$4:$D$503,_calc!$E$23))=0,"",INDEX('Checks'!$D$4:$D$503,_calc!$E$23)))=0,"","Check type: "&amp;IF(LEN(INDEX('Checks'!$D$4:$D$503,_calc!$E$23))=0,"",INDEX('Checks'!$D$4:$D$503,_calc!$E$23))&amp;". ")&amp;IF(LEN(IF(LEN(INDEX('Checks'!$E$4:$E$503,_calc!$E$23))=0,"",INDEX('Checks'!$E$4:$E$503,_calc!$E$23)))=0,"","Evidence: "&amp;IF(LEN(INDEX('Checks'!$E$4:$E$503,_calc!$E$23))=0,"",INDEX('Checks'!$E$4:$E$503,_calc!$E$23))&amp;". ")&amp;IF(LEN(IF(LEN(INDEX('Checks'!$G$4:$G$503,_calc!$E$23))=0,"",INDEX('Checks'!$G$4:$G$503,_calc!$E$23)))=0,"","Checked by: "&amp;IF(LEN(INDEX('Checks'!$G$4:$G$503,_calc!$E$23))=0,"",INDEX('Checks'!$G$4:$G$503,_calc!$E$23))&amp;". ")&amp;IF(LEN(IF(LEN(INDEX('Checks'!$Q$4:$Q$503,_calc!$E$23))=0,"",INDEX('Checks'!$Q$4:$Q$503,_calc!$E$23)))=0,"",IF(LEN(INDEX('Checks'!$Q$4:$Q$503,_calc!$E$23))=0,"",INDEX('Checks'!$Q$4:$Q$503,_calc!$E$23)))))</f>
        <v/>
      </c>
      <c r="G21" s="43">
        <f>IF(_calc!$E$23="","",IF(LEN(INDEX('Checks'!$P$4:$P$503,_calc!$E$23))=0,"",INDEX('Checks'!$P$4:$P$503,_calc!$E$23)))</f>
        <v/>
      </c>
      <c r="K21" s="43">
        <f>IF(_calc!$E$23="","",IF(LEN(INDEX('Checks'!$O$4:$O$503,_calc!$E$23))=0,"",INDEX('Checks'!$O$4:$O$503,_calc!$E$23)))</f>
        <v/>
      </c>
    </row>
    <row r="22">
      <c r="A22" s="43">
        <f>IF(_calc!$E$24="","","Right to work follow-up – "&amp;IF(LEN(INDEX('Checks'!$A$4:$A$503,_calc!$E$24))=0,"",INDEX('Checks'!$A$4:$A$503,_calc!$E$24)))</f>
        <v/>
      </c>
      <c r="B22" s="43">
        <f>IF(_calc!$E$24="","",IF(ISNUMBER(INDEX('Checks'!$H$4:$H$503,_calc!$E$24)),TEXT(INDEX('Checks'!$H$4:$H$503,_calc!$E$24),"yyyy-mm-dd"),""))</f>
        <v/>
      </c>
      <c r="C22" s="43">
        <f>IF(_calc!$E$24="","","Right to work")</f>
        <v/>
      </c>
      <c r="D22" s="43">
        <f>IF(_calc!$E$24="","",IF(ISNUMBER(INDEX('Checks'!$F$4:$F$503,_calc!$E$24)),TEXT(INDEX('Checks'!$F$4:$F$503,_calc!$E$24),"yyyy-mm-dd"),""))</f>
        <v/>
      </c>
      <c r="E22" s="43">
        <f>IF(_calc!$E$24="","","High")</f>
        <v/>
      </c>
      <c r="F22" s="43">
        <f>IF(_calc!$E$24="","",TRIM(IF(LEN(IF(LEN(INDEX('Checks'!$B$4:$B$503,_calc!$E$24))=0,"",INDEX('Checks'!$B$4:$B$503,_calc!$E$24)))=0,"","Role: "&amp;IF(LEN(INDEX('Checks'!$B$4:$B$503,_calc!$E$24))=0,"",INDEX('Checks'!$B$4:$B$503,_calc!$E$24))&amp;". ")&amp;IF(LEN(IF(LEN(INDEX('Checks'!$D$4:$D$503,_calc!$E$24))=0,"",INDEX('Checks'!$D$4:$D$503,_calc!$E$24)))=0,"","Check type: "&amp;IF(LEN(INDEX('Checks'!$D$4:$D$503,_calc!$E$24))=0,"",INDEX('Checks'!$D$4:$D$503,_calc!$E$24))&amp;". ")&amp;IF(LEN(IF(LEN(INDEX('Checks'!$E$4:$E$503,_calc!$E$24))=0,"",INDEX('Checks'!$E$4:$E$503,_calc!$E$24)))=0,"","Evidence: "&amp;IF(LEN(INDEX('Checks'!$E$4:$E$503,_calc!$E$24))=0,"",INDEX('Checks'!$E$4:$E$503,_calc!$E$24))&amp;". ")&amp;IF(LEN(IF(LEN(INDEX('Checks'!$G$4:$G$503,_calc!$E$24))=0,"",INDEX('Checks'!$G$4:$G$503,_calc!$E$24)))=0,"","Checked by: "&amp;IF(LEN(INDEX('Checks'!$G$4:$G$503,_calc!$E$24))=0,"",INDEX('Checks'!$G$4:$G$503,_calc!$E$24))&amp;". ")&amp;IF(LEN(IF(LEN(INDEX('Checks'!$Q$4:$Q$503,_calc!$E$24))=0,"",INDEX('Checks'!$Q$4:$Q$503,_calc!$E$24)))=0,"",IF(LEN(INDEX('Checks'!$Q$4:$Q$503,_calc!$E$24))=0,"",INDEX('Checks'!$Q$4:$Q$503,_calc!$E$24)))))</f>
        <v/>
      </c>
      <c r="G22" s="43">
        <f>IF(_calc!$E$24="","",IF(LEN(INDEX('Checks'!$P$4:$P$503,_calc!$E$24))=0,"",INDEX('Checks'!$P$4:$P$503,_calc!$E$24)))</f>
        <v/>
      </c>
      <c r="K22" s="43">
        <f>IF(_calc!$E$24="","",IF(LEN(INDEX('Checks'!$O$4:$O$503,_calc!$E$24))=0,"",INDEX('Checks'!$O$4:$O$503,_calc!$E$24)))</f>
        <v/>
      </c>
    </row>
    <row r="23">
      <c r="A23" s="43">
        <f>IF(_calc!$E$25="","","Right to work follow-up – "&amp;IF(LEN(INDEX('Checks'!$A$4:$A$503,_calc!$E$25))=0,"",INDEX('Checks'!$A$4:$A$503,_calc!$E$25)))</f>
        <v/>
      </c>
      <c r="B23" s="43">
        <f>IF(_calc!$E$25="","",IF(ISNUMBER(INDEX('Checks'!$H$4:$H$503,_calc!$E$25)),TEXT(INDEX('Checks'!$H$4:$H$503,_calc!$E$25),"yyyy-mm-dd"),""))</f>
        <v/>
      </c>
      <c r="C23" s="43">
        <f>IF(_calc!$E$25="","","Right to work")</f>
        <v/>
      </c>
      <c r="D23" s="43">
        <f>IF(_calc!$E$25="","",IF(ISNUMBER(INDEX('Checks'!$F$4:$F$503,_calc!$E$25)),TEXT(INDEX('Checks'!$F$4:$F$503,_calc!$E$25),"yyyy-mm-dd"),""))</f>
        <v/>
      </c>
      <c r="E23" s="43">
        <f>IF(_calc!$E$25="","","High")</f>
        <v/>
      </c>
      <c r="F23" s="43">
        <f>IF(_calc!$E$25="","",TRIM(IF(LEN(IF(LEN(INDEX('Checks'!$B$4:$B$503,_calc!$E$25))=0,"",INDEX('Checks'!$B$4:$B$503,_calc!$E$25)))=0,"","Role: "&amp;IF(LEN(INDEX('Checks'!$B$4:$B$503,_calc!$E$25))=0,"",INDEX('Checks'!$B$4:$B$503,_calc!$E$25))&amp;". ")&amp;IF(LEN(IF(LEN(INDEX('Checks'!$D$4:$D$503,_calc!$E$25))=0,"",INDEX('Checks'!$D$4:$D$503,_calc!$E$25)))=0,"","Check type: "&amp;IF(LEN(INDEX('Checks'!$D$4:$D$503,_calc!$E$25))=0,"",INDEX('Checks'!$D$4:$D$503,_calc!$E$25))&amp;". ")&amp;IF(LEN(IF(LEN(INDEX('Checks'!$E$4:$E$503,_calc!$E$25))=0,"",INDEX('Checks'!$E$4:$E$503,_calc!$E$25)))=0,"","Evidence: "&amp;IF(LEN(INDEX('Checks'!$E$4:$E$503,_calc!$E$25))=0,"",INDEX('Checks'!$E$4:$E$503,_calc!$E$25))&amp;". ")&amp;IF(LEN(IF(LEN(INDEX('Checks'!$G$4:$G$503,_calc!$E$25))=0,"",INDEX('Checks'!$G$4:$G$503,_calc!$E$25)))=0,"","Checked by: "&amp;IF(LEN(INDEX('Checks'!$G$4:$G$503,_calc!$E$25))=0,"",INDEX('Checks'!$G$4:$G$503,_calc!$E$25))&amp;". ")&amp;IF(LEN(IF(LEN(INDEX('Checks'!$Q$4:$Q$503,_calc!$E$25))=0,"",INDEX('Checks'!$Q$4:$Q$503,_calc!$E$25)))=0,"",IF(LEN(INDEX('Checks'!$Q$4:$Q$503,_calc!$E$25))=0,"",INDEX('Checks'!$Q$4:$Q$503,_calc!$E$25)))))</f>
        <v/>
      </c>
      <c r="G23" s="43">
        <f>IF(_calc!$E$25="","",IF(LEN(INDEX('Checks'!$P$4:$P$503,_calc!$E$25))=0,"",INDEX('Checks'!$P$4:$P$503,_calc!$E$25)))</f>
        <v/>
      </c>
      <c r="K23" s="43">
        <f>IF(_calc!$E$25="","",IF(LEN(INDEX('Checks'!$O$4:$O$503,_calc!$E$25))=0,"",INDEX('Checks'!$O$4:$O$503,_calc!$E$25)))</f>
        <v/>
      </c>
    </row>
    <row r="24">
      <c r="A24" s="43">
        <f>IF(_calc!$E$26="","","Right to work follow-up – "&amp;IF(LEN(INDEX('Checks'!$A$4:$A$503,_calc!$E$26))=0,"",INDEX('Checks'!$A$4:$A$503,_calc!$E$26)))</f>
        <v/>
      </c>
      <c r="B24" s="43">
        <f>IF(_calc!$E$26="","",IF(ISNUMBER(INDEX('Checks'!$H$4:$H$503,_calc!$E$26)),TEXT(INDEX('Checks'!$H$4:$H$503,_calc!$E$26),"yyyy-mm-dd"),""))</f>
        <v/>
      </c>
      <c r="C24" s="43">
        <f>IF(_calc!$E$26="","","Right to work")</f>
        <v/>
      </c>
      <c r="D24" s="43">
        <f>IF(_calc!$E$26="","",IF(ISNUMBER(INDEX('Checks'!$F$4:$F$503,_calc!$E$26)),TEXT(INDEX('Checks'!$F$4:$F$503,_calc!$E$26),"yyyy-mm-dd"),""))</f>
        <v/>
      </c>
      <c r="E24" s="43">
        <f>IF(_calc!$E$26="","","High")</f>
        <v/>
      </c>
      <c r="F24" s="43">
        <f>IF(_calc!$E$26="","",TRIM(IF(LEN(IF(LEN(INDEX('Checks'!$B$4:$B$503,_calc!$E$26))=0,"",INDEX('Checks'!$B$4:$B$503,_calc!$E$26)))=0,"","Role: "&amp;IF(LEN(INDEX('Checks'!$B$4:$B$503,_calc!$E$26))=0,"",INDEX('Checks'!$B$4:$B$503,_calc!$E$26))&amp;". ")&amp;IF(LEN(IF(LEN(INDEX('Checks'!$D$4:$D$503,_calc!$E$26))=0,"",INDEX('Checks'!$D$4:$D$503,_calc!$E$26)))=0,"","Check type: "&amp;IF(LEN(INDEX('Checks'!$D$4:$D$503,_calc!$E$26))=0,"",INDEX('Checks'!$D$4:$D$503,_calc!$E$26))&amp;". ")&amp;IF(LEN(IF(LEN(INDEX('Checks'!$E$4:$E$503,_calc!$E$26))=0,"",INDEX('Checks'!$E$4:$E$503,_calc!$E$26)))=0,"","Evidence: "&amp;IF(LEN(INDEX('Checks'!$E$4:$E$503,_calc!$E$26))=0,"",INDEX('Checks'!$E$4:$E$503,_calc!$E$26))&amp;". ")&amp;IF(LEN(IF(LEN(INDEX('Checks'!$G$4:$G$503,_calc!$E$26))=0,"",INDEX('Checks'!$G$4:$G$503,_calc!$E$26)))=0,"","Checked by: "&amp;IF(LEN(INDEX('Checks'!$G$4:$G$503,_calc!$E$26))=0,"",INDEX('Checks'!$G$4:$G$503,_calc!$E$26))&amp;". ")&amp;IF(LEN(IF(LEN(INDEX('Checks'!$Q$4:$Q$503,_calc!$E$26))=0,"",INDEX('Checks'!$Q$4:$Q$503,_calc!$E$26)))=0,"",IF(LEN(INDEX('Checks'!$Q$4:$Q$503,_calc!$E$26))=0,"",INDEX('Checks'!$Q$4:$Q$503,_calc!$E$26)))))</f>
        <v/>
      </c>
      <c r="G24" s="43">
        <f>IF(_calc!$E$26="","",IF(LEN(INDEX('Checks'!$P$4:$P$503,_calc!$E$26))=0,"",INDEX('Checks'!$P$4:$P$503,_calc!$E$26)))</f>
        <v/>
      </c>
      <c r="K24" s="43">
        <f>IF(_calc!$E$26="","",IF(LEN(INDEX('Checks'!$O$4:$O$503,_calc!$E$26))=0,"",INDEX('Checks'!$O$4:$O$503,_calc!$E$26)))</f>
        <v/>
      </c>
    </row>
    <row r="25">
      <c r="A25" s="43">
        <f>IF(_calc!$E$27="","","Right to work follow-up – "&amp;IF(LEN(INDEX('Checks'!$A$4:$A$503,_calc!$E$27))=0,"",INDEX('Checks'!$A$4:$A$503,_calc!$E$27)))</f>
        <v/>
      </c>
      <c r="B25" s="43">
        <f>IF(_calc!$E$27="","",IF(ISNUMBER(INDEX('Checks'!$H$4:$H$503,_calc!$E$27)),TEXT(INDEX('Checks'!$H$4:$H$503,_calc!$E$27),"yyyy-mm-dd"),""))</f>
        <v/>
      </c>
      <c r="C25" s="43">
        <f>IF(_calc!$E$27="","","Right to work")</f>
        <v/>
      </c>
      <c r="D25" s="43">
        <f>IF(_calc!$E$27="","",IF(ISNUMBER(INDEX('Checks'!$F$4:$F$503,_calc!$E$27)),TEXT(INDEX('Checks'!$F$4:$F$503,_calc!$E$27),"yyyy-mm-dd"),""))</f>
        <v/>
      </c>
      <c r="E25" s="43">
        <f>IF(_calc!$E$27="","","High")</f>
        <v/>
      </c>
      <c r="F25" s="43">
        <f>IF(_calc!$E$27="","",TRIM(IF(LEN(IF(LEN(INDEX('Checks'!$B$4:$B$503,_calc!$E$27))=0,"",INDEX('Checks'!$B$4:$B$503,_calc!$E$27)))=0,"","Role: "&amp;IF(LEN(INDEX('Checks'!$B$4:$B$503,_calc!$E$27))=0,"",INDEX('Checks'!$B$4:$B$503,_calc!$E$27))&amp;". ")&amp;IF(LEN(IF(LEN(INDEX('Checks'!$D$4:$D$503,_calc!$E$27))=0,"",INDEX('Checks'!$D$4:$D$503,_calc!$E$27)))=0,"","Check type: "&amp;IF(LEN(INDEX('Checks'!$D$4:$D$503,_calc!$E$27))=0,"",INDEX('Checks'!$D$4:$D$503,_calc!$E$27))&amp;". ")&amp;IF(LEN(IF(LEN(INDEX('Checks'!$E$4:$E$503,_calc!$E$27))=0,"",INDEX('Checks'!$E$4:$E$503,_calc!$E$27)))=0,"","Evidence: "&amp;IF(LEN(INDEX('Checks'!$E$4:$E$503,_calc!$E$27))=0,"",INDEX('Checks'!$E$4:$E$503,_calc!$E$27))&amp;". ")&amp;IF(LEN(IF(LEN(INDEX('Checks'!$G$4:$G$503,_calc!$E$27))=0,"",INDEX('Checks'!$G$4:$G$503,_calc!$E$27)))=0,"","Checked by: "&amp;IF(LEN(INDEX('Checks'!$G$4:$G$503,_calc!$E$27))=0,"",INDEX('Checks'!$G$4:$G$503,_calc!$E$27))&amp;". ")&amp;IF(LEN(IF(LEN(INDEX('Checks'!$Q$4:$Q$503,_calc!$E$27))=0,"",INDEX('Checks'!$Q$4:$Q$503,_calc!$E$27)))=0,"",IF(LEN(INDEX('Checks'!$Q$4:$Q$503,_calc!$E$27))=0,"",INDEX('Checks'!$Q$4:$Q$503,_calc!$E$27)))))</f>
        <v/>
      </c>
      <c r="G25" s="43">
        <f>IF(_calc!$E$27="","",IF(LEN(INDEX('Checks'!$P$4:$P$503,_calc!$E$27))=0,"",INDEX('Checks'!$P$4:$P$503,_calc!$E$27)))</f>
        <v/>
      </c>
      <c r="K25" s="43">
        <f>IF(_calc!$E$27="","",IF(LEN(INDEX('Checks'!$O$4:$O$503,_calc!$E$27))=0,"",INDEX('Checks'!$O$4:$O$503,_calc!$E$27)))</f>
        <v/>
      </c>
    </row>
    <row r="26">
      <c r="A26" s="43">
        <f>IF(_calc!$E$28="","","Right to work follow-up – "&amp;IF(LEN(INDEX('Checks'!$A$4:$A$503,_calc!$E$28))=0,"",INDEX('Checks'!$A$4:$A$503,_calc!$E$28)))</f>
        <v/>
      </c>
      <c r="B26" s="43">
        <f>IF(_calc!$E$28="","",IF(ISNUMBER(INDEX('Checks'!$H$4:$H$503,_calc!$E$28)),TEXT(INDEX('Checks'!$H$4:$H$503,_calc!$E$28),"yyyy-mm-dd"),""))</f>
        <v/>
      </c>
      <c r="C26" s="43">
        <f>IF(_calc!$E$28="","","Right to work")</f>
        <v/>
      </c>
      <c r="D26" s="43">
        <f>IF(_calc!$E$28="","",IF(ISNUMBER(INDEX('Checks'!$F$4:$F$503,_calc!$E$28)),TEXT(INDEX('Checks'!$F$4:$F$503,_calc!$E$28),"yyyy-mm-dd"),""))</f>
        <v/>
      </c>
      <c r="E26" s="43">
        <f>IF(_calc!$E$28="","","High")</f>
        <v/>
      </c>
      <c r="F26" s="43">
        <f>IF(_calc!$E$28="","",TRIM(IF(LEN(IF(LEN(INDEX('Checks'!$B$4:$B$503,_calc!$E$28))=0,"",INDEX('Checks'!$B$4:$B$503,_calc!$E$28)))=0,"","Role: "&amp;IF(LEN(INDEX('Checks'!$B$4:$B$503,_calc!$E$28))=0,"",INDEX('Checks'!$B$4:$B$503,_calc!$E$28))&amp;". ")&amp;IF(LEN(IF(LEN(INDEX('Checks'!$D$4:$D$503,_calc!$E$28))=0,"",INDEX('Checks'!$D$4:$D$503,_calc!$E$28)))=0,"","Check type: "&amp;IF(LEN(INDEX('Checks'!$D$4:$D$503,_calc!$E$28))=0,"",INDEX('Checks'!$D$4:$D$503,_calc!$E$28))&amp;". ")&amp;IF(LEN(IF(LEN(INDEX('Checks'!$E$4:$E$503,_calc!$E$28))=0,"",INDEX('Checks'!$E$4:$E$503,_calc!$E$28)))=0,"","Evidence: "&amp;IF(LEN(INDEX('Checks'!$E$4:$E$503,_calc!$E$28))=0,"",INDEX('Checks'!$E$4:$E$503,_calc!$E$28))&amp;". ")&amp;IF(LEN(IF(LEN(INDEX('Checks'!$G$4:$G$503,_calc!$E$28))=0,"",INDEX('Checks'!$G$4:$G$503,_calc!$E$28)))=0,"","Checked by: "&amp;IF(LEN(INDEX('Checks'!$G$4:$G$503,_calc!$E$28))=0,"",INDEX('Checks'!$G$4:$G$503,_calc!$E$28))&amp;". ")&amp;IF(LEN(IF(LEN(INDEX('Checks'!$Q$4:$Q$503,_calc!$E$28))=0,"",INDEX('Checks'!$Q$4:$Q$503,_calc!$E$28)))=0,"",IF(LEN(INDEX('Checks'!$Q$4:$Q$503,_calc!$E$28))=0,"",INDEX('Checks'!$Q$4:$Q$503,_calc!$E$28)))))</f>
        <v/>
      </c>
      <c r="G26" s="43">
        <f>IF(_calc!$E$28="","",IF(LEN(INDEX('Checks'!$P$4:$P$503,_calc!$E$28))=0,"",INDEX('Checks'!$P$4:$P$503,_calc!$E$28)))</f>
        <v/>
      </c>
      <c r="K26" s="43">
        <f>IF(_calc!$E$28="","",IF(LEN(INDEX('Checks'!$O$4:$O$503,_calc!$E$28))=0,"",INDEX('Checks'!$O$4:$O$503,_calc!$E$28)))</f>
        <v/>
      </c>
    </row>
    <row r="27">
      <c r="A27" s="43">
        <f>IF(_calc!$E$29="","","Right to work follow-up – "&amp;IF(LEN(INDEX('Checks'!$A$4:$A$503,_calc!$E$29))=0,"",INDEX('Checks'!$A$4:$A$503,_calc!$E$29)))</f>
        <v/>
      </c>
      <c r="B27" s="43">
        <f>IF(_calc!$E$29="","",IF(ISNUMBER(INDEX('Checks'!$H$4:$H$503,_calc!$E$29)),TEXT(INDEX('Checks'!$H$4:$H$503,_calc!$E$29),"yyyy-mm-dd"),""))</f>
        <v/>
      </c>
      <c r="C27" s="43">
        <f>IF(_calc!$E$29="","","Right to work")</f>
        <v/>
      </c>
      <c r="D27" s="43">
        <f>IF(_calc!$E$29="","",IF(ISNUMBER(INDEX('Checks'!$F$4:$F$503,_calc!$E$29)),TEXT(INDEX('Checks'!$F$4:$F$503,_calc!$E$29),"yyyy-mm-dd"),""))</f>
        <v/>
      </c>
      <c r="E27" s="43">
        <f>IF(_calc!$E$29="","","High")</f>
        <v/>
      </c>
      <c r="F27" s="43">
        <f>IF(_calc!$E$29="","",TRIM(IF(LEN(IF(LEN(INDEX('Checks'!$B$4:$B$503,_calc!$E$29))=0,"",INDEX('Checks'!$B$4:$B$503,_calc!$E$29)))=0,"","Role: "&amp;IF(LEN(INDEX('Checks'!$B$4:$B$503,_calc!$E$29))=0,"",INDEX('Checks'!$B$4:$B$503,_calc!$E$29))&amp;". ")&amp;IF(LEN(IF(LEN(INDEX('Checks'!$D$4:$D$503,_calc!$E$29))=0,"",INDEX('Checks'!$D$4:$D$503,_calc!$E$29)))=0,"","Check type: "&amp;IF(LEN(INDEX('Checks'!$D$4:$D$503,_calc!$E$29))=0,"",INDEX('Checks'!$D$4:$D$503,_calc!$E$29))&amp;". ")&amp;IF(LEN(IF(LEN(INDEX('Checks'!$E$4:$E$503,_calc!$E$29))=0,"",INDEX('Checks'!$E$4:$E$503,_calc!$E$29)))=0,"","Evidence: "&amp;IF(LEN(INDEX('Checks'!$E$4:$E$503,_calc!$E$29))=0,"",INDEX('Checks'!$E$4:$E$503,_calc!$E$29))&amp;". ")&amp;IF(LEN(IF(LEN(INDEX('Checks'!$G$4:$G$503,_calc!$E$29))=0,"",INDEX('Checks'!$G$4:$G$503,_calc!$E$29)))=0,"","Checked by: "&amp;IF(LEN(INDEX('Checks'!$G$4:$G$503,_calc!$E$29))=0,"",INDEX('Checks'!$G$4:$G$503,_calc!$E$29))&amp;". ")&amp;IF(LEN(IF(LEN(INDEX('Checks'!$Q$4:$Q$503,_calc!$E$29))=0,"",INDEX('Checks'!$Q$4:$Q$503,_calc!$E$29)))=0,"",IF(LEN(INDEX('Checks'!$Q$4:$Q$503,_calc!$E$29))=0,"",INDEX('Checks'!$Q$4:$Q$503,_calc!$E$29)))))</f>
        <v/>
      </c>
      <c r="G27" s="43">
        <f>IF(_calc!$E$29="","",IF(LEN(INDEX('Checks'!$P$4:$P$503,_calc!$E$29))=0,"",INDEX('Checks'!$P$4:$P$503,_calc!$E$29)))</f>
        <v/>
      </c>
      <c r="K27" s="43">
        <f>IF(_calc!$E$29="","",IF(LEN(INDEX('Checks'!$O$4:$O$503,_calc!$E$29))=0,"",INDEX('Checks'!$O$4:$O$503,_calc!$E$29)))</f>
        <v/>
      </c>
    </row>
    <row r="28">
      <c r="A28" s="43">
        <f>IF(_calc!$E$30="","","Right to work follow-up – "&amp;IF(LEN(INDEX('Checks'!$A$4:$A$503,_calc!$E$30))=0,"",INDEX('Checks'!$A$4:$A$503,_calc!$E$30)))</f>
        <v/>
      </c>
      <c r="B28" s="43">
        <f>IF(_calc!$E$30="","",IF(ISNUMBER(INDEX('Checks'!$H$4:$H$503,_calc!$E$30)),TEXT(INDEX('Checks'!$H$4:$H$503,_calc!$E$30),"yyyy-mm-dd"),""))</f>
        <v/>
      </c>
      <c r="C28" s="43">
        <f>IF(_calc!$E$30="","","Right to work")</f>
        <v/>
      </c>
      <c r="D28" s="43">
        <f>IF(_calc!$E$30="","",IF(ISNUMBER(INDEX('Checks'!$F$4:$F$503,_calc!$E$30)),TEXT(INDEX('Checks'!$F$4:$F$503,_calc!$E$30),"yyyy-mm-dd"),""))</f>
        <v/>
      </c>
      <c r="E28" s="43">
        <f>IF(_calc!$E$30="","","High")</f>
        <v/>
      </c>
      <c r="F28" s="43">
        <f>IF(_calc!$E$30="","",TRIM(IF(LEN(IF(LEN(INDEX('Checks'!$B$4:$B$503,_calc!$E$30))=0,"",INDEX('Checks'!$B$4:$B$503,_calc!$E$30)))=0,"","Role: "&amp;IF(LEN(INDEX('Checks'!$B$4:$B$503,_calc!$E$30))=0,"",INDEX('Checks'!$B$4:$B$503,_calc!$E$30))&amp;". ")&amp;IF(LEN(IF(LEN(INDEX('Checks'!$D$4:$D$503,_calc!$E$30))=0,"",INDEX('Checks'!$D$4:$D$503,_calc!$E$30)))=0,"","Check type: "&amp;IF(LEN(INDEX('Checks'!$D$4:$D$503,_calc!$E$30))=0,"",INDEX('Checks'!$D$4:$D$503,_calc!$E$30))&amp;". ")&amp;IF(LEN(IF(LEN(INDEX('Checks'!$E$4:$E$503,_calc!$E$30))=0,"",INDEX('Checks'!$E$4:$E$503,_calc!$E$30)))=0,"","Evidence: "&amp;IF(LEN(INDEX('Checks'!$E$4:$E$503,_calc!$E$30))=0,"",INDEX('Checks'!$E$4:$E$503,_calc!$E$30))&amp;". ")&amp;IF(LEN(IF(LEN(INDEX('Checks'!$G$4:$G$503,_calc!$E$30))=0,"",INDEX('Checks'!$G$4:$G$503,_calc!$E$30)))=0,"","Checked by: "&amp;IF(LEN(INDEX('Checks'!$G$4:$G$503,_calc!$E$30))=0,"",INDEX('Checks'!$G$4:$G$503,_calc!$E$30))&amp;". ")&amp;IF(LEN(IF(LEN(INDEX('Checks'!$Q$4:$Q$503,_calc!$E$30))=0,"",INDEX('Checks'!$Q$4:$Q$503,_calc!$E$30)))=0,"",IF(LEN(INDEX('Checks'!$Q$4:$Q$503,_calc!$E$30))=0,"",INDEX('Checks'!$Q$4:$Q$503,_calc!$E$30)))))</f>
        <v/>
      </c>
      <c r="G28" s="43">
        <f>IF(_calc!$E$30="","",IF(LEN(INDEX('Checks'!$P$4:$P$503,_calc!$E$30))=0,"",INDEX('Checks'!$P$4:$P$503,_calc!$E$30)))</f>
        <v/>
      </c>
      <c r="K28" s="43">
        <f>IF(_calc!$E$30="","",IF(LEN(INDEX('Checks'!$O$4:$O$503,_calc!$E$30))=0,"",INDEX('Checks'!$O$4:$O$503,_calc!$E$30)))</f>
        <v/>
      </c>
    </row>
    <row r="29">
      <c r="A29" s="43">
        <f>IF(_calc!$E$31="","","Right to work follow-up – "&amp;IF(LEN(INDEX('Checks'!$A$4:$A$503,_calc!$E$31))=0,"",INDEX('Checks'!$A$4:$A$503,_calc!$E$31)))</f>
        <v/>
      </c>
      <c r="B29" s="43">
        <f>IF(_calc!$E$31="","",IF(ISNUMBER(INDEX('Checks'!$H$4:$H$503,_calc!$E$31)),TEXT(INDEX('Checks'!$H$4:$H$503,_calc!$E$31),"yyyy-mm-dd"),""))</f>
        <v/>
      </c>
      <c r="C29" s="43">
        <f>IF(_calc!$E$31="","","Right to work")</f>
        <v/>
      </c>
      <c r="D29" s="43">
        <f>IF(_calc!$E$31="","",IF(ISNUMBER(INDEX('Checks'!$F$4:$F$503,_calc!$E$31)),TEXT(INDEX('Checks'!$F$4:$F$503,_calc!$E$31),"yyyy-mm-dd"),""))</f>
        <v/>
      </c>
      <c r="E29" s="43">
        <f>IF(_calc!$E$31="","","High")</f>
        <v/>
      </c>
      <c r="F29" s="43">
        <f>IF(_calc!$E$31="","",TRIM(IF(LEN(IF(LEN(INDEX('Checks'!$B$4:$B$503,_calc!$E$31))=0,"",INDEX('Checks'!$B$4:$B$503,_calc!$E$31)))=0,"","Role: "&amp;IF(LEN(INDEX('Checks'!$B$4:$B$503,_calc!$E$31))=0,"",INDEX('Checks'!$B$4:$B$503,_calc!$E$31))&amp;". ")&amp;IF(LEN(IF(LEN(INDEX('Checks'!$D$4:$D$503,_calc!$E$31))=0,"",INDEX('Checks'!$D$4:$D$503,_calc!$E$31)))=0,"","Check type: "&amp;IF(LEN(INDEX('Checks'!$D$4:$D$503,_calc!$E$31))=0,"",INDEX('Checks'!$D$4:$D$503,_calc!$E$31))&amp;". ")&amp;IF(LEN(IF(LEN(INDEX('Checks'!$E$4:$E$503,_calc!$E$31))=0,"",INDEX('Checks'!$E$4:$E$503,_calc!$E$31)))=0,"","Evidence: "&amp;IF(LEN(INDEX('Checks'!$E$4:$E$503,_calc!$E$31))=0,"",INDEX('Checks'!$E$4:$E$503,_calc!$E$31))&amp;". ")&amp;IF(LEN(IF(LEN(INDEX('Checks'!$G$4:$G$503,_calc!$E$31))=0,"",INDEX('Checks'!$G$4:$G$503,_calc!$E$31)))=0,"","Checked by: "&amp;IF(LEN(INDEX('Checks'!$G$4:$G$503,_calc!$E$31))=0,"",INDEX('Checks'!$G$4:$G$503,_calc!$E$31))&amp;". ")&amp;IF(LEN(IF(LEN(INDEX('Checks'!$Q$4:$Q$503,_calc!$E$31))=0,"",INDEX('Checks'!$Q$4:$Q$503,_calc!$E$31)))=0,"",IF(LEN(INDEX('Checks'!$Q$4:$Q$503,_calc!$E$31))=0,"",INDEX('Checks'!$Q$4:$Q$503,_calc!$E$31)))))</f>
        <v/>
      </c>
      <c r="G29" s="43">
        <f>IF(_calc!$E$31="","",IF(LEN(INDEX('Checks'!$P$4:$P$503,_calc!$E$31))=0,"",INDEX('Checks'!$P$4:$P$503,_calc!$E$31)))</f>
        <v/>
      </c>
      <c r="K29" s="43">
        <f>IF(_calc!$E$31="","",IF(LEN(INDEX('Checks'!$O$4:$O$503,_calc!$E$31))=0,"",INDEX('Checks'!$O$4:$O$503,_calc!$E$31)))</f>
        <v/>
      </c>
    </row>
    <row r="30">
      <c r="A30" s="43">
        <f>IF(_calc!$E$32="","","Right to work follow-up – "&amp;IF(LEN(INDEX('Checks'!$A$4:$A$503,_calc!$E$32))=0,"",INDEX('Checks'!$A$4:$A$503,_calc!$E$32)))</f>
        <v/>
      </c>
      <c r="B30" s="43">
        <f>IF(_calc!$E$32="","",IF(ISNUMBER(INDEX('Checks'!$H$4:$H$503,_calc!$E$32)),TEXT(INDEX('Checks'!$H$4:$H$503,_calc!$E$32),"yyyy-mm-dd"),""))</f>
        <v/>
      </c>
      <c r="C30" s="43">
        <f>IF(_calc!$E$32="","","Right to work")</f>
        <v/>
      </c>
      <c r="D30" s="43">
        <f>IF(_calc!$E$32="","",IF(ISNUMBER(INDEX('Checks'!$F$4:$F$503,_calc!$E$32)),TEXT(INDEX('Checks'!$F$4:$F$503,_calc!$E$32),"yyyy-mm-dd"),""))</f>
        <v/>
      </c>
      <c r="E30" s="43">
        <f>IF(_calc!$E$32="","","High")</f>
        <v/>
      </c>
      <c r="F30" s="43">
        <f>IF(_calc!$E$32="","",TRIM(IF(LEN(IF(LEN(INDEX('Checks'!$B$4:$B$503,_calc!$E$32))=0,"",INDEX('Checks'!$B$4:$B$503,_calc!$E$32)))=0,"","Role: "&amp;IF(LEN(INDEX('Checks'!$B$4:$B$503,_calc!$E$32))=0,"",INDEX('Checks'!$B$4:$B$503,_calc!$E$32))&amp;". ")&amp;IF(LEN(IF(LEN(INDEX('Checks'!$D$4:$D$503,_calc!$E$32))=0,"",INDEX('Checks'!$D$4:$D$503,_calc!$E$32)))=0,"","Check type: "&amp;IF(LEN(INDEX('Checks'!$D$4:$D$503,_calc!$E$32))=0,"",INDEX('Checks'!$D$4:$D$503,_calc!$E$32))&amp;". ")&amp;IF(LEN(IF(LEN(INDEX('Checks'!$E$4:$E$503,_calc!$E$32))=0,"",INDEX('Checks'!$E$4:$E$503,_calc!$E$32)))=0,"","Evidence: "&amp;IF(LEN(INDEX('Checks'!$E$4:$E$503,_calc!$E$32))=0,"",INDEX('Checks'!$E$4:$E$503,_calc!$E$32))&amp;". ")&amp;IF(LEN(IF(LEN(INDEX('Checks'!$G$4:$G$503,_calc!$E$32))=0,"",INDEX('Checks'!$G$4:$G$503,_calc!$E$32)))=0,"","Checked by: "&amp;IF(LEN(INDEX('Checks'!$G$4:$G$503,_calc!$E$32))=0,"",INDEX('Checks'!$G$4:$G$503,_calc!$E$32))&amp;". ")&amp;IF(LEN(IF(LEN(INDEX('Checks'!$Q$4:$Q$503,_calc!$E$32))=0,"",INDEX('Checks'!$Q$4:$Q$503,_calc!$E$32)))=0,"",IF(LEN(INDEX('Checks'!$Q$4:$Q$503,_calc!$E$32))=0,"",INDEX('Checks'!$Q$4:$Q$503,_calc!$E$32)))))</f>
        <v/>
      </c>
      <c r="G30" s="43">
        <f>IF(_calc!$E$32="","",IF(LEN(INDEX('Checks'!$P$4:$P$503,_calc!$E$32))=0,"",INDEX('Checks'!$P$4:$P$503,_calc!$E$32)))</f>
        <v/>
      </c>
      <c r="K30" s="43">
        <f>IF(_calc!$E$32="","",IF(LEN(INDEX('Checks'!$O$4:$O$503,_calc!$E$32))=0,"",INDEX('Checks'!$O$4:$O$503,_calc!$E$32)))</f>
        <v/>
      </c>
    </row>
    <row r="31">
      <c r="A31" s="43">
        <f>IF(_calc!$E$33="","","Right to work follow-up – "&amp;IF(LEN(INDEX('Checks'!$A$4:$A$503,_calc!$E$33))=0,"",INDEX('Checks'!$A$4:$A$503,_calc!$E$33)))</f>
        <v/>
      </c>
      <c r="B31" s="43">
        <f>IF(_calc!$E$33="","",IF(ISNUMBER(INDEX('Checks'!$H$4:$H$503,_calc!$E$33)),TEXT(INDEX('Checks'!$H$4:$H$503,_calc!$E$33),"yyyy-mm-dd"),""))</f>
        <v/>
      </c>
      <c r="C31" s="43">
        <f>IF(_calc!$E$33="","","Right to work")</f>
        <v/>
      </c>
      <c r="D31" s="43">
        <f>IF(_calc!$E$33="","",IF(ISNUMBER(INDEX('Checks'!$F$4:$F$503,_calc!$E$33)),TEXT(INDEX('Checks'!$F$4:$F$503,_calc!$E$33),"yyyy-mm-dd"),""))</f>
        <v/>
      </c>
      <c r="E31" s="43">
        <f>IF(_calc!$E$33="","","High")</f>
        <v/>
      </c>
      <c r="F31" s="43">
        <f>IF(_calc!$E$33="","",TRIM(IF(LEN(IF(LEN(INDEX('Checks'!$B$4:$B$503,_calc!$E$33))=0,"",INDEX('Checks'!$B$4:$B$503,_calc!$E$33)))=0,"","Role: "&amp;IF(LEN(INDEX('Checks'!$B$4:$B$503,_calc!$E$33))=0,"",INDEX('Checks'!$B$4:$B$503,_calc!$E$33))&amp;". ")&amp;IF(LEN(IF(LEN(INDEX('Checks'!$D$4:$D$503,_calc!$E$33))=0,"",INDEX('Checks'!$D$4:$D$503,_calc!$E$33)))=0,"","Check type: "&amp;IF(LEN(INDEX('Checks'!$D$4:$D$503,_calc!$E$33))=0,"",INDEX('Checks'!$D$4:$D$503,_calc!$E$33))&amp;". ")&amp;IF(LEN(IF(LEN(INDEX('Checks'!$E$4:$E$503,_calc!$E$33))=0,"",INDEX('Checks'!$E$4:$E$503,_calc!$E$33)))=0,"","Evidence: "&amp;IF(LEN(INDEX('Checks'!$E$4:$E$503,_calc!$E$33))=0,"",INDEX('Checks'!$E$4:$E$503,_calc!$E$33))&amp;". ")&amp;IF(LEN(IF(LEN(INDEX('Checks'!$G$4:$G$503,_calc!$E$33))=0,"",INDEX('Checks'!$G$4:$G$503,_calc!$E$33)))=0,"","Checked by: "&amp;IF(LEN(INDEX('Checks'!$G$4:$G$503,_calc!$E$33))=0,"",INDEX('Checks'!$G$4:$G$503,_calc!$E$33))&amp;". ")&amp;IF(LEN(IF(LEN(INDEX('Checks'!$Q$4:$Q$503,_calc!$E$33))=0,"",INDEX('Checks'!$Q$4:$Q$503,_calc!$E$33)))=0,"",IF(LEN(INDEX('Checks'!$Q$4:$Q$503,_calc!$E$33))=0,"",INDEX('Checks'!$Q$4:$Q$503,_calc!$E$33)))))</f>
        <v/>
      </c>
      <c r="G31" s="43">
        <f>IF(_calc!$E$33="","",IF(LEN(INDEX('Checks'!$P$4:$P$503,_calc!$E$33))=0,"",INDEX('Checks'!$P$4:$P$503,_calc!$E$33)))</f>
        <v/>
      </c>
      <c r="K31" s="43">
        <f>IF(_calc!$E$33="","",IF(LEN(INDEX('Checks'!$O$4:$O$503,_calc!$E$33))=0,"",INDEX('Checks'!$O$4:$O$503,_calc!$E$33)))</f>
        <v/>
      </c>
    </row>
    <row r="32">
      <c r="A32" s="43">
        <f>IF(_calc!$E$34="","","Right to work follow-up – "&amp;IF(LEN(INDEX('Checks'!$A$4:$A$503,_calc!$E$34))=0,"",INDEX('Checks'!$A$4:$A$503,_calc!$E$34)))</f>
        <v/>
      </c>
      <c r="B32" s="43">
        <f>IF(_calc!$E$34="","",IF(ISNUMBER(INDEX('Checks'!$H$4:$H$503,_calc!$E$34)),TEXT(INDEX('Checks'!$H$4:$H$503,_calc!$E$34),"yyyy-mm-dd"),""))</f>
        <v/>
      </c>
      <c r="C32" s="43">
        <f>IF(_calc!$E$34="","","Right to work")</f>
        <v/>
      </c>
      <c r="D32" s="43">
        <f>IF(_calc!$E$34="","",IF(ISNUMBER(INDEX('Checks'!$F$4:$F$503,_calc!$E$34)),TEXT(INDEX('Checks'!$F$4:$F$503,_calc!$E$34),"yyyy-mm-dd"),""))</f>
        <v/>
      </c>
      <c r="E32" s="43">
        <f>IF(_calc!$E$34="","","High")</f>
        <v/>
      </c>
      <c r="F32" s="43">
        <f>IF(_calc!$E$34="","",TRIM(IF(LEN(IF(LEN(INDEX('Checks'!$B$4:$B$503,_calc!$E$34))=0,"",INDEX('Checks'!$B$4:$B$503,_calc!$E$34)))=0,"","Role: "&amp;IF(LEN(INDEX('Checks'!$B$4:$B$503,_calc!$E$34))=0,"",INDEX('Checks'!$B$4:$B$503,_calc!$E$34))&amp;". ")&amp;IF(LEN(IF(LEN(INDEX('Checks'!$D$4:$D$503,_calc!$E$34))=0,"",INDEX('Checks'!$D$4:$D$503,_calc!$E$34)))=0,"","Check type: "&amp;IF(LEN(INDEX('Checks'!$D$4:$D$503,_calc!$E$34))=0,"",INDEX('Checks'!$D$4:$D$503,_calc!$E$34))&amp;". ")&amp;IF(LEN(IF(LEN(INDEX('Checks'!$E$4:$E$503,_calc!$E$34))=0,"",INDEX('Checks'!$E$4:$E$503,_calc!$E$34)))=0,"","Evidence: "&amp;IF(LEN(INDEX('Checks'!$E$4:$E$503,_calc!$E$34))=0,"",INDEX('Checks'!$E$4:$E$503,_calc!$E$34))&amp;". ")&amp;IF(LEN(IF(LEN(INDEX('Checks'!$G$4:$G$503,_calc!$E$34))=0,"",INDEX('Checks'!$G$4:$G$503,_calc!$E$34)))=0,"","Checked by: "&amp;IF(LEN(INDEX('Checks'!$G$4:$G$503,_calc!$E$34))=0,"",INDEX('Checks'!$G$4:$G$503,_calc!$E$34))&amp;". ")&amp;IF(LEN(IF(LEN(INDEX('Checks'!$Q$4:$Q$503,_calc!$E$34))=0,"",INDEX('Checks'!$Q$4:$Q$503,_calc!$E$34)))=0,"",IF(LEN(INDEX('Checks'!$Q$4:$Q$503,_calc!$E$34))=0,"",INDEX('Checks'!$Q$4:$Q$503,_calc!$E$34)))))</f>
        <v/>
      </c>
      <c r="G32" s="43">
        <f>IF(_calc!$E$34="","",IF(LEN(INDEX('Checks'!$P$4:$P$503,_calc!$E$34))=0,"",INDEX('Checks'!$P$4:$P$503,_calc!$E$34)))</f>
        <v/>
      </c>
      <c r="K32" s="43">
        <f>IF(_calc!$E$34="","",IF(LEN(INDEX('Checks'!$O$4:$O$503,_calc!$E$34))=0,"",INDEX('Checks'!$O$4:$O$503,_calc!$E$34)))</f>
        <v/>
      </c>
    </row>
    <row r="33">
      <c r="A33" s="43">
        <f>IF(_calc!$E$35="","","Right to work follow-up – "&amp;IF(LEN(INDEX('Checks'!$A$4:$A$503,_calc!$E$35))=0,"",INDEX('Checks'!$A$4:$A$503,_calc!$E$35)))</f>
        <v/>
      </c>
      <c r="B33" s="43">
        <f>IF(_calc!$E$35="","",IF(ISNUMBER(INDEX('Checks'!$H$4:$H$503,_calc!$E$35)),TEXT(INDEX('Checks'!$H$4:$H$503,_calc!$E$35),"yyyy-mm-dd"),""))</f>
        <v/>
      </c>
      <c r="C33" s="43">
        <f>IF(_calc!$E$35="","","Right to work")</f>
        <v/>
      </c>
      <c r="D33" s="43">
        <f>IF(_calc!$E$35="","",IF(ISNUMBER(INDEX('Checks'!$F$4:$F$503,_calc!$E$35)),TEXT(INDEX('Checks'!$F$4:$F$503,_calc!$E$35),"yyyy-mm-dd"),""))</f>
        <v/>
      </c>
      <c r="E33" s="43">
        <f>IF(_calc!$E$35="","","High")</f>
        <v/>
      </c>
      <c r="F33" s="43">
        <f>IF(_calc!$E$35="","",TRIM(IF(LEN(IF(LEN(INDEX('Checks'!$B$4:$B$503,_calc!$E$35))=0,"",INDEX('Checks'!$B$4:$B$503,_calc!$E$35)))=0,"","Role: "&amp;IF(LEN(INDEX('Checks'!$B$4:$B$503,_calc!$E$35))=0,"",INDEX('Checks'!$B$4:$B$503,_calc!$E$35))&amp;". ")&amp;IF(LEN(IF(LEN(INDEX('Checks'!$D$4:$D$503,_calc!$E$35))=0,"",INDEX('Checks'!$D$4:$D$503,_calc!$E$35)))=0,"","Check type: "&amp;IF(LEN(INDEX('Checks'!$D$4:$D$503,_calc!$E$35))=0,"",INDEX('Checks'!$D$4:$D$503,_calc!$E$35))&amp;". ")&amp;IF(LEN(IF(LEN(INDEX('Checks'!$E$4:$E$503,_calc!$E$35))=0,"",INDEX('Checks'!$E$4:$E$503,_calc!$E$35)))=0,"","Evidence: "&amp;IF(LEN(INDEX('Checks'!$E$4:$E$503,_calc!$E$35))=0,"",INDEX('Checks'!$E$4:$E$503,_calc!$E$35))&amp;". ")&amp;IF(LEN(IF(LEN(INDEX('Checks'!$G$4:$G$503,_calc!$E$35))=0,"",INDEX('Checks'!$G$4:$G$503,_calc!$E$35)))=0,"","Checked by: "&amp;IF(LEN(INDEX('Checks'!$G$4:$G$503,_calc!$E$35))=0,"",INDEX('Checks'!$G$4:$G$503,_calc!$E$35))&amp;". ")&amp;IF(LEN(IF(LEN(INDEX('Checks'!$Q$4:$Q$503,_calc!$E$35))=0,"",INDEX('Checks'!$Q$4:$Q$503,_calc!$E$35)))=0,"",IF(LEN(INDEX('Checks'!$Q$4:$Q$503,_calc!$E$35))=0,"",INDEX('Checks'!$Q$4:$Q$503,_calc!$E$35)))))</f>
        <v/>
      </c>
      <c r="G33" s="43">
        <f>IF(_calc!$E$35="","",IF(LEN(INDEX('Checks'!$P$4:$P$503,_calc!$E$35))=0,"",INDEX('Checks'!$P$4:$P$503,_calc!$E$35)))</f>
        <v/>
      </c>
      <c r="K33" s="43">
        <f>IF(_calc!$E$35="","",IF(LEN(INDEX('Checks'!$O$4:$O$503,_calc!$E$35))=0,"",INDEX('Checks'!$O$4:$O$503,_calc!$E$35)))</f>
        <v/>
      </c>
    </row>
    <row r="34">
      <c r="A34" s="43">
        <f>IF(_calc!$E$36="","","Right to work follow-up – "&amp;IF(LEN(INDEX('Checks'!$A$4:$A$503,_calc!$E$36))=0,"",INDEX('Checks'!$A$4:$A$503,_calc!$E$36)))</f>
        <v/>
      </c>
      <c r="B34" s="43">
        <f>IF(_calc!$E$36="","",IF(ISNUMBER(INDEX('Checks'!$H$4:$H$503,_calc!$E$36)),TEXT(INDEX('Checks'!$H$4:$H$503,_calc!$E$36),"yyyy-mm-dd"),""))</f>
        <v/>
      </c>
      <c r="C34" s="43">
        <f>IF(_calc!$E$36="","","Right to work")</f>
        <v/>
      </c>
      <c r="D34" s="43">
        <f>IF(_calc!$E$36="","",IF(ISNUMBER(INDEX('Checks'!$F$4:$F$503,_calc!$E$36)),TEXT(INDEX('Checks'!$F$4:$F$503,_calc!$E$36),"yyyy-mm-dd"),""))</f>
        <v/>
      </c>
      <c r="E34" s="43">
        <f>IF(_calc!$E$36="","","High")</f>
        <v/>
      </c>
      <c r="F34" s="43">
        <f>IF(_calc!$E$36="","",TRIM(IF(LEN(IF(LEN(INDEX('Checks'!$B$4:$B$503,_calc!$E$36))=0,"",INDEX('Checks'!$B$4:$B$503,_calc!$E$36)))=0,"","Role: "&amp;IF(LEN(INDEX('Checks'!$B$4:$B$503,_calc!$E$36))=0,"",INDEX('Checks'!$B$4:$B$503,_calc!$E$36))&amp;". ")&amp;IF(LEN(IF(LEN(INDEX('Checks'!$D$4:$D$503,_calc!$E$36))=0,"",INDEX('Checks'!$D$4:$D$503,_calc!$E$36)))=0,"","Check type: "&amp;IF(LEN(INDEX('Checks'!$D$4:$D$503,_calc!$E$36))=0,"",INDEX('Checks'!$D$4:$D$503,_calc!$E$36))&amp;". ")&amp;IF(LEN(IF(LEN(INDEX('Checks'!$E$4:$E$503,_calc!$E$36))=0,"",INDEX('Checks'!$E$4:$E$503,_calc!$E$36)))=0,"","Evidence: "&amp;IF(LEN(INDEX('Checks'!$E$4:$E$503,_calc!$E$36))=0,"",INDEX('Checks'!$E$4:$E$503,_calc!$E$36))&amp;". ")&amp;IF(LEN(IF(LEN(INDEX('Checks'!$G$4:$G$503,_calc!$E$36))=0,"",INDEX('Checks'!$G$4:$G$503,_calc!$E$36)))=0,"","Checked by: "&amp;IF(LEN(INDEX('Checks'!$G$4:$G$503,_calc!$E$36))=0,"",INDEX('Checks'!$G$4:$G$503,_calc!$E$36))&amp;". ")&amp;IF(LEN(IF(LEN(INDEX('Checks'!$Q$4:$Q$503,_calc!$E$36))=0,"",INDEX('Checks'!$Q$4:$Q$503,_calc!$E$36)))=0,"",IF(LEN(INDEX('Checks'!$Q$4:$Q$503,_calc!$E$36))=0,"",INDEX('Checks'!$Q$4:$Q$503,_calc!$E$36)))))</f>
        <v/>
      </c>
      <c r="G34" s="43">
        <f>IF(_calc!$E$36="","",IF(LEN(INDEX('Checks'!$P$4:$P$503,_calc!$E$36))=0,"",INDEX('Checks'!$P$4:$P$503,_calc!$E$36)))</f>
        <v/>
      </c>
      <c r="K34" s="43">
        <f>IF(_calc!$E$36="","",IF(LEN(INDEX('Checks'!$O$4:$O$503,_calc!$E$36))=0,"",INDEX('Checks'!$O$4:$O$503,_calc!$E$36)))</f>
        <v/>
      </c>
    </row>
    <row r="35">
      <c r="A35" s="43">
        <f>IF(_calc!$E$37="","","Right to work follow-up – "&amp;IF(LEN(INDEX('Checks'!$A$4:$A$503,_calc!$E$37))=0,"",INDEX('Checks'!$A$4:$A$503,_calc!$E$37)))</f>
        <v/>
      </c>
      <c r="B35" s="43">
        <f>IF(_calc!$E$37="","",IF(ISNUMBER(INDEX('Checks'!$H$4:$H$503,_calc!$E$37)),TEXT(INDEX('Checks'!$H$4:$H$503,_calc!$E$37),"yyyy-mm-dd"),""))</f>
        <v/>
      </c>
      <c r="C35" s="43">
        <f>IF(_calc!$E$37="","","Right to work")</f>
        <v/>
      </c>
      <c r="D35" s="43">
        <f>IF(_calc!$E$37="","",IF(ISNUMBER(INDEX('Checks'!$F$4:$F$503,_calc!$E$37)),TEXT(INDEX('Checks'!$F$4:$F$503,_calc!$E$37),"yyyy-mm-dd"),""))</f>
        <v/>
      </c>
      <c r="E35" s="43">
        <f>IF(_calc!$E$37="","","High")</f>
        <v/>
      </c>
      <c r="F35" s="43">
        <f>IF(_calc!$E$37="","",TRIM(IF(LEN(IF(LEN(INDEX('Checks'!$B$4:$B$503,_calc!$E$37))=0,"",INDEX('Checks'!$B$4:$B$503,_calc!$E$37)))=0,"","Role: "&amp;IF(LEN(INDEX('Checks'!$B$4:$B$503,_calc!$E$37))=0,"",INDEX('Checks'!$B$4:$B$503,_calc!$E$37))&amp;". ")&amp;IF(LEN(IF(LEN(INDEX('Checks'!$D$4:$D$503,_calc!$E$37))=0,"",INDEX('Checks'!$D$4:$D$503,_calc!$E$37)))=0,"","Check type: "&amp;IF(LEN(INDEX('Checks'!$D$4:$D$503,_calc!$E$37))=0,"",INDEX('Checks'!$D$4:$D$503,_calc!$E$37))&amp;". ")&amp;IF(LEN(IF(LEN(INDEX('Checks'!$E$4:$E$503,_calc!$E$37))=0,"",INDEX('Checks'!$E$4:$E$503,_calc!$E$37)))=0,"","Evidence: "&amp;IF(LEN(INDEX('Checks'!$E$4:$E$503,_calc!$E$37))=0,"",INDEX('Checks'!$E$4:$E$503,_calc!$E$37))&amp;". ")&amp;IF(LEN(IF(LEN(INDEX('Checks'!$G$4:$G$503,_calc!$E$37))=0,"",INDEX('Checks'!$G$4:$G$503,_calc!$E$37)))=0,"","Checked by: "&amp;IF(LEN(INDEX('Checks'!$G$4:$G$503,_calc!$E$37))=0,"",INDEX('Checks'!$G$4:$G$503,_calc!$E$37))&amp;". ")&amp;IF(LEN(IF(LEN(INDEX('Checks'!$Q$4:$Q$503,_calc!$E$37))=0,"",INDEX('Checks'!$Q$4:$Q$503,_calc!$E$37)))=0,"",IF(LEN(INDEX('Checks'!$Q$4:$Q$503,_calc!$E$37))=0,"",INDEX('Checks'!$Q$4:$Q$503,_calc!$E$37)))))</f>
        <v/>
      </c>
      <c r="G35" s="43">
        <f>IF(_calc!$E$37="","",IF(LEN(INDEX('Checks'!$P$4:$P$503,_calc!$E$37))=0,"",INDEX('Checks'!$P$4:$P$503,_calc!$E$37)))</f>
        <v/>
      </c>
      <c r="K35" s="43">
        <f>IF(_calc!$E$37="","",IF(LEN(INDEX('Checks'!$O$4:$O$503,_calc!$E$37))=0,"",INDEX('Checks'!$O$4:$O$503,_calc!$E$37)))</f>
        <v/>
      </c>
    </row>
    <row r="36">
      <c r="A36" s="43">
        <f>IF(_calc!$E$38="","","Right to work follow-up – "&amp;IF(LEN(INDEX('Checks'!$A$4:$A$503,_calc!$E$38))=0,"",INDEX('Checks'!$A$4:$A$503,_calc!$E$38)))</f>
        <v/>
      </c>
      <c r="B36" s="43">
        <f>IF(_calc!$E$38="","",IF(ISNUMBER(INDEX('Checks'!$H$4:$H$503,_calc!$E$38)),TEXT(INDEX('Checks'!$H$4:$H$503,_calc!$E$38),"yyyy-mm-dd"),""))</f>
        <v/>
      </c>
      <c r="C36" s="43">
        <f>IF(_calc!$E$38="","","Right to work")</f>
        <v/>
      </c>
      <c r="D36" s="43">
        <f>IF(_calc!$E$38="","",IF(ISNUMBER(INDEX('Checks'!$F$4:$F$503,_calc!$E$38)),TEXT(INDEX('Checks'!$F$4:$F$503,_calc!$E$38),"yyyy-mm-dd"),""))</f>
        <v/>
      </c>
      <c r="E36" s="43">
        <f>IF(_calc!$E$38="","","High")</f>
        <v/>
      </c>
      <c r="F36" s="43">
        <f>IF(_calc!$E$38="","",TRIM(IF(LEN(IF(LEN(INDEX('Checks'!$B$4:$B$503,_calc!$E$38))=0,"",INDEX('Checks'!$B$4:$B$503,_calc!$E$38)))=0,"","Role: "&amp;IF(LEN(INDEX('Checks'!$B$4:$B$503,_calc!$E$38))=0,"",INDEX('Checks'!$B$4:$B$503,_calc!$E$38))&amp;". ")&amp;IF(LEN(IF(LEN(INDEX('Checks'!$D$4:$D$503,_calc!$E$38))=0,"",INDEX('Checks'!$D$4:$D$503,_calc!$E$38)))=0,"","Check type: "&amp;IF(LEN(INDEX('Checks'!$D$4:$D$503,_calc!$E$38))=0,"",INDEX('Checks'!$D$4:$D$503,_calc!$E$38))&amp;". ")&amp;IF(LEN(IF(LEN(INDEX('Checks'!$E$4:$E$503,_calc!$E$38))=0,"",INDEX('Checks'!$E$4:$E$503,_calc!$E$38)))=0,"","Evidence: "&amp;IF(LEN(INDEX('Checks'!$E$4:$E$503,_calc!$E$38))=0,"",INDEX('Checks'!$E$4:$E$503,_calc!$E$38))&amp;". ")&amp;IF(LEN(IF(LEN(INDEX('Checks'!$G$4:$G$503,_calc!$E$38))=0,"",INDEX('Checks'!$G$4:$G$503,_calc!$E$38)))=0,"","Checked by: "&amp;IF(LEN(INDEX('Checks'!$G$4:$G$503,_calc!$E$38))=0,"",INDEX('Checks'!$G$4:$G$503,_calc!$E$38))&amp;". ")&amp;IF(LEN(IF(LEN(INDEX('Checks'!$Q$4:$Q$503,_calc!$E$38))=0,"",INDEX('Checks'!$Q$4:$Q$503,_calc!$E$38)))=0,"",IF(LEN(INDEX('Checks'!$Q$4:$Q$503,_calc!$E$38))=0,"",INDEX('Checks'!$Q$4:$Q$503,_calc!$E$38)))))</f>
        <v/>
      </c>
      <c r="G36" s="43">
        <f>IF(_calc!$E$38="","",IF(LEN(INDEX('Checks'!$P$4:$P$503,_calc!$E$38))=0,"",INDEX('Checks'!$P$4:$P$503,_calc!$E$38)))</f>
        <v/>
      </c>
      <c r="K36" s="43">
        <f>IF(_calc!$E$38="","",IF(LEN(INDEX('Checks'!$O$4:$O$503,_calc!$E$38))=0,"",INDEX('Checks'!$O$4:$O$503,_calc!$E$38)))</f>
        <v/>
      </c>
    </row>
    <row r="37">
      <c r="A37" s="43">
        <f>IF(_calc!$E$39="","","Right to work follow-up – "&amp;IF(LEN(INDEX('Checks'!$A$4:$A$503,_calc!$E$39))=0,"",INDEX('Checks'!$A$4:$A$503,_calc!$E$39)))</f>
        <v/>
      </c>
      <c r="B37" s="43">
        <f>IF(_calc!$E$39="","",IF(ISNUMBER(INDEX('Checks'!$H$4:$H$503,_calc!$E$39)),TEXT(INDEX('Checks'!$H$4:$H$503,_calc!$E$39),"yyyy-mm-dd"),""))</f>
        <v/>
      </c>
      <c r="C37" s="43">
        <f>IF(_calc!$E$39="","","Right to work")</f>
        <v/>
      </c>
      <c r="D37" s="43">
        <f>IF(_calc!$E$39="","",IF(ISNUMBER(INDEX('Checks'!$F$4:$F$503,_calc!$E$39)),TEXT(INDEX('Checks'!$F$4:$F$503,_calc!$E$39),"yyyy-mm-dd"),""))</f>
        <v/>
      </c>
      <c r="E37" s="43">
        <f>IF(_calc!$E$39="","","High")</f>
        <v/>
      </c>
      <c r="F37" s="43">
        <f>IF(_calc!$E$39="","",TRIM(IF(LEN(IF(LEN(INDEX('Checks'!$B$4:$B$503,_calc!$E$39))=0,"",INDEX('Checks'!$B$4:$B$503,_calc!$E$39)))=0,"","Role: "&amp;IF(LEN(INDEX('Checks'!$B$4:$B$503,_calc!$E$39))=0,"",INDEX('Checks'!$B$4:$B$503,_calc!$E$39))&amp;". ")&amp;IF(LEN(IF(LEN(INDEX('Checks'!$D$4:$D$503,_calc!$E$39))=0,"",INDEX('Checks'!$D$4:$D$503,_calc!$E$39)))=0,"","Check type: "&amp;IF(LEN(INDEX('Checks'!$D$4:$D$503,_calc!$E$39))=0,"",INDEX('Checks'!$D$4:$D$503,_calc!$E$39))&amp;". ")&amp;IF(LEN(IF(LEN(INDEX('Checks'!$E$4:$E$503,_calc!$E$39))=0,"",INDEX('Checks'!$E$4:$E$503,_calc!$E$39)))=0,"","Evidence: "&amp;IF(LEN(INDEX('Checks'!$E$4:$E$503,_calc!$E$39))=0,"",INDEX('Checks'!$E$4:$E$503,_calc!$E$39))&amp;". ")&amp;IF(LEN(IF(LEN(INDEX('Checks'!$G$4:$G$503,_calc!$E$39))=0,"",INDEX('Checks'!$G$4:$G$503,_calc!$E$39)))=0,"","Checked by: "&amp;IF(LEN(INDEX('Checks'!$G$4:$G$503,_calc!$E$39))=0,"",INDEX('Checks'!$G$4:$G$503,_calc!$E$39))&amp;". ")&amp;IF(LEN(IF(LEN(INDEX('Checks'!$Q$4:$Q$503,_calc!$E$39))=0,"",INDEX('Checks'!$Q$4:$Q$503,_calc!$E$39)))=0,"",IF(LEN(INDEX('Checks'!$Q$4:$Q$503,_calc!$E$39))=0,"",INDEX('Checks'!$Q$4:$Q$503,_calc!$E$39)))))</f>
        <v/>
      </c>
      <c r="G37" s="43">
        <f>IF(_calc!$E$39="","",IF(LEN(INDEX('Checks'!$P$4:$P$503,_calc!$E$39))=0,"",INDEX('Checks'!$P$4:$P$503,_calc!$E$39)))</f>
        <v/>
      </c>
      <c r="K37" s="43">
        <f>IF(_calc!$E$39="","",IF(LEN(INDEX('Checks'!$O$4:$O$503,_calc!$E$39))=0,"",INDEX('Checks'!$O$4:$O$503,_calc!$E$39)))</f>
        <v/>
      </c>
    </row>
    <row r="38">
      <c r="A38" s="43">
        <f>IF(_calc!$E$40="","","Right to work follow-up – "&amp;IF(LEN(INDEX('Checks'!$A$4:$A$503,_calc!$E$40))=0,"",INDEX('Checks'!$A$4:$A$503,_calc!$E$40)))</f>
        <v/>
      </c>
      <c r="B38" s="43">
        <f>IF(_calc!$E$40="","",IF(ISNUMBER(INDEX('Checks'!$H$4:$H$503,_calc!$E$40)),TEXT(INDEX('Checks'!$H$4:$H$503,_calc!$E$40),"yyyy-mm-dd"),""))</f>
        <v/>
      </c>
      <c r="C38" s="43">
        <f>IF(_calc!$E$40="","","Right to work")</f>
        <v/>
      </c>
      <c r="D38" s="43">
        <f>IF(_calc!$E$40="","",IF(ISNUMBER(INDEX('Checks'!$F$4:$F$503,_calc!$E$40)),TEXT(INDEX('Checks'!$F$4:$F$503,_calc!$E$40),"yyyy-mm-dd"),""))</f>
        <v/>
      </c>
      <c r="E38" s="43">
        <f>IF(_calc!$E$40="","","High")</f>
        <v/>
      </c>
      <c r="F38" s="43">
        <f>IF(_calc!$E$40="","",TRIM(IF(LEN(IF(LEN(INDEX('Checks'!$B$4:$B$503,_calc!$E$40))=0,"",INDEX('Checks'!$B$4:$B$503,_calc!$E$40)))=0,"","Role: "&amp;IF(LEN(INDEX('Checks'!$B$4:$B$503,_calc!$E$40))=0,"",INDEX('Checks'!$B$4:$B$503,_calc!$E$40))&amp;". ")&amp;IF(LEN(IF(LEN(INDEX('Checks'!$D$4:$D$503,_calc!$E$40))=0,"",INDEX('Checks'!$D$4:$D$503,_calc!$E$40)))=0,"","Check type: "&amp;IF(LEN(INDEX('Checks'!$D$4:$D$503,_calc!$E$40))=0,"",INDEX('Checks'!$D$4:$D$503,_calc!$E$40))&amp;". ")&amp;IF(LEN(IF(LEN(INDEX('Checks'!$E$4:$E$503,_calc!$E$40))=0,"",INDEX('Checks'!$E$4:$E$503,_calc!$E$40)))=0,"","Evidence: "&amp;IF(LEN(INDEX('Checks'!$E$4:$E$503,_calc!$E$40))=0,"",INDEX('Checks'!$E$4:$E$503,_calc!$E$40))&amp;". ")&amp;IF(LEN(IF(LEN(INDEX('Checks'!$G$4:$G$503,_calc!$E$40))=0,"",INDEX('Checks'!$G$4:$G$503,_calc!$E$40)))=0,"","Checked by: "&amp;IF(LEN(INDEX('Checks'!$G$4:$G$503,_calc!$E$40))=0,"",INDEX('Checks'!$G$4:$G$503,_calc!$E$40))&amp;". ")&amp;IF(LEN(IF(LEN(INDEX('Checks'!$Q$4:$Q$503,_calc!$E$40))=0,"",INDEX('Checks'!$Q$4:$Q$503,_calc!$E$40)))=0,"",IF(LEN(INDEX('Checks'!$Q$4:$Q$503,_calc!$E$40))=0,"",INDEX('Checks'!$Q$4:$Q$503,_calc!$E$40)))))</f>
        <v/>
      </c>
      <c r="G38" s="43">
        <f>IF(_calc!$E$40="","",IF(LEN(INDEX('Checks'!$P$4:$P$503,_calc!$E$40))=0,"",INDEX('Checks'!$P$4:$P$503,_calc!$E$40)))</f>
        <v/>
      </c>
      <c r="K38" s="43">
        <f>IF(_calc!$E$40="","",IF(LEN(INDEX('Checks'!$O$4:$O$503,_calc!$E$40))=0,"",INDEX('Checks'!$O$4:$O$503,_calc!$E$40)))</f>
        <v/>
      </c>
    </row>
    <row r="39">
      <c r="A39" s="43">
        <f>IF(_calc!$E$41="","","Right to work follow-up – "&amp;IF(LEN(INDEX('Checks'!$A$4:$A$503,_calc!$E$41))=0,"",INDEX('Checks'!$A$4:$A$503,_calc!$E$41)))</f>
        <v/>
      </c>
      <c r="B39" s="43">
        <f>IF(_calc!$E$41="","",IF(ISNUMBER(INDEX('Checks'!$H$4:$H$503,_calc!$E$41)),TEXT(INDEX('Checks'!$H$4:$H$503,_calc!$E$41),"yyyy-mm-dd"),""))</f>
        <v/>
      </c>
      <c r="C39" s="43">
        <f>IF(_calc!$E$41="","","Right to work")</f>
        <v/>
      </c>
      <c r="D39" s="43">
        <f>IF(_calc!$E$41="","",IF(ISNUMBER(INDEX('Checks'!$F$4:$F$503,_calc!$E$41)),TEXT(INDEX('Checks'!$F$4:$F$503,_calc!$E$41),"yyyy-mm-dd"),""))</f>
        <v/>
      </c>
      <c r="E39" s="43">
        <f>IF(_calc!$E$41="","","High")</f>
        <v/>
      </c>
      <c r="F39" s="43">
        <f>IF(_calc!$E$41="","",TRIM(IF(LEN(IF(LEN(INDEX('Checks'!$B$4:$B$503,_calc!$E$41))=0,"",INDEX('Checks'!$B$4:$B$503,_calc!$E$41)))=0,"","Role: "&amp;IF(LEN(INDEX('Checks'!$B$4:$B$503,_calc!$E$41))=0,"",INDEX('Checks'!$B$4:$B$503,_calc!$E$41))&amp;". ")&amp;IF(LEN(IF(LEN(INDEX('Checks'!$D$4:$D$503,_calc!$E$41))=0,"",INDEX('Checks'!$D$4:$D$503,_calc!$E$41)))=0,"","Check type: "&amp;IF(LEN(INDEX('Checks'!$D$4:$D$503,_calc!$E$41))=0,"",INDEX('Checks'!$D$4:$D$503,_calc!$E$41))&amp;". ")&amp;IF(LEN(IF(LEN(INDEX('Checks'!$E$4:$E$503,_calc!$E$41))=0,"",INDEX('Checks'!$E$4:$E$503,_calc!$E$41)))=0,"","Evidence: "&amp;IF(LEN(INDEX('Checks'!$E$4:$E$503,_calc!$E$41))=0,"",INDEX('Checks'!$E$4:$E$503,_calc!$E$41))&amp;". ")&amp;IF(LEN(IF(LEN(INDEX('Checks'!$G$4:$G$503,_calc!$E$41))=0,"",INDEX('Checks'!$G$4:$G$503,_calc!$E$41)))=0,"","Checked by: "&amp;IF(LEN(INDEX('Checks'!$G$4:$G$503,_calc!$E$41))=0,"",INDEX('Checks'!$G$4:$G$503,_calc!$E$41))&amp;". ")&amp;IF(LEN(IF(LEN(INDEX('Checks'!$Q$4:$Q$503,_calc!$E$41))=0,"",INDEX('Checks'!$Q$4:$Q$503,_calc!$E$41)))=0,"",IF(LEN(INDEX('Checks'!$Q$4:$Q$503,_calc!$E$41))=0,"",INDEX('Checks'!$Q$4:$Q$503,_calc!$E$41)))))</f>
        <v/>
      </c>
      <c r="G39" s="43">
        <f>IF(_calc!$E$41="","",IF(LEN(INDEX('Checks'!$P$4:$P$503,_calc!$E$41))=0,"",INDEX('Checks'!$P$4:$P$503,_calc!$E$41)))</f>
        <v/>
      </c>
      <c r="K39" s="43">
        <f>IF(_calc!$E$41="","",IF(LEN(INDEX('Checks'!$O$4:$O$503,_calc!$E$41))=0,"",INDEX('Checks'!$O$4:$O$503,_calc!$E$41)))</f>
        <v/>
      </c>
    </row>
    <row r="40">
      <c r="A40" s="43">
        <f>IF(_calc!$E$42="","","Right to work follow-up – "&amp;IF(LEN(INDEX('Checks'!$A$4:$A$503,_calc!$E$42))=0,"",INDEX('Checks'!$A$4:$A$503,_calc!$E$42)))</f>
        <v/>
      </c>
      <c r="B40" s="43">
        <f>IF(_calc!$E$42="","",IF(ISNUMBER(INDEX('Checks'!$H$4:$H$503,_calc!$E$42)),TEXT(INDEX('Checks'!$H$4:$H$503,_calc!$E$42),"yyyy-mm-dd"),""))</f>
        <v/>
      </c>
      <c r="C40" s="43">
        <f>IF(_calc!$E$42="","","Right to work")</f>
        <v/>
      </c>
      <c r="D40" s="43">
        <f>IF(_calc!$E$42="","",IF(ISNUMBER(INDEX('Checks'!$F$4:$F$503,_calc!$E$42)),TEXT(INDEX('Checks'!$F$4:$F$503,_calc!$E$42),"yyyy-mm-dd"),""))</f>
        <v/>
      </c>
      <c r="E40" s="43">
        <f>IF(_calc!$E$42="","","High")</f>
        <v/>
      </c>
      <c r="F40" s="43">
        <f>IF(_calc!$E$42="","",TRIM(IF(LEN(IF(LEN(INDEX('Checks'!$B$4:$B$503,_calc!$E$42))=0,"",INDEX('Checks'!$B$4:$B$503,_calc!$E$42)))=0,"","Role: "&amp;IF(LEN(INDEX('Checks'!$B$4:$B$503,_calc!$E$42))=0,"",INDEX('Checks'!$B$4:$B$503,_calc!$E$42))&amp;". ")&amp;IF(LEN(IF(LEN(INDEX('Checks'!$D$4:$D$503,_calc!$E$42))=0,"",INDEX('Checks'!$D$4:$D$503,_calc!$E$42)))=0,"","Check type: "&amp;IF(LEN(INDEX('Checks'!$D$4:$D$503,_calc!$E$42))=0,"",INDEX('Checks'!$D$4:$D$503,_calc!$E$42))&amp;". ")&amp;IF(LEN(IF(LEN(INDEX('Checks'!$E$4:$E$503,_calc!$E$42))=0,"",INDEX('Checks'!$E$4:$E$503,_calc!$E$42)))=0,"","Evidence: "&amp;IF(LEN(INDEX('Checks'!$E$4:$E$503,_calc!$E$42))=0,"",INDEX('Checks'!$E$4:$E$503,_calc!$E$42))&amp;". ")&amp;IF(LEN(IF(LEN(INDEX('Checks'!$G$4:$G$503,_calc!$E$42))=0,"",INDEX('Checks'!$G$4:$G$503,_calc!$E$42)))=0,"","Checked by: "&amp;IF(LEN(INDEX('Checks'!$G$4:$G$503,_calc!$E$42))=0,"",INDEX('Checks'!$G$4:$G$503,_calc!$E$42))&amp;". ")&amp;IF(LEN(IF(LEN(INDEX('Checks'!$Q$4:$Q$503,_calc!$E$42))=0,"",INDEX('Checks'!$Q$4:$Q$503,_calc!$E$42)))=0,"",IF(LEN(INDEX('Checks'!$Q$4:$Q$503,_calc!$E$42))=0,"",INDEX('Checks'!$Q$4:$Q$503,_calc!$E$42)))))</f>
        <v/>
      </c>
      <c r="G40" s="43">
        <f>IF(_calc!$E$42="","",IF(LEN(INDEX('Checks'!$P$4:$P$503,_calc!$E$42))=0,"",INDEX('Checks'!$P$4:$P$503,_calc!$E$42)))</f>
        <v/>
      </c>
      <c r="K40" s="43">
        <f>IF(_calc!$E$42="","",IF(LEN(INDEX('Checks'!$O$4:$O$503,_calc!$E$42))=0,"",INDEX('Checks'!$O$4:$O$503,_calc!$E$42)))</f>
        <v/>
      </c>
    </row>
    <row r="41">
      <c r="A41" s="43">
        <f>IF(_calc!$E$43="","","Right to work follow-up – "&amp;IF(LEN(INDEX('Checks'!$A$4:$A$503,_calc!$E$43))=0,"",INDEX('Checks'!$A$4:$A$503,_calc!$E$43)))</f>
        <v/>
      </c>
      <c r="B41" s="43">
        <f>IF(_calc!$E$43="","",IF(ISNUMBER(INDEX('Checks'!$H$4:$H$503,_calc!$E$43)),TEXT(INDEX('Checks'!$H$4:$H$503,_calc!$E$43),"yyyy-mm-dd"),""))</f>
        <v/>
      </c>
      <c r="C41" s="43">
        <f>IF(_calc!$E$43="","","Right to work")</f>
        <v/>
      </c>
      <c r="D41" s="43">
        <f>IF(_calc!$E$43="","",IF(ISNUMBER(INDEX('Checks'!$F$4:$F$503,_calc!$E$43)),TEXT(INDEX('Checks'!$F$4:$F$503,_calc!$E$43),"yyyy-mm-dd"),""))</f>
        <v/>
      </c>
      <c r="E41" s="43">
        <f>IF(_calc!$E$43="","","High")</f>
        <v/>
      </c>
      <c r="F41" s="43">
        <f>IF(_calc!$E$43="","",TRIM(IF(LEN(IF(LEN(INDEX('Checks'!$B$4:$B$503,_calc!$E$43))=0,"",INDEX('Checks'!$B$4:$B$503,_calc!$E$43)))=0,"","Role: "&amp;IF(LEN(INDEX('Checks'!$B$4:$B$503,_calc!$E$43))=0,"",INDEX('Checks'!$B$4:$B$503,_calc!$E$43))&amp;". ")&amp;IF(LEN(IF(LEN(INDEX('Checks'!$D$4:$D$503,_calc!$E$43))=0,"",INDEX('Checks'!$D$4:$D$503,_calc!$E$43)))=0,"","Check type: "&amp;IF(LEN(INDEX('Checks'!$D$4:$D$503,_calc!$E$43))=0,"",INDEX('Checks'!$D$4:$D$503,_calc!$E$43))&amp;". ")&amp;IF(LEN(IF(LEN(INDEX('Checks'!$E$4:$E$503,_calc!$E$43))=0,"",INDEX('Checks'!$E$4:$E$503,_calc!$E$43)))=0,"","Evidence: "&amp;IF(LEN(INDEX('Checks'!$E$4:$E$503,_calc!$E$43))=0,"",INDEX('Checks'!$E$4:$E$503,_calc!$E$43))&amp;". ")&amp;IF(LEN(IF(LEN(INDEX('Checks'!$G$4:$G$503,_calc!$E$43))=0,"",INDEX('Checks'!$G$4:$G$503,_calc!$E$43)))=0,"","Checked by: "&amp;IF(LEN(INDEX('Checks'!$G$4:$G$503,_calc!$E$43))=0,"",INDEX('Checks'!$G$4:$G$503,_calc!$E$43))&amp;". ")&amp;IF(LEN(IF(LEN(INDEX('Checks'!$Q$4:$Q$503,_calc!$E$43))=0,"",INDEX('Checks'!$Q$4:$Q$503,_calc!$E$43)))=0,"",IF(LEN(INDEX('Checks'!$Q$4:$Q$503,_calc!$E$43))=0,"",INDEX('Checks'!$Q$4:$Q$503,_calc!$E$43)))))</f>
        <v/>
      </c>
      <c r="G41" s="43">
        <f>IF(_calc!$E$43="","",IF(LEN(INDEX('Checks'!$P$4:$P$503,_calc!$E$43))=0,"",INDEX('Checks'!$P$4:$P$503,_calc!$E$43)))</f>
        <v/>
      </c>
      <c r="K41" s="43">
        <f>IF(_calc!$E$43="","",IF(LEN(INDEX('Checks'!$O$4:$O$503,_calc!$E$43))=0,"",INDEX('Checks'!$O$4:$O$503,_calc!$E$43)))</f>
        <v/>
      </c>
    </row>
    <row r="42">
      <c r="A42" s="43">
        <f>IF(_calc!$E$44="","","Right to work follow-up – "&amp;IF(LEN(INDEX('Checks'!$A$4:$A$503,_calc!$E$44))=0,"",INDEX('Checks'!$A$4:$A$503,_calc!$E$44)))</f>
        <v/>
      </c>
      <c r="B42" s="43">
        <f>IF(_calc!$E$44="","",IF(ISNUMBER(INDEX('Checks'!$H$4:$H$503,_calc!$E$44)),TEXT(INDEX('Checks'!$H$4:$H$503,_calc!$E$44),"yyyy-mm-dd"),""))</f>
        <v/>
      </c>
      <c r="C42" s="43">
        <f>IF(_calc!$E$44="","","Right to work")</f>
        <v/>
      </c>
      <c r="D42" s="43">
        <f>IF(_calc!$E$44="","",IF(ISNUMBER(INDEX('Checks'!$F$4:$F$503,_calc!$E$44)),TEXT(INDEX('Checks'!$F$4:$F$503,_calc!$E$44),"yyyy-mm-dd"),""))</f>
        <v/>
      </c>
      <c r="E42" s="43">
        <f>IF(_calc!$E$44="","","High")</f>
        <v/>
      </c>
      <c r="F42" s="43">
        <f>IF(_calc!$E$44="","",TRIM(IF(LEN(IF(LEN(INDEX('Checks'!$B$4:$B$503,_calc!$E$44))=0,"",INDEX('Checks'!$B$4:$B$503,_calc!$E$44)))=0,"","Role: "&amp;IF(LEN(INDEX('Checks'!$B$4:$B$503,_calc!$E$44))=0,"",INDEX('Checks'!$B$4:$B$503,_calc!$E$44))&amp;". ")&amp;IF(LEN(IF(LEN(INDEX('Checks'!$D$4:$D$503,_calc!$E$44))=0,"",INDEX('Checks'!$D$4:$D$503,_calc!$E$44)))=0,"","Check type: "&amp;IF(LEN(INDEX('Checks'!$D$4:$D$503,_calc!$E$44))=0,"",INDEX('Checks'!$D$4:$D$503,_calc!$E$44))&amp;". ")&amp;IF(LEN(IF(LEN(INDEX('Checks'!$E$4:$E$503,_calc!$E$44))=0,"",INDEX('Checks'!$E$4:$E$503,_calc!$E$44)))=0,"","Evidence: "&amp;IF(LEN(INDEX('Checks'!$E$4:$E$503,_calc!$E$44))=0,"",INDEX('Checks'!$E$4:$E$503,_calc!$E$44))&amp;". ")&amp;IF(LEN(IF(LEN(INDEX('Checks'!$G$4:$G$503,_calc!$E$44))=0,"",INDEX('Checks'!$G$4:$G$503,_calc!$E$44)))=0,"","Checked by: "&amp;IF(LEN(INDEX('Checks'!$G$4:$G$503,_calc!$E$44))=0,"",INDEX('Checks'!$G$4:$G$503,_calc!$E$44))&amp;". ")&amp;IF(LEN(IF(LEN(INDEX('Checks'!$Q$4:$Q$503,_calc!$E$44))=0,"",INDEX('Checks'!$Q$4:$Q$503,_calc!$E$44)))=0,"",IF(LEN(INDEX('Checks'!$Q$4:$Q$503,_calc!$E$44))=0,"",INDEX('Checks'!$Q$4:$Q$503,_calc!$E$44)))))</f>
        <v/>
      </c>
      <c r="G42" s="43">
        <f>IF(_calc!$E$44="","",IF(LEN(INDEX('Checks'!$P$4:$P$503,_calc!$E$44))=0,"",INDEX('Checks'!$P$4:$P$503,_calc!$E$44)))</f>
        <v/>
      </c>
      <c r="K42" s="43">
        <f>IF(_calc!$E$44="","",IF(LEN(INDEX('Checks'!$O$4:$O$503,_calc!$E$44))=0,"",INDEX('Checks'!$O$4:$O$503,_calc!$E$44)))</f>
        <v/>
      </c>
    </row>
    <row r="43">
      <c r="A43" s="43">
        <f>IF(_calc!$E$45="","","Right to work follow-up – "&amp;IF(LEN(INDEX('Checks'!$A$4:$A$503,_calc!$E$45))=0,"",INDEX('Checks'!$A$4:$A$503,_calc!$E$45)))</f>
        <v/>
      </c>
      <c r="B43" s="43">
        <f>IF(_calc!$E$45="","",IF(ISNUMBER(INDEX('Checks'!$H$4:$H$503,_calc!$E$45)),TEXT(INDEX('Checks'!$H$4:$H$503,_calc!$E$45),"yyyy-mm-dd"),""))</f>
        <v/>
      </c>
      <c r="C43" s="43">
        <f>IF(_calc!$E$45="","","Right to work")</f>
        <v/>
      </c>
      <c r="D43" s="43">
        <f>IF(_calc!$E$45="","",IF(ISNUMBER(INDEX('Checks'!$F$4:$F$503,_calc!$E$45)),TEXT(INDEX('Checks'!$F$4:$F$503,_calc!$E$45),"yyyy-mm-dd"),""))</f>
        <v/>
      </c>
      <c r="E43" s="43">
        <f>IF(_calc!$E$45="","","High")</f>
        <v/>
      </c>
      <c r="F43" s="43">
        <f>IF(_calc!$E$45="","",TRIM(IF(LEN(IF(LEN(INDEX('Checks'!$B$4:$B$503,_calc!$E$45))=0,"",INDEX('Checks'!$B$4:$B$503,_calc!$E$45)))=0,"","Role: "&amp;IF(LEN(INDEX('Checks'!$B$4:$B$503,_calc!$E$45))=0,"",INDEX('Checks'!$B$4:$B$503,_calc!$E$45))&amp;". ")&amp;IF(LEN(IF(LEN(INDEX('Checks'!$D$4:$D$503,_calc!$E$45))=0,"",INDEX('Checks'!$D$4:$D$503,_calc!$E$45)))=0,"","Check type: "&amp;IF(LEN(INDEX('Checks'!$D$4:$D$503,_calc!$E$45))=0,"",INDEX('Checks'!$D$4:$D$503,_calc!$E$45))&amp;". ")&amp;IF(LEN(IF(LEN(INDEX('Checks'!$E$4:$E$503,_calc!$E$45))=0,"",INDEX('Checks'!$E$4:$E$503,_calc!$E$45)))=0,"","Evidence: "&amp;IF(LEN(INDEX('Checks'!$E$4:$E$503,_calc!$E$45))=0,"",INDEX('Checks'!$E$4:$E$503,_calc!$E$45))&amp;". ")&amp;IF(LEN(IF(LEN(INDEX('Checks'!$G$4:$G$503,_calc!$E$45))=0,"",INDEX('Checks'!$G$4:$G$503,_calc!$E$45)))=0,"","Checked by: "&amp;IF(LEN(INDEX('Checks'!$G$4:$G$503,_calc!$E$45))=0,"",INDEX('Checks'!$G$4:$G$503,_calc!$E$45))&amp;". ")&amp;IF(LEN(IF(LEN(INDEX('Checks'!$Q$4:$Q$503,_calc!$E$45))=0,"",INDEX('Checks'!$Q$4:$Q$503,_calc!$E$45)))=0,"",IF(LEN(INDEX('Checks'!$Q$4:$Q$503,_calc!$E$45))=0,"",INDEX('Checks'!$Q$4:$Q$503,_calc!$E$45)))))</f>
        <v/>
      </c>
      <c r="G43" s="43">
        <f>IF(_calc!$E$45="","",IF(LEN(INDEX('Checks'!$P$4:$P$503,_calc!$E$45))=0,"",INDEX('Checks'!$P$4:$P$503,_calc!$E$45)))</f>
        <v/>
      </c>
      <c r="K43" s="43">
        <f>IF(_calc!$E$45="","",IF(LEN(INDEX('Checks'!$O$4:$O$503,_calc!$E$45))=0,"",INDEX('Checks'!$O$4:$O$503,_calc!$E$45)))</f>
        <v/>
      </c>
    </row>
    <row r="44">
      <c r="A44" s="43">
        <f>IF(_calc!$E$46="","","Right to work follow-up – "&amp;IF(LEN(INDEX('Checks'!$A$4:$A$503,_calc!$E$46))=0,"",INDEX('Checks'!$A$4:$A$503,_calc!$E$46)))</f>
        <v/>
      </c>
      <c r="B44" s="43">
        <f>IF(_calc!$E$46="","",IF(ISNUMBER(INDEX('Checks'!$H$4:$H$503,_calc!$E$46)),TEXT(INDEX('Checks'!$H$4:$H$503,_calc!$E$46),"yyyy-mm-dd"),""))</f>
        <v/>
      </c>
      <c r="C44" s="43">
        <f>IF(_calc!$E$46="","","Right to work")</f>
        <v/>
      </c>
      <c r="D44" s="43">
        <f>IF(_calc!$E$46="","",IF(ISNUMBER(INDEX('Checks'!$F$4:$F$503,_calc!$E$46)),TEXT(INDEX('Checks'!$F$4:$F$503,_calc!$E$46),"yyyy-mm-dd"),""))</f>
        <v/>
      </c>
      <c r="E44" s="43">
        <f>IF(_calc!$E$46="","","High")</f>
        <v/>
      </c>
      <c r="F44" s="43">
        <f>IF(_calc!$E$46="","",TRIM(IF(LEN(IF(LEN(INDEX('Checks'!$B$4:$B$503,_calc!$E$46))=0,"",INDEX('Checks'!$B$4:$B$503,_calc!$E$46)))=0,"","Role: "&amp;IF(LEN(INDEX('Checks'!$B$4:$B$503,_calc!$E$46))=0,"",INDEX('Checks'!$B$4:$B$503,_calc!$E$46))&amp;". ")&amp;IF(LEN(IF(LEN(INDEX('Checks'!$D$4:$D$503,_calc!$E$46))=0,"",INDEX('Checks'!$D$4:$D$503,_calc!$E$46)))=0,"","Check type: "&amp;IF(LEN(INDEX('Checks'!$D$4:$D$503,_calc!$E$46))=0,"",INDEX('Checks'!$D$4:$D$503,_calc!$E$46))&amp;". ")&amp;IF(LEN(IF(LEN(INDEX('Checks'!$E$4:$E$503,_calc!$E$46))=0,"",INDEX('Checks'!$E$4:$E$503,_calc!$E$46)))=0,"","Evidence: "&amp;IF(LEN(INDEX('Checks'!$E$4:$E$503,_calc!$E$46))=0,"",INDEX('Checks'!$E$4:$E$503,_calc!$E$46))&amp;". ")&amp;IF(LEN(IF(LEN(INDEX('Checks'!$G$4:$G$503,_calc!$E$46))=0,"",INDEX('Checks'!$G$4:$G$503,_calc!$E$46)))=0,"","Checked by: "&amp;IF(LEN(INDEX('Checks'!$G$4:$G$503,_calc!$E$46))=0,"",INDEX('Checks'!$G$4:$G$503,_calc!$E$46))&amp;". ")&amp;IF(LEN(IF(LEN(INDEX('Checks'!$Q$4:$Q$503,_calc!$E$46))=0,"",INDEX('Checks'!$Q$4:$Q$503,_calc!$E$46)))=0,"",IF(LEN(INDEX('Checks'!$Q$4:$Q$503,_calc!$E$46))=0,"",INDEX('Checks'!$Q$4:$Q$503,_calc!$E$46)))))</f>
        <v/>
      </c>
      <c r="G44" s="43">
        <f>IF(_calc!$E$46="","",IF(LEN(INDEX('Checks'!$P$4:$P$503,_calc!$E$46))=0,"",INDEX('Checks'!$P$4:$P$503,_calc!$E$46)))</f>
        <v/>
      </c>
      <c r="K44" s="43">
        <f>IF(_calc!$E$46="","",IF(LEN(INDEX('Checks'!$O$4:$O$503,_calc!$E$46))=0,"",INDEX('Checks'!$O$4:$O$503,_calc!$E$46)))</f>
        <v/>
      </c>
    </row>
    <row r="45">
      <c r="A45" s="43">
        <f>IF(_calc!$E$47="","","Right to work follow-up – "&amp;IF(LEN(INDEX('Checks'!$A$4:$A$503,_calc!$E$47))=0,"",INDEX('Checks'!$A$4:$A$503,_calc!$E$47)))</f>
        <v/>
      </c>
      <c r="B45" s="43">
        <f>IF(_calc!$E$47="","",IF(ISNUMBER(INDEX('Checks'!$H$4:$H$503,_calc!$E$47)),TEXT(INDEX('Checks'!$H$4:$H$503,_calc!$E$47),"yyyy-mm-dd"),""))</f>
        <v/>
      </c>
      <c r="C45" s="43">
        <f>IF(_calc!$E$47="","","Right to work")</f>
        <v/>
      </c>
      <c r="D45" s="43">
        <f>IF(_calc!$E$47="","",IF(ISNUMBER(INDEX('Checks'!$F$4:$F$503,_calc!$E$47)),TEXT(INDEX('Checks'!$F$4:$F$503,_calc!$E$47),"yyyy-mm-dd"),""))</f>
        <v/>
      </c>
      <c r="E45" s="43">
        <f>IF(_calc!$E$47="","","High")</f>
        <v/>
      </c>
      <c r="F45" s="43">
        <f>IF(_calc!$E$47="","",TRIM(IF(LEN(IF(LEN(INDEX('Checks'!$B$4:$B$503,_calc!$E$47))=0,"",INDEX('Checks'!$B$4:$B$503,_calc!$E$47)))=0,"","Role: "&amp;IF(LEN(INDEX('Checks'!$B$4:$B$503,_calc!$E$47))=0,"",INDEX('Checks'!$B$4:$B$503,_calc!$E$47))&amp;". ")&amp;IF(LEN(IF(LEN(INDEX('Checks'!$D$4:$D$503,_calc!$E$47))=0,"",INDEX('Checks'!$D$4:$D$503,_calc!$E$47)))=0,"","Check type: "&amp;IF(LEN(INDEX('Checks'!$D$4:$D$503,_calc!$E$47))=0,"",INDEX('Checks'!$D$4:$D$503,_calc!$E$47))&amp;". ")&amp;IF(LEN(IF(LEN(INDEX('Checks'!$E$4:$E$503,_calc!$E$47))=0,"",INDEX('Checks'!$E$4:$E$503,_calc!$E$47)))=0,"","Evidence: "&amp;IF(LEN(INDEX('Checks'!$E$4:$E$503,_calc!$E$47))=0,"",INDEX('Checks'!$E$4:$E$503,_calc!$E$47))&amp;". ")&amp;IF(LEN(IF(LEN(INDEX('Checks'!$G$4:$G$503,_calc!$E$47))=0,"",INDEX('Checks'!$G$4:$G$503,_calc!$E$47)))=0,"","Checked by: "&amp;IF(LEN(INDEX('Checks'!$G$4:$G$503,_calc!$E$47))=0,"",INDEX('Checks'!$G$4:$G$503,_calc!$E$47))&amp;". ")&amp;IF(LEN(IF(LEN(INDEX('Checks'!$Q$4:$Q$503,_calc!$E$47))=0,"",INDEX('Checks'!$Q$4:$Q$503,_calc!$E$47)))=0,"",IF(LEN(INDEX('Checks'!$Q$4:$Q$503,_calc!$E$47))=0,"",INDEX('Checks'!$Q$4:$Q$503,_calc!$E$47)))))</f>
        <v/>
      </c>
      <c r="G45" s="43">
        <f>IF(_calc!$E$47="","",IF(LEN(INDEX('Checks'!$P$4:$P$503,_calc!$E$47))=0,"",INDEX('Checks'!$P$4:$P$503,_calc!$E$47)))</f>
        <v/>
      </c>
      <c r="K45" s="43">
        <f>IF(_calc!$E$47="","",IF(LEN(INDEX('Checks'!$O$4:$O$503,_calc!$E$47))=0,"",INDEX('Checks'!$O$4:$O$503,_calc!$E$47)))</f>
        <v/>
      </c>
    </row>
    <row r="46">
      <c r="A46" s="43">
        <f>IF(_calc!$E$48="","","Right to work follow-up – "&amp;IF(LEN(INDEX('Checks'!$A$4:$A$503,_calc!$E$48))=0,"",INDEX('Checks'!$A$4:$A$503,_calc!$E$48)))</f>
        <v/>
      </c>
      <c r="B46" s="43">
        <f>IF(_calc!$E$48="","",IF(ISNUMBER(INDEX('Checks'!$H$4:$H$503,_calc!$E$48)),TEXT(INDEX('Checks'!$H$4:$H$503,_calc!$E$48),"yyyy-mm-dd"),""))</f>
        <v/>
      </c>
      <c r="C46" s="43">
        <f>IF(_calc!$E$48="","","Right to work")</f>
        <v/>
      </c>
      <c r="D46" s="43">
        <f>IF(_calc!$E$48="","",IF(ISNUMBER(INDEX('Checks'!$F$4:$F$503,_calc!$E$48)),TEXT(INDEX('Checks'!$F$4:$F$503,_calc!$E$48),"yyyy-mm-dd"),""))</f>
        <v/>
      </c>
      <c r="E46" s="43">
        <f>IF(_calc!$E$48="","","High")</f>
        <v/>
      </c>
      <c r="F46" s="43">
        <f>IF(_calc!$E$48="","",TRIM(IF(LEN(IF(LEN(INDEX('Checks'!$B$4:$B$503,_calc!$E$48))=0,"",INDEX('Checks'!$B$4:$B$503,_calc!$E$48)))=0,"","Role: "&amp;IF(LEN(INDEX('Checks'!$B$4:$B$503,_calc!$E$48))=0,"",INDEX('Checks'!$B$4:$B$503,_calc!$E$48))&amp;". ")&amp;IF(LEN(IF(LEN(INDEX('Checks'!$D$4:$D$503,_calc!$E$48))=0,"",INDEX('Checks'!$D$4:$D$503,_calc!$E$48)))=0,"","Check type: "&amp;IF(LEN(INDEX('Checks'!$D$4:$D$503,_calc!$E$48))=0,"",INDEX('Checks'!$D$4:$D$503,_calc!$E$48))&amp;". ")&amp;IF(LEN(IF(LEN(INDEX('Checks'!$E$4:$E$503,_calc!$E$48))=0,"",INDEX('Checks'!$E$4:$E$503,_calc!$E$48)))=0,"","Evidence: "&amp;IF(LEN(INDEX('Checks'!$E$4:$E$503,_calc!$E$48))=0,"",INDEX('Checks'!$E$4:$E$503,_calc!$E$48))&amp;". ")&amp;IF(LEN(IF(LEN(INDEX('Checks'!$G$4:$G$503,_calc!$E$48))=0,"",INDEX('Checks'!$G$4:$G$503,_calc!$E$48)))=0,"","Checked by: "&amp;IF(LEN(INDEX('Checks'!$G$4:$G$503,_calc!$E$48))=0,"",INDEX('Checks'!$G$4:$G$503,_calc!$E$48))&amp;". ")&amp;IF(LEN(IF(LEN(INDEX('Checks'!$Q$4:$Q$503,_calc!$E$48))=0,"",INDEX('Checks'!$Q$4:$Q$503,_calc!$E$48)))=0,"",IF(LEN(INDEX('Checks'!$Q$4:$Q$503,_calc!$E$48))=0,"",INDEX('Checks'!$Q$4:$Q$503,_calc!$E$48)))))</f>
        <v/>
      </c>
      <c r="G46" s="43">
        <f>IF(_calc!$E$48="","",IF(LEN(INDEX('Checks'!$P$4:$P$503,_calc!$E$48))=0,"",INDEX('Checks'!$P$4:$P$503,_calc!$E$48)))</f>
        <v/>
      </c>
      <c r="K46" s="43">
        <f>IF(_calc!$E$48="","",IF(LEN(INDEX('Checks'!$O$4:$O$503,_calc!$E$48))=0,"",INDEX('Checks'!$O$4:$O$503,_calc!$E$48)))</f>
        <v/>
      </c>
    </row>
    <row r="47">
      <c r="A47" s="43">
        <f>IF(_calc!$E$49="","","Right to work follow-up – "&amp;IF(LEN(INDEX('Checks'!$A$4:$A$503,_calc!$E$49))=0,"",INDEX('Checks'!$A$4:$A$503,_calc!$E$49)))</f>
        <v/>
      </c>
      <c r="B47" s="43">
        <f>IF(_calc!$E$49="","",IF(ISNUMBER(INDEX('Checks'!$H$4:$H$503,_calc!$E$49)),TEXT(INDEX('Checks'!$H$4:$H$503,_calc!$E$49),"yyyy-mm-dd"),""))</f>
        <v/>
      </c>
      <c r="C47" s="43">
        <f>IF(_calc!$E$49="","","Right to work")</f>
        <v/>
      </c>
      <c r="D47" s="43">
        <f>IF(_calc!$E$49="","",IF(ISNUMBER(INDEX('Checks'!$F$4:$F$503,_calc!$E$49)),TEXT(INDEX('Checks'!$F$4:$F$503,_calc!$E$49),"yyyy-mm-dd"),""))</f>
        <v/>
      </c>
      <c r="E47" s="43">
        <f>IF(_calc!$E$49="","","High")</f>
        <v/>
      </c>
      <c r="F47" s="43">
        <f>IF(_calc!$E$49="","",TRIM(IF(LEN(IF(LEN(INDEX('Checks'!$B$4:$B$503,_calc!$E$49))=0,"",INDEX('Checks'!$B$4:$B$503,_calc!$E$49)))=0,"","Role: "&amp;IF(LEN(INDEX('Checks'!$B$4:$B$503,_calc!$E$49))=0,"",INDEX('Checks'!$B$4:$B$503,_calc!$E$49))&amp;". ")&amp;IF(LEN(IF(LEN(INDEX('Checks'!$D$4:$D$503,_calc!$E$49))=0,"",INDEX('Checks'!$D$4:$D$503,_calc!$E$49)))=0,"","Check type: "&amp;IF(LEN(INDEX('Checks'!$D$4:$D$503,_calc!$E$49))=0,"",INDEX('Checks'!$D$4:$D$503,_calc!$E$49))&amp;". ")&amp;IF(LEN(IF(LEN(INDEX('Checks'!$E$4:$E$503,_calc!$E$49))=0,"",INDEX('Checks'!$E$4:$E$503,_calc!$E$49)))=0,"","Evidence: "&amp;IF(LEN(INDEX('Checks'!$E$4:$E$503,_calc!$E$49))=0,"",INDEX('Checks'!$E$4:$E$503,_calc!$E$49))&amp;". ")&amp;IF(LEN(IF(LEN(INDEX('Checks'!$G$4:$G$503,_calc!$E$49))=0,"",INDEX('Checks'!$G$4:$G$503,_calc!$E$49)))=0,"","Checked by: "&amp;IF(LEN(INDEX('Checks'!$G$4:$G$503,_calc!$E$49))=0,"",INDEX('Checks'!$G$4:$G$503,_calc!$E$49))&amp;". ")&amp;IF(LEN(IF(LEN(INDEX('Checks'!$Q$4:$Q$503,_calc!$E$49))=0,"",INDEX('Checks'!$Q$4:$Q$503,_calc!$E$49)))=0,"",IF(LEN(INDEX('Checks'!$Q$4:$Q$503,_calc!$E$49))=0,"",INDEX('Checks'!$Q$4:$Q$503,_calc!$E$49)))))</f>
        <v/>
      </c>
      <c r="G47" s="43">
        <f>IF(_calc!$E$49="","",IF(LEN(INDEX('Checks'!$P$4:$P$503,_calc!$E$49))=0,"",INDEX('Checks'!$P$4:$P$503,_calc!$E$49)))</f>
        <v/>
      </c>
      <c r="K47" s="43">
        <f>IF(_calc!$E$49="","",IF(LEN(INDEX('Checks'!$O$4:$O$503,_calc!$E$49))=0,"",INDEX('Checks'!$O$4:$O$503,_calc!$E$49)))</f>
        <v/>
      </c>
    </row>
    <row r="48">
      <c r="A48" s="43">
        <f>IF(_calc!$E$50="","","Right to work follow-up – "&amp;IF(LEN(INDEX('Checks'!$A$4:$A$503,_calc!$E$50))=0,"",INDEX('Checks'!$A$4:$A$503,_calc!$E$50)))</f>
        <v/>
      </c>
      <c r="B48" s="43">
        <f>IF(_calc!$E$50="","",IF(ISNUMBER(INDEX('Checks'!$H$4:$H$503,_calc!$E$50)),TEXT(INDEX('Checks'!$H$4:$H$503,_calc!$E$50),"yyyy-mm-dd"),""))</f>
        <v/>
      </c>
      <c r="C48" s="43">
        <f>IF(_calc!$E$50="","","Right to work")</f>
        <v/>
      </c>
      <c r="D48" s="43">
        <f>IF(_calc!$E$50="","",IF(ISNUMBER(INDEX('Checks'!$F$4:$F$503,_calc!$E$50)),TEXT(INDEX('Checks'!$F$4:$F$503,_calc!$E$50),"yyyy-mm-dd"),""))</f>
        <v/>
      </c>
      <c r="E48" s="43">
        <f>IF(_calc!$E$50="","","High")</f>
        <v/>
      </c>
      <c r="F48" s="43">
        <f>IF(_calc!$E$50="","",TRIM(IF(LEN(IF(LEN(INDEX('Checks'!$B$4:$B$503,_calc!$E$50))=0,"",INDEX('Checks'!$B$4:$B$503,_calc!$E$50)))=0,"","Role: "&amp;IF(LEN(INDEX('Checks'!$B$4:$B$503,_calc!$E$50))=0,"",INDEX('Checks'!$B$4:$B$503,_calc!$E$50))&amp;". ")&amp;IF(LEN(IF(LEN(INDEX('Checks'!$D$4:$D$503,_calc!$E$50))=0,"",INDEX('Checks'!$D$4:$D$503,_calc!$E$50)))=0,"","Check type: "&amp;IF(LEN(INDEX('Checks'!$D$4:$D$503,_calc!$E$50))=0,"",INDEX('Checks'!$D$4:$D$503,_calc!$E$50))&amp;". ")&amp;IF(LEN(IF(LEN(INDEX('Checks'!$E$4:$E$503,_calc!$E$50))=0,"",INDEX('Checks'!$E$4:$E$503,_calc!$E$50)))=0,"","Evidence: "&amp;IF(LEN(INDEX('Checks'!$E$4:$E$503,_calc!$E$50))=0,"",INDEX('Checks'!$E$4:$E$503,_calc!$E$50))&amp;". ")&amp;IF(LEN(IF(LEN(INDEX('Checks'!$G$4:$G$503,_calc!$E$50))=0,"",INDEX('Checks'!$G$4:$G$503,_calc!$E$50)))=0,"","Checked by: "&amp;IF(LEN(INDEX('Checks'!$G$4:$G$503,_calc!$E$50))=0,"",INDEX('Checks'!$G$4:$G$503,_calc!$E$50))&amp;". ")&amp;IF(LEN(IF(LEN(INDEX('Checks'!$Q$4:$Q$503,_calc!$E$50))=0,"",INDEX('Checks'!$Q$4:$Q$503,_calc!$E$50)))=0,"",IF(LEN(INDEX('Checks'!$Q$4:$Q$503,_calc!$E$50))=0,"",INDEX('Checks'!$Q$4:$Q$503,_calc!$E$50)))))</f>
        <v/>
      </c>
      <c r="G48" s="43">
        <f>IF(_calc!$E$50="","",IF(LEN(INDEX('Checks'!$P$4:$P$503,_calc!$E$50))=0,"",INDEX('Checks'!$P$4:$P$503,_calc!$E$50)))</f>
        <v/>
      </c>
      <c r="K48" s="43">
        <f>IF(_calc!$E$50="","",IF(LEN(INDEX('Checks'!$O$4:$O$503,_calc!$E$50))=0,"",INDEX('Checks'!$O$4:$O$503,_calc!$E$50)))</f>
        <v/>
      </c>
    </row>
    <row r="49">
      <c r="A49" s="43">
        <f>IF(_calc!$E$51="","","Right to work follow-up – "&amp;IF(LEN(INDEX('Checks'!$A$4:$A$503,_calc!$E$51))=0,"",INDEX('Checks'!$A$4:$A$503,_calc!$E$51)))</f>
        <v/>
      </c>
      <c r="B49" s="43">
        <f>IF(_calc!$E$51="","",IF(ISNUMBER(INDEX('Checks'!$H$4:$H$503,_calc!$E$51)),TEXT(INDEX('Checks'!$H$4:$H$503,_calc!$E$51),"yyyy-mm-dd"),""))</f>
        <v/>
      </c>
      <c r="C49" s="43">
        <f>IF(_calc!$E$51="","","Right to work")</f>
        <v/>
      </c>
      <c r="D49" s="43">
        <f>IF(_calc!$E$51="","",IF(ISNUMBER(INDEX('Checks'!$F$4:$F$503,_calc!$E$51)),TEXT(INDEX('Checks'!$F$4:$F$503,_calc!$E$51),"yyyy-mm-dd"),""))</f>
        <v/>
      </c>
      <c r="E49" s="43">
        <f>IF(_calc!$E$51="","","High")</f>
        <v/>
      </c>
      <c r="F49" s="43">
        <f>IF(_calc!$E$51="","",TRIM(IF(LEN(IF(LEN(INDEX('Checks'!$B$4:$B$503,_calc!$E$51))=0,"",INDEX('Checks'!$B$4:$B$503,_calc!$E$51)))=0,"","Role: "&amp;IF(LEN(INDEX('Checks'!$B$4:$B$503,_calc!$E$51))=0,"",INDEX('Checks'!$B$4:$B$503,_calc!$E$51))&amp;". ")&amp;IF(LEN(IF(LEN(INDEX('Checks'!$D$4:$D$503,_calc!$E$51))=0,"",INDEX('Checks'!$D$4:$D$503,_calc!$E$51)))=0,"","Check type: "&amp;IF(LEN(INDEX('Checks'!$D$4:$D$503,_calc!$E$51))=0,"",INDEX('Checks'!$D$4:$D$503,_calc!$E$51))&amp;". ")&amp;IF(LEN(IF(LEN(INDEX('Checks'!$E$4:$E$503,_calc!$E$51))=0,"",INDEX('Checks'!$E$4:$E$503,_calc!$E$51)))=0,"","Evidence: "&amp;IF(LEN(INDEX('Checks'!$E$4:$E$503,_calc!$E$51))=0,"",INDEX('Checks'!$E$4:$E$503,_calc!$E$51))&amp;". ")&amp;IF(LEN(IF(LEN(INDEX('Checks'!$G$4:$G$503,_calc!$E$51))=0,"",INDEX('Checks'!$G$4:$G$503,_calc!$E$51)))=0,"","Checked by: "&amp;IF(LEN(INDEX('Checks'!$G$4:$G$503,_calc!$E$51))=0,"",INDEX('Checks'!$G$4:$G$503,_calc!$E$51))&amp;". ")&amp;IF(LEN(IF(LEN(INDEX('Checks'!$Q$4:$Q$503,_calc!$E$51))=0,"",INDEX('Checks'!$Q$4:$Q$503,_calc!$E$51)))=0,"",IF(LEN(INDEX('Checks'!$Q$4:$Q$503,_calc!$E$51))=0,"",INDEX('Checks'!$Q$4:$Q$503,_calc!$E$51)))))</f>
        <v/>
      </c>
      <c r="G49" s="43">
        <f>IF(_calc!$E$51="","",IF(LEN(INDEX('Checks'!$P$4:$P$503,_calc!$E$51))=0,"",INDEX('Checks'!$P$4:$P$503,_calc!$E$51)))</f>
        <v/>
      </c>
      <c r="K49" s="43">
        <f>IF(_calc!$E$51="","",IF(LEN(INDEX('Checks'!$O$4:$O$503,_calc!$E$51))=0,"",INDEX('Checks'!$O$4:$O$503,_calc!$E$51)))</f>
        <v/>
      </c>
    </row>
    <row r="50">
      <c r="A50" s="43">
        <f>IF(_calc!$E$52="","","Right to work follow-up – "&amp;IF(LEN(INDEX('Checks'!$A$4:$A$503,_calc!$E$52))=0,"",INDEX('Checks'!$A$4:$A$503,_calc!$E$52)))</f>
        <v/>
      </c>
      <c r="B50" s="43">
        <f>IF(_calc!$E$52="","",IF(ISNUMBER(INDEX('Checks'!$H$4:$H$503,_calc!$E$52)),TEXT(INDEX('Checks'!$H$4:$H$503,_calc!$E$52),"yyyy-mm-dd"),""))</f>
        <v/>
      </c>
      <c r="C50" s="43">
        <f>IF(_calc!$E$52="","","Right to work")</f>
        <v/>
      </c>
      <c r="D50" s="43">
        <f>IF(_calc!$E$52="","",IF(ISNUMBER(INDEX('Checks'!$F$4:$F$503,_calc!$E$52)),TEXT(INDEX('Checks'!$F$4:$F$503,_calc!$E$52),"yyyy-mm-dd"),""))</f>
        <v/>
      </c>
      <c r="E50" s="43">
        <f>IF(_calc!$E$52="","","High")</f>
        <v/>
      </c>
      <c r="F50" s="43">
        <f>IF(_calc!$E$52="","",TRIM(IF(LEN(IF(LEN(INDEX('Checks'!$B$4:$B$503,_calc!$E$52))=0,"",INDEX('Checks'!$B$4:$B$503,_calc!$E$52)))=0,"","Role: "&amp;IF(LEN(INDEX('Checks'!$B$4:$B$503,_calc!$E$52))=0,"",INDEX('Checks'!$B$4:$B$503,_calc!$E$52))&amp;". ")&amp;IF(LEN(IF(LEN(INDEX('Checks'!$D$4:$D$503,_calc!$E$52))=0,"",INDEX('Checks'!$D$4:$D$503,_calc!$E$52)))=0,"","Check type: "&amp;IF(LEN(INDEX('Checks'!$D$4:$D$503,_calc!$E$52))=0,"",INDEX('Checks'!$D$4:$D$503,_calc!$E$52))&amp;". ")&amp;IF(LEN(IF(LEN(INDEX('Checks'!$E$4:$E$503,_calc!$E$52))=0,"",INDEX('Checks'!$E$4:$E$503,_calc!$E$52)))=0,"","Evidence: "&amp;IF(LEN(INDEX('Checks'!$E$4:$E$503,_calc!$E$52))=0,"",INDEX('Checks'!$E$4:$E$503,_calc!$E$52))&amp;". ")&amp;IF(LEN(IF(LEN(INDEX('Checks'!$G$4:$G$503,_calc!$E$52))=0,"",INDEX('Checks'!$G$4:$G$503,_calc!$E$52)))=0,"","Checked by: "&amp;IF(LEN(INDEX('Checks'!$G$4:$G$503,_calc!$E$52))=0,"",INDEX('Checks'!$G$4:$G$503,_calc!$E$52))&amp;". ")&amp;IF(LEN(IF(LEN(INDEX('Checks'!$Q$4:$Q$503,_calc!$E$52))=0,"",INDEX('Checks'!$Q$4:$Q$503,_calc!$E$52)))=0,"",IF(LEN(INDEX('Checks'!$Q$4:$Q$503,_calc!$E$52))=0,"",INDEX('Checks'!$Q$4:$Q$503,_calc!$E$52)))))</f>
        <v/>
      </c>
      <c r="G50" s="43">
        <f>IF(_calc!$E$52="","",IF(LEN(INDEX('Checks'!$P$4:$P$503,_calc!$E$52))=0,"",INDEX('Checks'!$P$4:$P$503,_calc!$E$52)))</f>
        <v/>
      </c>
      <c r="K50" s="43">
        <f>IF(_calc!$E$52="","",IF(LEN(INDEX('Checks'!$O$4:$O$503,_calc!$E$52))=0,"",INDEX('Checks'!$O$4:$O$503,_calc!$E$52)))</f>
        <v/>
      </c>
    </row>
    <row r="51">
      <c r="A51" s="43">
        <f>IF(_calc!$E$53="","","Right to work follow-up – "&amp;IF(LEN(INDEX('Checks'!$A$4:$A$503,_calc!$E$53))=0,"",INDEX('Checks'!$A$4:$A$503,_calc!$E$53)))</f>
        <v/>
      </c>
      <c r="B51" s="43">
        <f>IF(_calc!$E$53="","",IF(ISNUMBER(INDEX('Checks'!$H$4:$H$503,_calc!$E$53)),TEXT(INDEX('Checks'!$H$4:$H$503,_calc!$E$53),"yyyy-mm-dd"),""))</f>
        <v/>
      </c>
      <c r="C51" s="43">
        <f>IF(_calc!$E$53="","","Right to work")</f>
        <v/>
      </c>
      <c r="D51" s="43">
        <f>IF(_calc!$E$53="","",IF(ISNUMBER(INDEX('Checks'!$F$4:$F$503,_calc!$E$53)),TEXT(INDEX('Checks'!$F$4:$F$503,_calc!$E$53),"yyyy-mm-dd"),""))</f>
        <v/>
      </c>
      <c r="E51" s="43">
        <f>IF(_calc!$E$53="","","High")</f>
        <v/>
      </c>
      <c r="F51" s="43">
        <f>IF(_calc!$E$53="","",TRIM(IF(LEN(IF(LEN(INDEX('Checks'!$B$4:$B$503,_calc!$E$53))=0,"",INDEX('Checks'!$B$4:$B$503,_calc!$E$53)))=0,"","Role: "&amp;IF(LEN(INDEX('Checks'!$B$4:$B$503,_calc!$E$53))=0,"",INDEX('Checks'!$B$4:$B$503,_calc!$E$53))&amp;". ")&amp;IF(LEN(IF(LEN(INDEX('Checks'!$D$4:$D$503,_calc!$E$53))=0,"",INDEX('Checks'!$D$4:$D$503,_calc!$E$53)))=0,"","Check type: "&amp;IF(LEN(INDEX('Checks'!$D$4:$D$503,_calc!$E$53))=0,"",INDEX('Checks'!$D$4:$D$503,_calc!$E$53))&amp;". ")&amp;IF(LEN(IF(LEN(INDEX('Checks'!$E$4:$E$503,_calc!$E$53))=0,"",INDEX('Checks'!$E$4:$E$503,_calc!$E$53)))=0,"","Evidence: "&amp;IF(LEN(INDEX('Checks'!$E$4:$E$503,_calc!$E$53))=0,"",INDEX('Checks'!$E$4:$E$503,_calc!$E$53))&amp;". ")&amp;IF(LEN(IF(LEN(INDEX('Checks'!$G$4:$G$503,_calc!$E$53))=0,"",INDEX('Checks'!$G$4:$G$503,_calc!$E$53)))=0,"","Checked by: "&amp;IF(LEN(INDEX('Checks'!$G$4:$G$503,_calc!$E$53))=0,"",INDEX('Checks'!$G$4:$G$503,_calc!$E$53))&amp;". ")&amp;IF(LEN(IF(LEN(INDEX('Checks'!$Q$4:$Q$503,_calc!$E$53))=0,"",INDEX('Checks'!$Q$4:$Q$503,_calc!$E$53)))=0,"",IF(LEN(INDEX('Checks'!$Q$4:$Q$503,_calc!$E$53))=0,"",INDEX('Checks'!$Q$4:$Q$503,_calc!$E$53)))))</f>
        <v/>
      </c>
      <c r="G51" s="43">
        <f>IF(_calc!$E$53="","",IF(LEN(INDEX('Checks'!$P$4:$P$503,_calc!$E$53))=0,"",INDEX('Checks'!$P$4:$P$503,_calc!$E$53)))</f>
        <v/>
      </c>
      <c r="K51" s="43">
        <f>IF(_calc!$E$53="","",IF(LEN(INDEX('Checks'!$O$4:$O$503,_calc!$E$53))=0,"",INDEX('Checks'!$O$4:$O$503,_calc!$E$53)))</f>
        <v/>
      </c>
    </row>
    <row r="52">
      <c r="A52" s="43">
        <f>IF(_calc!$E$54="","","Right to work follow-up – "&amp;IF(LEN(INDEX('Checks'!$A$4:$A$503,_calc!$E$54))=0,"",INDEX('Checks'!$A$4:$A$503,_calc!$E$54)))</f>
        <v/>
      </c>
      <c r="B52" s="43">
        <f>IF(_calc!$E$54="","",IF(ISNUMBER(INDEX('Checks'!$H$4:$H$503,_calc!$E$54)),TEXT(INDEX('Checks'!$H$4:$H$503,_calc!$E$54),"yyyy-mm-dd"),""))</f>
        <v/>
      </c>
      <c r="C52" s="43">
        <f>IF(_calc!$E$54="","","Right to work")</f>
        <v/>
      </c>
      <c r="D52" s="43">
        <f>IF(_calc!$E$54="","",IF(ISNUMBER(INDEX('Checks'!$F$4:$F$503,_calc!$E$54)),TEXT(INDEX('Checks'!$F$4:$F$503,_calc!$E$54),"yyyy-mm-dd"),""))</f>
        <v/>
      </c>
      <c r="E52" s="43">
        <f>IF(_calc!$E$54="","","High")</f>
        <v/>
      </c>
      <c r="F52" s="43">
        <f>IF(_calc!$E$54="","",TRIM(IF(LEN(IF(LEN(INDEX('Checks'!$B$4:$B$503,_calc!$E$54))=0,"",INDEX('Checks'!$B$4:$B$503,_calc!$E$54)))=0,"","Role: "&amp;IF(LEN(INDEX('Checks'!$B$4:$B$503,_calc!$E$54))=0,"",INDEX('Checks'!$B$4:$B$503,_calc!$E$54))&amp;". ")&amp;IF(LEN(IF(LEN(INDEX('Checks'!$D$4:$D$503,_calc!$E$54))=0,"",INDEX('Checks'!$D$4:$D$503,_calc!$E$54)))=0,"","Check type: "&amp;IF(LEN(INDEX('Checks'!$D$4:$D$503,_calc!$E$54))=0,"",INDEX('Checks'!$D$4:$D$503,_calc!$E$54))&amp;". ")&amp;IF(LEN(IF(LEN(INDEX('Checks'!$E$4:$E$503,_calc!$E$54))=0,"",INDEX('Checks'!$E$4:$E$503,_calc!$E$54)))=0,"","Evidence: "&amp;IF(LEN(INDEX('Checks'!$E$4:$E$503,_calc!$E$54))=0,"",INDEX('Checks'!$E$4:$E$503,_calc!$E$54))&amp;". ")&amp;IF(LEN(IF(LEN(INDEX('Checks'!$G$4:$G$503,_calc!$E$54))=0,"",INDEX('Checks'!$G$4:$G$503,_calc!$E$54)))=0,"","Checked by: "&amp;IF(LEN(INDEX('Checks'!$G$4:$G$503,_calc!$E$54))=0,"",INDEX('Checks'!$G$4:$G$503,_calc!$E$54))&amp;". ")&amp;IF(LEN(IF(LEN(INDEX('Checks'!$Q$4:$Q$503,_calc!$E$54))=0,"",INDEX('Checks'!$Q$4:$Q$503,_calc!$E$54)))=0,"",IF(LEN(INDEX('Checks'!$Q$4:$Q$503,_calc!$E$54))=0,"",INDEX('Checks'!$Q$4:$Q$503,_calc!$E$54)))))</f>
        <v/>
      </c>
      <c r="G52" s="43">
        <f>IF(_calc!$E$54="","",IF(LEN(INDEX('Checks'!$P$4:$P$503,_calc!$E$54))=0,"",INDEX('Checks'!$P$4:$P$503,_calc!$E$54)))</f>
        <v/>
      </c>
      <c r="K52" s="43">
        <f>IF(_calc!$E$54="","",IF(LEN(INDEX('Checks'!$O$4:$O$503,_calc!$E$54))=0,"",INDEX('Checks'!$O$4:$O$503,_calc!$E$54)))</f>
        <v/>
      </c>
    </row>
    <row r="53">
      <c r="A53" s="43">
        <f>IF(_calc!$E$55="","","Right to work follow-up – "&amp;IF(LEN(INDEX('Checks'!$A$4:$A$503,_calc!$E$55))=0,"",INDEX('Checks'!$A$4:$A$503,_calc!$E$55)))</f>
        <v/>
      </c>
      <c r="B53" s="43">
        <f>IF(_calc!$E$55="","",IF(ISNUMBER(INDEX('Checks'!$H$4:$H$503,_calc!$E$55)),TEXT(INDEX('Checks'!$H$4:$H$503,_calc!$E$55),"yyyy-mm-dd"),""))</f>
        <v/>
      </c>
      <c r="C53" s="43">
        <f>IF(_calc!$E$55="","","Right to work")</f>
        <v/>
      </c>
      <c r="D53" s="43">
        <f>IF(_calc!$E$55="","",IF(ISNUMBER(INDEX('Checks'!$F$4:$F$503,_calc!$E$55)),TEXT(INDEX('Checks'!$F$4:$F$503,_calc!$E$55),"yyyy-mm-dd"),""))</f>
        <v/>
      </c>
      <c r="E53" s="43">
        <f>IF(_calc!$E$55="","","High")</f>
        <v/>
      </c>
      <c r="F53" s="43">
        <f>IF(_calc!$E$55="","",TRIM(IF(LEN(IF(LEN(INDEX('Checks'!$B$4:$B$503,_calc!$E$55))=0,"",INDEX('Checks'!$B$4:$B$503,_calc!$E$55)))=0,"","Role: "&amp;IF(LEN(INDEX('Checks'!$B$4:$B$503,_calc!$E$55))=0,"",INDEX('Checks'!$B$4:$B$503,_calc!$E$55))&amp;". ")&amp;IF(LEN(IF(LEN(INDEX('Checks'!$D$4:$D$503,_calc!$E$55))=0,"",INDEX('Checks'!$D$4:$D$503,_calc!$E$55)))=0,"","Check type: "&amp;IF(LEN(INDEX('Checks'!$D$4:$D$503,_calc!$E$55))=0,"",INDEX('Checks'!$D$4:$D$503,_calc!$E$55))&amp;". ")&amp;IF(LEN(IF(LEN(INDEX('Checks'!$E$4:$E$503,_calc!$E$55))=0,"",INDEX('Checks'!$E$4:$E$503,_calc!$E$55)))=0,"","Evidence: "&amp;IF(LEN(INDEX('Checks'!$E$4:$E$503,_calc!$E$55))=0,"",INDEX('Checks'!$E$4:$E$503,_calc!$E$55))&amp;". ")&amp;IF(LEN(IF(LEN(INDEX('Checks'!$G$4:$G$503,_calc!$E$55))=0,"",INDEX('Checks'!$G$4:$G$503,_calc!$E$55)))=0,"","Checked by: "&amp;IF(LEN(INDEX('Checks'!$G$4:$G$503,_calc!$E$55))=0,"",INDEX('Checks'!$G$4:$G$503,_calc!$E$55))&amp;". ")&amp;IF(LEN(IF(LEN(INDEX('Checks'!$Q$4:$Q$503,_calc!$E$55))=0,"",INDEX('Checks'!$Q$4:$Q$503,_calc!$E$55)))=0,"",IF(LEN(INDEX('Checks'!$Q$4:$Q$503,_calc!$E$55))=0,"",INDEX('Checks'!$Q$4:$Q$503,_calc!$E$55)))))</f>
        <v/>
      </c>
      <c r="G53" s="43">
        <f>IF(_calc!$E$55="","",IF(LEN(INDEX('Checks'!$P$4:$P$503,_calc!$E$55))=0,"",INDEX('Checks'!$P$4:$P$503,_calc!$E$55)))</f>
        <v/>
      </c>
      <c r="K53" s="43">
        <f>IF(_calc!$E$55="","",IF(LEN(INDEX('Checks'!$O$4:$O$503,_calc!$E$55))=0,"",INDEX('Checks'!$O$4:$O$503,_calc!$E$55)))</f>
        <v/>
      </c>
    </row>
    <row r="54">
      <c r="A54" s="43">
        <f>IF(_calc!$E$56="","","Right to work follow-up – "&amp;IF(LEN(INDEX('Checks'!$A$4:$A$503,_calc!$E$56))=0,"",INDEX('Checks'!$A$4:$A$503,_calc!$E$56)))</f>
        <v/>
      </c>
      <c r="B54" s="43">
        <f>IF(_calc!$E$56="","",IF(ISNUMBER(INDEX('Checks'!$H$4:$H$503,_calc!$E$56)),TEXT(INDEX('Checks'!$H$4:$H$503,_calc!$E$56),"yyyy-mm-dd"),""))</f>
        <v/>
      </c>
      <c r="C54" s="43">
        <f>IF(_calc!$E$56="","","Right to work")</f>
        <v/>
      </c>
      <c r="D54" s="43">
        <f>IF(_calc!$E$56="","",IF(ISNUMBER(INDEX('Checks'!$F$4:$F$503,_calc!$E$56)),TEXT(INDEX('Checks'!$F$4:$F$503,_calc!$E$56),"yyyy-mm-dd"),""))</f>
        <v/>
      </c>
      <c r="E54" s="43">
        <f>IF(_calc!$E$56="","","High")</f>
        <v/>
      </c>
      <c r="F54" s="43">
        <f>IF(_calc!$E$56="","",TRIM(IF(LEN(IF(LEN(INDEX('Checks'!$B$4:$B$503,_calc!$E$56))=0,"",INDEX('Checks'!$B$4:$B$503,_calc!$E$56)))=0,"","Role: "&amp;IF(LEN(INDEX('Checks'!$B$4:$B$503,_calc!$E$56))=0,"",INDEX('Checks'!$B$4:$B$503,_calc!$E$56))&amp;". ")&amp;IF(LEN(IF(LEN(INDEX('Checks'!$D$4:$D$503,_calc!$E$56))=0,"",INDEX('Checks'!$D$4:$D$503,_calc!$E$56)))=0,"","Check type: "&amp;IF(LEN(INDEX('Checks'!$D$4:$D$503,_calc!$E$56))=0,"",INDEX('Checks'!$D$4:$D$503,_calc!$E$56))&amp;". ")&amp;IF(LEN(IF(LEN(INDEX('Checks'!$E$4:$E$503,_calc!$E$56))=0,"",INDEX('Checks'!$E$4:$E$503,_calc!$E$56)))=0,"","Evidence: "&amp;IF(LEN(INDEX('Checks'!$E$4:$E$503,_calc!$E$56))=0,"",INDEX('Checks'!$E$4:$E$503,_calc!$E$56))&amp;". ")&amp;IF(LEN(IF(LEN(INDEX('Checks'!$G$4:$G$503,_calc!$E$56))=0,"",INDEX('Checks'!$G$4:$G$503,_calc!$E$56)))=0,"","Checked by: "&amp;IF(LEN(INDEX('Checks'!$G$4:$G$503,_calc!$E$56))=0,"",INDEX('Checks'!$G$4:$G$503,_calc!$E$56))&amp;". ")&amp;IF(LEN(IF(LEN(INDEX('Checks'!$Q$4:$Q$503,_calc!$E$56))=0,"",INDEX('Checks'!$Q$4:$Q$503,_calc!$E$56)))=0,"",IF(LEN(INDEX('Checks'!$Q$4:$Q$503,_calc!$E$56))=0,"",INDEX('Checks'!$Q$4:$Q$503,_calc!$E$56)))))</f>
        <v/>
      </c>
      <c r="G54" s="43">
        <f>IF(_calc!$E$56="","",IF(LEN(INDEX('Checks'!$P$4:$P$503,_calc!$E$56))=0,"",INDEX('Checks'!$P$4:$P$503,_calc!$E$56)))</f>
        <v/>
      </c>
      <c r="K54" s="43">
        <f>IF(_calc!$E$56="","",IF(LEN(INDEX('Checks'!$O$4:$O$503,_calc!$E$56))=0,"",INDEX('Checks'!$O$4:$O$503,_calc!$E$56)))</f>
        <v/>
      </c>
    </row>
    <row r="55">
      <c r="A55" s="43">
        <f>IF(_calc!$E$57="","","Right to work follow-up – "&amp;IF(LEN(INDEX('Checks'!$A$4:$A$503,_calc!$E$57))=0,"",INDEX('Checks'!$A$4:$A$503,_calc!$E$57)))</f>
        <v/>
      </c>
      <c r="B55" s="43">
        <f>IF(_calc!$E$57="","",IF(ISNUMBER(INDEX('Checks'!$H$4:$H$503,_calc!$E$57)),TEXT(INDEX('Checks'!$H$4:$H$503,_calc!$E$57),"yyyy-mm-dd"),""))</f>
        <v/>
      </c>
      <c r="C55" s="43">
        <f>IF(_calc!$E$57="","","Right to work")</f>
        <v/>
      </c>
      <c r="D55" s="43">
        <f>IF(_calc!$E$57="","",IF(ISNUMBER(INDEX('Checks'!$F$4:$F$503,_calc!$E$57)),TEXT(INDEX('Checks'!$F$4:$F$503,_calc!$E$57),"yyyy-mm-dd"),""))</f>
        <v/>
      </c>
      <c r="E55" s="43">
        <f>IF(_calc!$E$57="","","High")</f>
        <v/>
      </c>
      <c r="F55" s="43">
        <f>IF(_calc!$E$57="","",TRIM(IF(LEN(IF(LEN(INDEX('Checks'!$B$4:$B$503,_calc!$E$57))=0,"",INDEX('Checks'!$B$4:$B$503,_calc!$E$57)))=0,"","Role: "&amp;IF(LEN(INDEX('Checks'!$B$4:$B$503,_calc!$E$57))=0,"",INDEX('Checks'!$B$4:$B$503,_calc!$E$57))&amp;". ")&amp;IF(LEN(IF(LEN(INDEX('Checks'!$D$4:$D$503,_calc!$E$57))=0,"",INDEX('Checks'!$D$4:$D$503,_calc!$E$57)))=0,"","Check type: "&amp;IF(LEN(INDEX('Checks'!$D$4:$D$503,_calc!$E$57))=0,"",INDEX('Checks'!$D$4:$D$503,_calc!$E$57))&amp;". ")&amp;IF(LEN(IF(LEN(INDEX('Checks'!$E$4:$E$503,_calc!$E$57))=0,"",INDEX('Checks'!$E$4:$E$503,_calc!$E$57)))=0,"","Evidence: "&amp;IF(LEN(INDEX('Checks'!$E$4:$E$503,_calc!$E$57))=0,"",INDEX('Checks'!$E$4:$E$503,_calc!$E$57))&amp;". ")&amp;IF(LEN(IF(LEN(INDEX('Checks'!$G$4:$G$503,_calc!$E$57))=0,"",INDEX('Checks'!$G$4:$G$503,_calc!$E$57)))=0,"","Checked by: "&amp;IF(LEN(INDEX('Checks'!$G$4:$G$503,_calc!$E$57))=0,"",INDEX('Checks'!$G$4:$G$503,_calc!$E$57))&amp;". ")&amp;IF(LEN(IF(LEN(INDEX('Checks'!$Q$4:$Q$503,_calc!$E$57))=0,"",INDEX('Checks'!$Q$4:$Q$503,_calc!$E$57)))=0,"",IF(LEN(INDEX('Checks'!$Q$4:$Q$503,_calc!$E$57))=0,"",INDEX('Checks'!$Q$4:$Q$503,_calc!$E$57)))))</f>
        <v/>
      </c>
      <c r="G55" s="43">
        <f>IF(_calc!$E$57="","",IF(LEN(INDEX('Checks'!$P$4:$P$503,_calc!$E$57))=0,"",INDEX('Checks'!$P$4:$P$503,_calc!$E$57)))</f>
        <v/>
      </c>
      <c r="K55" s="43">
        <f>IF(_calc!$E$57="","",IF(LEN(INDEX('Checks'!$O$4:$O$503,_calc!$E$57))=0,"",INDEX('Checks'!$O$4:$O$503,_calc!$E$57)))</f>
        <v/>
      </c>
    </row>
    <row r="56">
      <c r="A56" s="43">
        <f>IF(_calc!$E$58="","","Right to work follow-up – "&amp;IF(LEN(INDEX('Checks'!$A$4:$A$503,_calc!$E$58))=0,"",INDEX('Checks'!$A$4:$A$503,_calc!$E$58)))</f>
        <v/>
      </c>
      <c r="B56" s="43">
        <f>IF(_calc!$E$58="","",IF(ISNUMBER(INDEX('Checks'!$H$4:$H$503,_calc!$E$58)),TEXT(INDEX('Checks'!$H$4:$H$503,_calc!$E$58),"yyyy-mm-dd"),""))</f>
        <v/>
      </c>
      <c r="C56" s="43">
        <f>IF(_calc!$E$58="","","Right to work")</f>
        <v/>
      </c>
      <c r="D56" s="43">
        <f>IF(_calc!$E$58="","",IF(ISNUMBER(INDEX('Checks'!$F$4:$F$503,_calc!$E$58)),TEXT(INDEX('Checks'!$F$4:$F$503,_calc!$E$58),"yyyy-mm-dd"),""))</f>
        <v/>
      </c>
      <c r="E56" s="43">
        <f>IF(_calc!$E$58="","","High")</f>
        <v/>
      </c>
      <c r="F56" s="43">
        <f>IF(_calc!$E$58="","",TRIM(IF(LEN(IF(LEN(INDEX('Checks'!$B$4:$B$503,_calc!$E$58))=0,"",INDEX('Checks'!$B$4:$B$503,_calc!$E$58)))=0,"","Role: "&amp;IF(LEN(INDEX('Checks'!$B$4:$B$503,_calc!$E$58))=0,"",INDEX('Checks'!$B$4:$B$503,_calc!$E$58))&amp;". ")&amp;IF(LEN(IF(LEN(INDEX('Checks'!$D$4:$D$503,_calc!$E$58))=0,"",INDEX('Checks'!$D$4:$D$503,_calc!$E$58)))=0,"","Check type: "&amp;IF(LEN(INDEX('Checks'!$D$4:$D$503,_calc!$E$58))=0,"",INDEX('Checks'!$D$4:$D$503,_calc!$E$58))&amp;". ")&amp;IF(LEN(IF(LEN(INDEX('Checks'!$E$4:$E$503,_calc!$E$58))=0,"",INDEX('Checks'!$E$4:$E$503,_calc!$E$58)))=0,"","Evidence: "&amp;IF(LEN(INDEX('Checks'!$E$4:$E$503,_calc!$E$58))=0,"",INDEX('Checks'!$E$4:$E$503,_calc!$E$58))&amp;". ")&amp;IF(LEN(IF(LEN(INDEX('Checks'!$G$4:$G$503,_calc!$E$58))=0,"",INDEX('Checks'!$G$4:$G$503,_calc!$E$58)))=0,"","Checked by: "&amp;IF(LEN(INDEX('Checks'!$G$4:$G$503,_calc!$E$58))=0,"",INDEX('Checks'!$G$4:$G$503,_calc!$E$58))&amp;". ")&amp;IF(LEN(IF(LEN(INDEX('Checks'!$Q$4:$Q$503,_calc!$E$58))=0,"",INDEX('Checks'!$Q$4:$Q$503,_calc!$E$58)))=0,"",IF(LEN(INDEX('Checks'!$Q$4:$Q$503,_calc!$E$58))=0,"",INDEX('Checks'!$Q$4:$Q$503,_calc!$E$58)))))</f>
        <v/>
      </c>
      <c r="G56" s="43">
        <f>IF(_calc!$E$58="","",IF(LEN(INDEX('Checks'!$P$4:$P$503,_calc!$E$58))=0,"",INDEX('Checks'!$P$4:$P$503,_calc!$E$58)))</f>
        <v/>
      </c>
      <c r="K56" s="43">
        <f>IF(_calc!$E$58="","",IF(LEN(INDEX('Checks'!$O$4:$O$503,_calc!$E$58))=0,"",INDEX('Checks'!$O$4:$O$503,_calc!$E$58)))</f>
        <v/>
      </c>
    </row>
    <row r="57">
      <c r="A57" s="43">
        <f>IF(_calc!$E$59="","","Right to work follow-up – "&amp;IF(LEN(INDEX('Checks'!$A$4:$A$503,_calc!$E$59))=0,"",INDEX('Checks'!$A$4:$A$503,_calc!$E$59)))</f>
        <v/>
      </c>
      <c r="B57" s="43">
        <f>IF(_calc!$E$59="","",IF(ISNUMBER(INDEX('Checks'!$H$4:$H$503,_calc!$E$59)),TEXT(INDEX('Checks'!$H$4:$H$503,_calc!$E$59),"yyyy-mm-dd"),""))</f>
        <v/>
      </c>
      <c r="C57" s="43">
        <f>IF(_calc!$E$59="","","Right to work")</f>
        <v/>
      </c>
      <c r="D57" s="43">
        <f>IF(_calc!$E$59="","",IF(ISNUMBER(INDEX('Checks'!$F$4:$F$503,_calc!$E$59)),TEXT(INDEX('Checks'!$F$4:$F$503,_calc!$E$59),"yyyy-mm-dd"),""))</f>
        <v/>
      </c>
      <c r="E57" s="43">
        <f>IF(_calc!$E$59="","","High")</f>
        <v/>
      </c>
      <c r="F57" s="43">
        <f>IF(_calc!$E$59="","",TRIM(IF(LEN(IF(LEN(INDEX('Checks'!$B$4:$B$503,_calc!$E$59))=0,"",INDEX('Checks'!$B$4:$B$503,_calc!$E$59)))=0,"","Role: "&amp;IF(LEN(INDEX('Checks'!$B$4:$B$503,_calc!$E$59))=0,"",INDEX('Checks'!$B$4:$B$503,_calc!$E$59))&amp;". ")&amp;IF(LEN(IF(LEN(INDEX('Checks'!$D$4:$D$503,_calc!$E$59))=0,"",INDEX('Checks'!$D$4:$D$503,_calc!$E$59)))=0,"","Check type: "&amp;IF(LEN(INDEX('Checks'!$D$4:$D$503,_calc!$E$59))=0,"",INDEX('Checks'!$D$4:$D$503,_calc!$E$59))&amp;". ")&amp;IF(LEN(IF(LEN(INDEX('Checks'!$E$4:$E$503,_calc!$E$59))=0,"",INDEX('Checks'!$E$4:$E$503,_calc!$E$59)))=0,"","Evidence: "&amp;IF(LEN(INDEX('Checks'!$E$4:$E$503,_calc!$E$59))=0,"",INDEX('Checks'!$E$4:$E$503,_calc!$E$59))&amp;". ")&amp;IF(LEN(IF(LEN(INDEX('Checks'!$G$4:$G$503,_calc!$E$59))=0,"",INDEX('Checks'!$G$4:$G$503,_calc!$E$59)))=0,"","Checked by: "&amp;IF(LEN(INDEX('Checks'!$G$4:$G$503,_calc!$E$59))=0,"",INDEX('Checks'!$G$4:$G$503,_calc!$E$59))&amp;". ")&amp;IF(LEN(IF(LEN(INDEX('Checks'!$Q$4:$Q$503,_calc!$E$59))=0,"",INDEX('Checks'!$Q$4:$Q$503,_calc!$E$59)))=0,"",IF(LEN(INDEX('Checks'!$Q$4:$Q$503,_calc!$E$59))=0,"",INDEX('Checks'!$Q$4:$Q$503,_calc!$E$59)))))</f>
        <v/>
      </c>
      <c r="G57" s="43">
        <f>IF(_calc!$E$59="","",IF(LEN(INDEX('Checks'!$P$4:$P$503,_calc!$E$59))=0,"",INDEX('Checks'!$P$4:$P$503,_calc!$E$59)))</f>
        <v/>
      </c>
      <c r="K57" s="43">
        <f>IF(_calc!$E$59="","",IF(LEN(INDEX('Checks'!$O$4:$O$503,_calc!$E$59))=0,"",INDEX('Checks'!$O$4:$O$503,_calc!$E$59)))</f>
        <v/>
      </c>
    </row>
    <row r="58">
      <c r="A58" s="43">
        <f>IF(_calc!$E$60="","","Right to work follow-up – "&amp;IF(LEN(INDEX('Checks'!$A$4:$A$503,_calc!$E$60))=0,"",INDEX('Checks'!$A$4:$A$503,_calc!$E$60)))</f>
        <v/>
      </c>
      <c r="B58" s="43">
        <f>IF(_calc!$E$60="","",IF(ISNUMBER(INDEX('Checks'!$H$4:$H$503,_calc!$E$60)),TEXT(INDEX('Checks'!$H$4:$H$503,_calc!$E$60),"yyyy-mm-dd"),""))</f>
        <v/>
      </c>
      <c r="C58" s="43">
        <f>IF(_calc!$E$60="","","Right to work")</f>
        <v/>
      </c>
      <c r="D58" s="43">
        <f>IF(_calc!$E$60="","",IF(ISNUMBER(INDEX('Checks'!$F$4:$F$503,_calc!$E$60)),TEXT(INDEX('Checks'!$F$4:$F$503,_calc!$E$60),"yyyy-mm-dd"),""))</f>
        <v/>
      </c>
      <c r="E58" s="43">
        <f>IF(_calc!$E$60="","","High")</f>
        <v/>
      </c>
      <c r="F58" s="43">
        <f>IF(_calc!$E$60="","",TRIM(IF(LEN(IF(LEN(INDEX('Checks'!$B$4:$B$503,_calc!$E$60))=0,"",INDEX('Checks'!$B$4:$B$503,_calc!$E$60)))=0,"","Role: "&amp;IF(LEN(INDEX('Checks'!$B$4:$B$503,_calc!$E$60))=0,"",INDEX('Checks'!$B$4:$B$503,_calc!$E$60))&amp;". ")&amp;IF(LEN(IF(LEN(INDEX('Checks'!$D$4:$D$503,_calc!$E$60))=0,"",INDEX('Checks'!$D$4:$D$503,_calc!$E$60)))=0,"","Check type: "&amp;IF(LEN(INDEX('Checks'!$D$4:$D$503,_calc!$E$60))=0,"",INDEX('Checks'!$D$4:$D$503,_calc!$E$60))&amp;". ")&amp;IF(LEN(IF(LEN(INDEX('Checks'!$E$4:$E$503,_calc!$E$60))=0,"",INDEX('Checks'!$E$4:$E$503,_calc!$E$60)))=0,"","Evidence: "&amp;IF(LEN(INDEX('Checks'!$E$4:$E$503,_calc!$E$60))=0,"",INDEX('Checks'!$E$4:$E$503,_calc!$E$60))&amp;". ")&amp;IF(LEN(IF(LEN(INDEX('Checks'!$G$4:$G$503,_calc!$E$60))=0,"",INDEX('Checks'!$G$4:$G$503,_calc!$E$60)))=0,"","Checked by: "&amp;IF(LEN(INDEX('Checks'!$G$4:$G$503,_calc!$E$60))=0,"",INDEX('Checks'!$G$4:$G$503,_calc!$E$60))&amp;". ")&amp;IF(LEN(IF(LEN(INDEX('Checks'!$Q$4:$Q$503,_calc!$E$60))=0,"",INDEX('Checks'!$Q$4:$Q$503,_calc!$E$60)))=0,"",IF(LEN(INDEX('Checks'!$Q$4:$Q$503,_calc!$E$60))=0,"",INDEX('Checks'!$Q$4:$Q$503,_calc!$E$60)))))</f>
        <v/>
      </c>
      <c r="G58" s="43">
        <f>IF(_calc!$E$60="","",IF(LEN(INDEX('Checks'!$P$4:$P$503,_calc!$E$60))=0,"",INDEX('Checks'!$P$4:$P$503,_calc!$E$60)))</f>
        <v/>
      </c>
      <c r="K58" s="43">
        <f>IF(_calc!$E$60="","",IF(LEN(INDEX('Checks'!$O$4:$O$503,_calc!$E$60))=0,"",INDEX('Checks'!$O$4:$O$503,_calc!$E$60)))</f>
        <v/>
      </c>
    </row>
    <row r="59">
      <c r="A59" s="43">
        <f>IF(_calc!$E$61="","","Right to work follow-up – "&amp;IF(LEN(INDEX('Checks'!$A$4:$A$503,_calc!$E$61))=0,"",INDEX('Checks'!$A$4:$A$503,_calc!$E$61)))</f>
        <v/>
      </c>
      <c r="B59" s="43">
        <f>IF(_calc!$E$61="","",IF(ISNUMBER(INDEX('Checks'!$H$4:$H$503,_calc!$E$61)),TEXT(INDEX('Checks'!$H$4:$H$503,_calc!$E$61),"yyyy-mm-dd"),""))</f>
        <v/>
      </c>
      <c r="C59" s="43">
        <f>IF(_calc!$E$61="","","Right to work")</f>
        <v/>
      </c>
      <c r="D59" s="43">
        <f>IF(_calc!$E$61="","",IF(ISNUMBER(INDEX('Checks'!$F$4:$F$503,_calc!$E$61)),TEXT(INDEX('Checks'!$F$4:$F$503,_calc!$E$61),"yyyy-mm-dd"),""))</f>
        <v/>
      </c>
      <c r="E59" s="43">
        <f>IF(_calc!$E$61="","","High")</f>
        <v/>
      </c>
      <c r="F59" s="43">
        <f>IF(_calc!$E$61="","",TRIM(IF(LEN(IF(LEN(INDEX('Checks'!$B$4:$B$503,_calc!$E$61))=0,"",INDEX('Checks'!$B$4:$B$503,_calc!$E$61)))=0,"","Role: "&amp;IF(LEN(INDEX('Checks'!$B$4:$B$503,_calc!$E$61))=0,"",INDEX('Checks'!$B$4:$B$503,_calc!$E$61))&amp;". ")&amp;IF(LEN(IF(LEN(INDEX('Checks'!$D$4:$D$503,_calc!$E$61))=0,"",INDEX('Checks'!$D$4:$D$503,_calc!$E$61)))=0,"","Check type: "&amp;IF(LEN(INDEX('Checks'!$D$4:$D$503,_calc!$E$61))=0,"",INDEX('Checks'!$D$4:$D$503,_calc!$E$61))&amp;". ")&amp;IF(LEN(IF(LEN(INDEX('Checks'!$E$4:$E$503,_calc!$E$61))=0,"",INDEX('Checks'!$E$4:$E$503,_calc!$E$61)))=0,"","Evidence: "&amp;IF(LEN(INDEX('Checks'!$E$4:$E$503,_calc!$E$61))=0,"",INDEX('Checks'!$E$4:$E$503,_calc!$E$61))&amp;". ")&amp;IF(LEN(IF(LEN(INDEX('Checks'!$G$4:$G$503,_calc!$E$61))=0,"",INDEX('Checks'!$G$4:$G$503,_calc!$E$61)))=0,"","Checked by: "&amp;IF(LEN(INDEX('Checks'!$G$4:$G$503,_calc!$E$61))=0,"",INDEX('Checks'!$G$4:$G$503,_calc!$E$61))&amp;". ")&amp;IF(LEN(IF(LEN(INDEX('Checks'!$Q$4:$Q$503,_calc!$E$61))=0,"",INDEX('Checks'!$Q$4:$Q$503,_calc!$E$61)))=0,"",IF(LEN(INDEX('Checks'!$Q$4:$Q$503,_calc!$E$61))=0,"",INDEX('Checks'!$Q$4:$Q$503,_calc!$E$61)))))</f>
        <v/>
      </c>
      <c r="G59" s="43">
        <f>IF(_calc!$E$61="","",IF(LEN(INDEX('Checks'!$P$4:$P$503,_calc!$E$61))=0,"",INDEX('Checks'!$P$4:$P$503,_calc!$E$61)))</f>
        <v/>
      </c>
      <c r="K59" s="43">
        <f>IF(_calc!$E$61="","",IF(LEN(INDEX('Checks'!$O$4:$O$503,_calc!$E$61))=0,"",INDEX('Checks'!$O$4:$O$503,_calc!$E$61)))</f>
        <v/>
      </c>
    </row>
    <row r="60">
      <c r="A60" s="43">
        <f>IF(_calc!$E$62="","","Right to work follow-up – "&amp;IF(LEN(INDEX('Checks'!$A$4:$A$503,_calc!$E$62))=0,"",INDEX('Checks'!$A$4:$A$503,_calc!$E$62)))</f>
        <v/>
      </c>
      <c r="B60" s="43">
        <f>IF(_calc!$E$62="","",IF(ISNUMBER(INDEX('Checks'!$H$4:$H$503,_calc!$E$62)),TEXT(INDEX('Checks'!$H$4:$H$503,_calc!$E$62),"yyyy-mm-dd"),""))</f>
        <v/>
      </c>
      <c r="C60" s="43">
        <f>IF(_calc!$E$62="","","Right to work")</f>
        <v/>
      </c>
      <c r="D60" s="43">
        <f>IF(_calc!$E$62="","",IF(ISNUMBER(INDEX('Checks'!$F$4:$F$503,_calc!$E$62)),TEXT(INDEX('Checks'!$F$4:$F$503,_calc!$E$62),"yyyy-mm-dd"),""))</f>
        <v/>
      </c>
      <c r="E60" s="43">
        <f>IF(_calc!$E$62="","","High")</f>
        <v/>
      </c>
      <c r="F60" s="43">
        <f>IF(_calc!$E$62="","",TRIM(IF(LEN(IF(LEN(INDEX('Checks'!$B$4:$B$503,_calc!$E$62))=0,"",INDEX('Checks'!$B$4:$B$503,_calc!$E$62)))=0,"","Role: "&amp;IF(LEN(INDEX('Checks'!$B$4:$B$503,_calc!$E$62))=0,"",INDEX('Checks'!$B$4:$B$503,_calc!$E$62))&amp;". ")&amp;IF(LEN(IF(LEN(INDEX('Checks'!$D$4:$D$503,_calc!$E$62))=0,"",INDEX('Checks'!$D$4:$D$503,_calc!$E$62)))=0,"","Check type: "&amp;IF(LEN(INDEX('Checks'!$D$4:$D$503,_calc!$E$62))=0,"",INDEX('Checks'!$D$4:$D$503,_calc!$E$62))&amp;". ")&amp;IF(LEN(IF(LEN(INDEX('Checks'!$E$4:$E$503,_calc!$E$62))=0,"",INDEX('Checks'!$E$4:$E$503,_calc!$E$62)))=0,"","Evidence: "&amp;IF(LEN(INDEX('Checks'!$E$4:$E$503,_calc!$E$62))=0,"",INDEX('Checks'!$E$4:$E$503,_calc!$E$62))&amp;". ")&amp;IF(LEN(IF(LEN(INDEX('Checks'!$G$4:$G$503,_calc!$E$62))=0,"",INDEX('Checks'!$G$4:$G$503,_calc!$E$62)))=0,"","Checked by: "&amp;IF(LEN(INDEX('Checks'!$G$4:$G$503,_calc!$E$62))=0,"",INDEX('Checks'!$G$4:$G$503,_calc!$E$62))&amp;". ")&amp;IF(LEN(IF(LEN(INDEX('Checks'!$Q$4:$Q$503,_calc!$E$62))=0,"",INDEX('Checks'!$Q$4:$Q$503,_calc!$E$62)))=0,"",IF(LEN(INDEX('Checks'!$Q$4:$Q$503,_calc!$E$62))=0,"",INDEX('Checks'!$Q$4:$Q$503,_calc!$E$62)))))</f>
        <v/>
      </c>
      <c r="G60" s="43">
        <f>IF(_calc!$E$62="","",IF(LEN(INDEX('Checks'!$P$4:$P$503,_calc!$E$62))=0,"",INDEX('Checks'!$P$4:$P$503,_calc!$E$62)))</f>
        <v/>
      </c>
      <c r="K60" s="43">
        <f>IF(_calc!$E$62="","",IF(LEN(INDEX('Checks'!$O$4:$O$503,_calc!$E$62))=0,"",INDEX('Checks'!$O$4:$O$503,_calc!$E$62)))</f>
        <v/>
      </c>
    </row>
    <row r="61">
      <c r="A61" s="43">
        <f>IF(_calc!$E$63="","","Right to work follow-up – "&amp;IF(LEN(INDEX('Checks'!$A$4:$A$503,_calc!$E$63))=0,"",INDEX('Checks'!$A$4:$A$503,_calc!$E$63)))</f>
        <v/>
      </c>
      <c r="B61" s="43">
        <f>IF(_calc!$E$63="","",IF(ISNUMBER(INDEX('Checks'!$H$4:$H$503,_calc!$E$63)),TEXT(INDEX('Checks'!$H$4:$H$503,_calc!$E$63),"yyyy-mm-dd"),""))</f>
        <v/>
      </c>
      <c r="C61" s="43">
        <f>IF(_calc!$E$63="","","Right to work")</f>
        <v/>
      </c>
      <c r="D61" s="43">
        <f>IF(_calc!$E$63="","",IF(ISNUMBER(INDEX('Checks'!$F$4:$F$503,_calc!$E$63)),TEXT(INDEX('Checks'!$F$4:$F$503,_calc!$E$63),"yyyy-mm-dd"),""))</f>
        <v/>
      </c>
      <c r="E61" s="43">
        <f>IF(_calc!$E$63="","","High")</f>
        <v/>
      </c>
      <c r="F61" s="43">
        <f>IF(_calc!$E$63="","",TRIM(IF(LEN(IF(LEN(INDEX('Checks'!$B$4:$B$503,_calc!$E$63))=0,"",INDEX('Checks'!$B$4:$B$503,_calc!$E$63)))=0,"","Role: "&amp;IF(LEN(INDEX('Checks'!$B$4:$B$503,_calc!$E$63))=0,"",INDEX('Checks'!$B$4:$B$503,_calc!$E$63))&amp;". ")&amp;IF(LEN(IF(LEN(INDEX('Checks'!$D$4:$D$503,_calc!$E$63))=0,"",INDEX('Checks'!$D$4:$D$503,_calc!$E$63)))=0,"","Check type: "&amp;IF(LEN(INDEX('Checks'!$D$4:$D$503,_calc!$E$63))=0,"",INDEX('Checks'!$D$4:$D$503,_calc!$E$63))&amp;". ")&amp;IF(LEN(IF(LEN(INDEX('Checks'!$E$4:$E$503,_calc!$E$63))=0,"",INDEX('Checks'!$E$4:$E$503,_calc!$E$63)))=0,"","Evidence: "&amp;IF(LEN(INDEX('Checks'!$E$4:$E$503,_calc!$E$63))=0,"",INDEX('Checks'!$E$4:$E$503,_calc!$E$63))&amp;". ")&amp;IF(LEN(IF(LEN(INDEX('Checks'!$G$4:$G$503,_calc!$E$63))=0,"",INDEX('Checks'!$G$4:$G$503,_calc!$E$63)))=0,"","Checked by: "&amp;IF(LEN(INDEX('Checks'!$G$4:$G$503,_calc!$E$63))=0,"",INDEX('Checks'!$G$4:$G$503,_calc!$E$63))&amp;". ")&amp;IF(LEN(IF(LEN(INDEX('Checks'!$Q$4:$Q$503,_calc!$E$63))=0,"",INDEX('Checks'!$Q$4:$Q$503,_calc!$E$63)))=0,"",IF(LEN(INDEX('Checks'!$Q$4:$Q$503,_calc!$E$63))=0,"",INDEX('Checks'!$Q$4:$Q$503,_calc!$E$63)))))</f>
        <v/>
      </c>
      <c r="G61" s="43">
        <f>IF(_calc!$E$63="","",IF(LEN(INDEX('Checks'!$P$4:$P$503,_calc!$E$63))=0,"",INDEX('Checks'!$P$4:$P$503,_calc!$E$63)))</f>
        <v/>
      </c>
      <c r="K61" s="43">
        <f>IF(_calc!$E$63="","",IF(LEN(INDEX('Checks'!$O$4:$O$503,_calc!$E$63))=0,"",INDEX('Checks'!$O$4:$O$503,_calc!$E$63)))</f>
        <v/>
      </c>
    </row>
    <row r="62">
      <c r="A62" s="43">
        <f>IF(_calc!$E$64="","","Right to work follow-up – "&amp;IF(LEN(INDEX('Checks'!$A$4:$A$503,_calc!$E$64))=0,"",INDEX('Checks'!$A$4:$A$503,_calc!$E$64)))</f>
        <v/>
      </c>
      <c r="B62" s="43">
        <f>IF(_calc!$E$64="","",IF(ISNUMBER(INDEX('Checks'!$H$4:$H$503,_calc!$E$64)),TEXT(INDEX('Checks'!$H$4:$H$503,_calc!$E$64),"yyyy-mm-dd"),""))</f>
        <v/>
      </c>
      <c r="C62" s="43">
        <f>IF(_calc!$E$64="","","Right to work")</f>
        <v/>
      </c>
      <c r="D62" s="43">
        <f>IF(_calc!$E$64="","",IF(ISNUMBER(INDEX('Checks'!$F$4:$F$503,_calc!$E$64)),TEXT(INDEX('Checks'!$F$4:$F$503,_calc!$E$64),"yyyy-mm-dd"),""))</f>
        <v/>
      </c>
      <c r="E62" s="43">
        <f>IF(_calc!$E$64="","","High")</f>
        <v/>
      </c>
      <c r="F62" s="43">
        <f>IF(_calc!$E$64="","",TRIM(IF(LEN(IF(LEN(INDEX('Checks'!$B$4:$B$503,_calc!$E$64))=0,"",INDEX('Checks'!$B$4:$B$503,_calc!$E$64)))=0,"","Role: "&amp;IF(LEN(INDEX('Checks'!$B$4:$B$503,_calc!$E$64))=0,"",INDEX('Checks'!$B$4:$B$503,_calc!$E$64))&amp;". ")&amp;IF(LEN(IF(LEN(INDEX('Checks'!$D$4:$D$503,_calc!$E$64))=0,"",INDEX('Checks'!$D$4:$D$503,_calc!$E$64)))=0,"","Check type: "&amp;IF(LEN(INDEX('Checks'!$D$4:$D$503,_calc!$E$64))=0,"",INDEX('Checks'!$D$4:$D$503,_calc!$E$64))&amp;". ")&amp;IF(LEN(IF(LEN(INDEX('Checks'!$E$4:$E$503,_calc!$E$64))=0,"",INDEX('Checks'!$E$4:$E$503,_calc!$E$64)))=0,"","Evidence: "&amp;IF(LEN(INDEX('Checks'!$E$4:$E$503,_calc!$E$64))=0,"",INDEX('Checks'!$E$4:$E$503,_calc!$E$64))&amp;". ")&amp;IF(LEN(IF(LEN(INDEX('Checks'!$G$4:$G$503,_calc!$E$64))=0,"",INDEX('Checks'!$G$4:$G$503,_calc!$E$64)))=0,"","Checked by: "&amp;IF(LEN(INDEX('Checks'!$G$4:$G$503,_calc!$E$64))=0,"",INDEX('Checks'!$G$4:$G$503,_calc!$E$64))&amp;". ")&amp;IF(LEN(IF(LEN(INDEX('Checks'!$Q$4:$Q$503,_calc!$E$64))=0,"",INDEX('Checks'!$Q$4:$Q$503,_calc!$E$64)))=0,"",IF(LEN(INDEX('Checks'!$Q$4:$Q$503,_calc!$E$64))=0,"",INDEX('Checks'!$Q$4:$Q$503,_calc!$E$64)))))</f>
        <v/>
      </c>
      <c r="G62" s="43">
        <f>IF(_calc!$E$64="","",IF(LEN(INDEX('Checks'!$P$4:$P$503,_calc!$E$64))=0,"",INDEX('Checks'!$P$4:$P$503,_calc!$E$64)))</f>
        <v/>
      </c>
      <c r="K62" s="43">
        <f>IF(_calc!$E$64="","",IF(LEN(INDEX('Checks'!$O$4:$O$503,_calc!$E$64))=0,"",INDEX('Checks'!$O$4:$O$503,_calc!$E$64)))</f>
        <v/>
      </c>
    </row>
    <row r="63">
      <c r="A63" s="43">
        <f>IF(_calc!$E$65="","","Right to work follow-up – "&amp;IF(LEN(INDEX('Checks'!$A$4:$A$503,_calc!$E$65))=0,"",INDEX('Checks'!$A$4:$A$503,_calc!$E$65)))</f>
        <v/>
      </c>
      <c r="B63" s="43">
        <f>IF(_calc!$E$65="","",IF(ISNUMBER(INDEX('Checks'!$H$4:$H$503,_calc!$E$65)),TEXT(INDEX('Checks'!$H$4:$H$503,_calc!$E$65),"yyyy-mm-dd"),""))</f>
        <v/>
      </c>
      <c r="C63" s="43">
        <f>IF(_calc!$E$65="","","Right to work")</f>
        <v/>
      </c>
      <c r="D63" s="43">
        <f>IF(_calc!$E$65="","",IF(ISNUMBER(INDEX('Checks'!$F$4:$F$503,_calc!$E$65)),TEXT(INDEX('Checks'!$F$4:$F$503,_calc!$E$65),"yyyy-mm-dd"),""))</f>
        <v/>
      </c>
      <c r="E63" s="43">
        <f>IF(_calc!$E$65="","","High")</f>
        <v/>
      </c>
      <c r="F63" s="43">
        <f>IF(_calc!$E$65="","",TRIM(IF(LEN(IF(LEN(INDEX('Checks'!$B$4:$B$503,_calc!$E$65))=0,"",INDEX('Checks'!$B$4:$B$503,_calc!$E$65)))=0,"","Role: "&amp;IF(LEN(INDEX('Checks'!$B$4:$B$503,_calc!$E$65))=0,"",INDEX('Checks'!$B$4:$B$503,_calc!$E$65))&amp;". ")&amp;IF(LEN(IF(LEN(INDEX('Checks'!$D$4:$D$503,_calc!$E$65))=0,"",INDEX('Checks'!$D$4:$D$503,_calc!$E$65)))=0,"","Check type: "&amp;IF(LEN(INDEX('Checks'!$D$4:$D$503,_calc!$E$65))=0,"",INDEX('Checks'!$D$4:$D$503,_calc!$E$65))&amp;". ")&amp;IF(LEN(IF(LEN(INDEX('Checks'!$E$4:$E$503,_calc!$E$65))=0,"",INDEX('Checks'!$E$4:$E$503,_calc!$E$65)))=0,"","Evidence: "&amp;IF(LEN(INDEX('Checks'!$E$4:$E$503,_calc!$E$65))=0,"",INDEX('Checks'!$E$4:$E$503,_calc!$E$65))&amp;". ")&amp;IF(LEN(IF(LEN(INDEX('Checks'!$G$4:$G$503,_calc!$E$65))=0,"",INDEX('Checks'!$G$4:$G$503,_calc!$E$65)))=0,"","Checked by: "&amp;IF(LEN(INDEX('Checks'!$G$4:$G$503,_calc!$E$65))=0,"",INDEX('Checks'!$G$4:$G$503,_calc!$E$65))&amp;". ")&amp;IF(LEN(IF(LEN(INDEX('Checks'!$Q$4:$Q$503,_calc!$E$65))=0,"",INDEX('Checks'!$Q$4:$Q$503,_calc!$E$65)))=0,"",IF(LEN(INDEX('Checks'!$Q$4:$Q$503,_calc!$E$65))=0,"",INDEX('Checks'!$Q$4:$Q$503,_calc!$E$65)))))</f>
        <v/>
      </c>
      <c r="G63" s="43">
        <f>IF(_calc!$E$65="","",IF(LEN(INDEX('Checks'!$P$4:$P$503,_calc!$E$65))=0,"",INDEX('Checks'!$P$4:$P$503,_calc!$E$65)))</f>
        <v/>
      </c>
      <c r="K63" s="43">
        <f>IF(_calc!$E$65="","",IF(LEN(INDEX('Checks'!$O$4:$O$503,_calc!$E$65))=0,"",INDEX('Checks'!$O$4:$O$503,_calc!$E$65)))</f>
        <v/>
      </c>
    </row>
    <row r="64">
      <c r="A64" s="43">
        <f>IF(_calc!$E$66="","","Right to work follow-up – "&amp;IF(LEN(INDEX('Checks'!$A$4:$A$503,_calc!$E$66))=0,"",INDEX('Checks'!$A$4:$A$503,_calc!$E$66)))</f>
        <v/>
      </c>
      <c r="B64" s="43">
        <f>IF(_calc!$E$66="","",IF(ISNUMBER(INDEX('Checks'!$H$4:$H$503,_calc!$E$66)),TEXT(INDEX('Checks'!$H$4:$H$503,_calc!$E$66),"yyyy-mm-dd"),""))</f>
        <v/>
      </c>
      <c r="C64" s="43">
        <f>IF(_calc!$E$66="","","Right to work")</f>
        <v/>
      </c>
      <c r="D64" s="43">
        <f>IF(_calc!$E$66="","",IF(ISNUMBER(INDEX('Checks'!$F$4:$F$503,_calc!$E$66)),TEXT(INDEX('Checks'!$F$4:$F$503,_calc!$E$66),"yyyy-mm-dd"),""))</f>
        <v/>
      </c>
      <c r="E64" s="43">
        <f>IF(_calc!$E$66="","","High")</f>
        <v/>
      </c>
      <c r="F64" s="43">
        <f>IF(_calc!$E$66="","",TRIM(IF(LEN(IF(LEN(INDEX('Checks'!$B$4:$B$503,_calc!$E$66))=0,"",INDEX('Checks'!$B$4:$B$503,_calc!$E$66)))=0,"","Role: "&amp;IF(LEN(INDEX('Checks'!$B$4:$B$503,_calc!$E$66))=0,"",INDEX('Checks'!$B$4:$B$503,_calc!$E$66))&amp;". ")&amp;IF(LEN(IF(LEN(INDEX('Checks'!$D$4:$D$503,_calc!$E$66))=0,"",INDEX('Checks'!$D$4:$D$503,_calc!$E$66)))=0,"","Check type: "&amp;IF(LEN(INDEX('Checks'!$D$4:$D$503,_calc!$E$66))=0,"",INDEX('Checks'!$D$4:$D$503,_calc!$E$66))&amp;". ")&amp;IF(LEN(IF(LEN(INDEX('Checks'!$E$4:$E$503,_calc!$E$66))=0,"",INDEX('Checks'!$E$4:$E$503,_calc!$E$66)))=0,"","Evidence: "&amp;IF(LEN(INDEX('Checks'!$E$4:$E$503,_calc!$E$66))=0,"",INDEX('Checks'!$E$4:$E$503,_calc!$E$66))&amp;". ")&amp;IF(LEN(IF(LEN(INDEX('Checks'!$G$4:$G$503,_calc!$E$66))=0,"",INDEX('Checks'!$G$4:$G$503,_calc!$E$66)))=0,"","Checked by: "&amp;IF(LEN(INDEX('Checks'!$G$4:$G$503,_calc!$E$66))=0,"",INDEX('Checks'!$G$4:$G$503,_calc!$E$66))&amp;". ")&amp;IF(LEN(IF(LEN(INDEX('Checks'!$Q$4:$Q$503,_calc!$E$66))=0,"",INDEX('Checks'!$Q$4:$Q$503,_calc!$E$66)))=0,"",IF(LEN(INDEX('Checks'!$Q$4:$Q$503,_calc!$E$66))=0,"",INDEX('Checks'!$Q$4:$Q$503,_calc!$E$66)))))</f>
        <v/>
      </c>
      <c r="G64" s="43">
        <f>IF(_calc!$E$66="","",IF(LEN(INDEX('Checks'!$P$4:$P$503,_calc!$E$66))=0,"",INDEX('Checks'!$P$4:$P$503,_calc!$E$66)))</f>
        <v/>
      </c>
      <c r="K64" s="43">
        <f>IF(_calc!$E$66="","",IF(LEN(INDEX('Checks'!$O$4:$O$503,_calc!$E$66))=0,"",INDEX('Checks'!$O$4:$O$503,_calc!$E$66)))</f>
        <v/>
      </c>
    </row>
    <row r="65">
      <c r="A65" s="43">
        <f>IF(_calc!$E$67="","","Right to work follow-up – "&amp;IF(LEN(INDEX('Checks'!$A$4:$A$503,_calc!$E$67))=0,"",INDEX('Checks'!$A$4:$A$503,_calc!$E$67)))</f>
        <v/>
      </c>
      <c r="B65" s="43">
        <f>IF(_calc!$E$67="","",IF(ISNUMBER(INDEX('Checks'!$H$4:$H$503,_calc!$E$67)),TEXT(INDEX('Checks'!$H$4:$H$503,_calc!$E$67),"yyyy-mm-dd"),""))</f>
        <v/>
      </c>
      <c r="C65" s="43">
        <f>IF(_calc!$E$67="","","Right to work")</f>
        <v/>
      </c>
      <c r="D65" s="43">
        <f>IF(_calc!$E$67="","",IF(ISNUMBER(INDEX('Checks'!$F$4:$F$503,_calc!$E$67)),TEXT(INDEX('Checks'!$F$4:$F$503,_calc!$E$67),"yyyy-mm-dd"),""))</f>
        <v/>
      </c>
      <c r="E65" s="43">
        <f>IF(_calc!$E$67="","","High")</f>
        <v/>
      </c>
      <c r="F65" s="43">
        <f>IF(_calc!$E$67="","",TRIM(IF(LEN(IF(LEN(INDEX('Checks'!$B$4:$B$503,_calc!$E$67))=0,"",INDEX('Checks'!$B$4:$B$503,_calc!$E$67)))=0,"","Role: "&amp;IF(LEN(INDEX('Checks'!$B$4:$B$503,_calc!$E$67))=0,"",INDEX('Checks'!$B$4:$B$503,_calc!$E$67))&amp;". ")&amp;IF(LEN(IF(LEN(INDEX('Checks'!$D$4:$D$503,_calc!$E$67))=0,"",INDEX('Checks'!$D$4:$D$503,_calc!$E$67)))=0,"","Check type: "&amp;IF(LEN(INDEX('Checks'!$D$4:$D$503,_calc!$E$67))=0,"",INDEX('Checks'!$D$4:$D$503,_calc!$E$67))&amp;". ")&amp;IF(LEN(IF(LEN(INDEX('Checks'!$E$4:$E$503,_calc!$E$67))=0,"",INDEX('Checks'!$E$4:$E$503,_calc!$E$67)))=0,"","Evidence: "&amp;IF(LEN(INDEX('Checks'!$E$4:$E$503,_calc!$E$67))=0,"",INDEX('Checks'!$E$4:$E$503,_calc!$E$67))&amp;". ")&amp;IF(LEN(IF(LEN(INDEX('Checks'!$G$4:$G$503,_calc!$E$67))=0,"",INDEX('Checks'!$G$4:$G$503,_calc!$E$67)))=0,"","Checked by: "&amp;IF(LEN(INDEX('Checks'!$G$4:$G$503,_calc!$E$67))=0,"",INDEX('Checks'!$G$4:$G$503,_calc!$E$67))&amp;". ")&amp;IF(LEN(IF(LEN(INDEX('Checks'!$Q$4:$Q$503,_calc!$E$67))=0,"",INDEX('Checks'!$Q$4:$Q$503,_calc!$E$67)))=0,"",IF(LEN(INDEX('Checks'!$Q$4:$Q$503,_calc!$E$67))=0,"",INDEX('Checks'!$Q$4:$Q$503,_calc!$E$67)))))</f>
        <v/>
      </c>
      <c r="G65" s="43">
        <f>IF(_calc!$E$67="","",IF(LEN(INDEX('Checks'!$P$4:$P$503,_calc!$E$67))=0,"",INDEX('Checks'!$P$4:$P$503,_calc!$E$67)))</f>
        <v/>
      </c>
      <c r="K65" s="43">
        <f>IF(_calc!$E$67="","",IF(LEN(INDEX('Checks'!$O$4:$O$503,_calc!$E$67))=0,"",INDEX('Checks'!$O$4:$O$503,_calc!$E$67)))</f>
        <v/>
      </c>
    </row>
    <row r="66">
      <c r="A66" s="43">
        <f>IF(_calc!$E$68="","","Right to work follow-up – "&amp;IF(LEN(INDEX('Checks'!$A$4:$A$503,_calc!$E$68))=0,"",INDEX('Checks'!$A$4:$A$503,_calc!$E$68)))</f>
        <v/>
      </c>
      <c r="B66" s="43">
        <f>IF(_calc!$E$68="","",IF(ISNUMBER(INDEX('Checks'!$H$4:$H$503,_calc!$E$68)),TEXT(INDEX('Checks'!$H$4:$H$503,_calc!$E$68),"yyyy-mm-dd"),""))</f>
        <v/>
      </c>
      <c r="C66" s="43">
        <f>IF(_calc!$E$68="","","Right to work")</f>
        <v/>
      </c>
      <c r="D66" s="43">
        <f>IF(_calc!$E$68="","",IF(ISNUMBER(INDEX('Checks'!$F$4:$F$503,_calc!$E$68)),TEXT(INDEX('Checks'!$F$4:$F$503,_calc!$E$68),"yyyy-mm-dd"),""))</f>
        <v/>
      </c>
      <c r="E66" s="43">
        <f>IF(_calc!$E$68="","","High")</f>
        <v/>
      </c>
      <c r="F66" s="43">
        <f>IF(_calc!$E$68="","",TRIM(IF(LEN(IF(LEN(INDEX('Checks'!$B$4:$B$503,_calc!$E$68))=0,"",INDEX('Checks'!$B$4:$B$503,_calc!$E$68)))=0,"","Role: "&amp;IF(LEN(INDEX('Checks'!$B$4:$B$503,_calc!$E$68))=0,"",INDEX('Checks'!$B$4:$B$503,_calc!$E$68))&amp;". ")&amp;IF(LEN(IF(LEN(INDEX('Checks'!$D$4:$D$503,_calc!$E$68))=0,"",INDEX('Checks'!$D$4:$D$503,_calc!$E$68)))=0,"","Check type: "&amp;IF(LEN(INDEX('Checks'!$D$4:$D$503,_calc!$E$68))=0,"",INDEX('Checks'!$D$4:$D$503,_calc!$E$68))&amp;". ")&amp;IF(LEN(IF(LEN(INDEX('Checks'!$E$4:$E$503,_calc!$E$68))=0,"",INDEX('Checks'!$E$4:$E$503,_calc!$E$68)))=0,"","Evidence: "&amp;IF(LEN(INDEX('Checks'!$E$4:$E$503,_calc!$E$68))=0,"",INDEX('Checks'!$E$4:$E$503,_calc!$E$68))&amp;". ")&amp;IF(LEN(IF(LEN(INDEX('Checks'!$G$4:$G$503,_calc!$E$68))=0,"",INDEX('Checks'!$G$4:$G$503,_calc!$E$68)))=0,"","Checked by: "&amp;IF(LEN(INDEX('Checks'!$G$4:$G$503,_calc!$E$68))=0,"",INDEX('Checks'!$G$4:$G$503,_calc!$E$68))&amp;". ")&amp;IF(LEN(IF(LEN(INDEX('Checks'!$Q$4:$Q$503,_calc!$E$68))=0,"",INDEX('Checks'!$Q$4:$Q$503,_calc!$E$68)))=0,"",IF(LEN(INDEX('Checks'!$Q$4:$Q$503,_calc!$E$68))=0,"",INDEX('Checks'!$Q$4:$Q$503,_calc!$E$68)))))</f>
        <v/>
      </c>
      <c r="G66" s="43">
        <f>IF(_calc!$E$68="","",IF(LEN(INDEX('Checks'!$P$4:$P$503,_calc!$E$68))=0,"",INDEX('Checks'!$P$4:$P$503,_calc!$E$68)))</f>
        <v/>
      </c>
      <c r="K66" s="43">
        <f>IF(_calc!$E$68="","",IF(LEN(INDEX('Checks'!$O$4:$O$503,_calc!$E$68))=0,"",INDEX('Checks'!$O$4:$O$503,_calc!$E$68)))</f>
        <v/>
      </c>
    </row>
    <row r="67">
      <c r="A67" s="43">
        <f>IF(_calc!$E$69="","","Right to work follow-up – "&amp;IF(LEN(INDEX('Checks'!$A$4:$A$503,_calc!$E$69))=0,"",INDEX('Checks'!$A$4:$A$503,_calc!$E$69)))</f>
        <v/>
      </c>
      <c r="B67" s="43">
        <f>IF(_calc!$E$69="","",IF(ISNUMBER(INDEX('Checks'!$H$4:$H$503,_calc!$E$69)),TEXT(INDEX('Checks'!$H$4:$H$503,_calc!$E$69),"yyyy-mm-dd"),""))</f>
        <v/>
      </c>
      <c r="C67" s="43">
        <f>IF(_calc!$E$69="","","Right to work")</f>
        <v/>
      </c>
      <c r="D67" s="43">
        <f>IF(_calc!$E$69="","",IF(ISNUMBER(INDEX('Checks'!$F$4:$F$503,_calc!$E$69)),TEXT(INDEX('Checks'!$F$4:$F$503,_calc!$E$69),"yyyy-mm-dd"),""))</f>
        <v/>
      </c>
      <c r="E67" s="43">
        <f>IF(_calc!$E$69="","","High")</f>
        <v/>
      </c>
      <c r="F67" s="43">
        <f>IF(_calc!$E$69="","",TRIM(IF(LEN(IF(LEN(INDEX('Checks'!$B$4:$B$503,_calc!$E$69))=0,"",INDEX('Checks'!$B$4:$B$503,_calc!$E$69)))=0,"","Role: "&amp;IF(LEN(INDEX('Checks'!$B$4:$B$503,_calc!$E$69))=0,"",INDEX('Checks'!$B$4:$B$503,_calc!$E$69))&amp;". ")&amp;IF(LEN(IF(LEN(INDEX('Checks'!$D$4:$D$503,_calc!$E$69))=0,"",INDEX('Checks'!$D$4:$D$503,_calc!$E$69)))=0,"","Check type: "&amp;IF(LEN(INDEX('Checks'!$D$4:$D$503,_calc!$E$69))=0,"",INDEX('Checks'!$D$4:$D$503,_calc!$E$69))&amp;". ")&amp;IF(LEN(IF(LEN(INDEX('Checks'!$E$4:$E$503,_calc!$E$69))=0,"",INDEX('Checks'!$E$4:$E$503,_calc!$E$69)))=0,"","Evidence: "&amp;IF(LEN(INDEX('Checks'!$E$4:$E$503,_calc!$E$69))=0,"",INDEX('Checks'!$E$4:$E$503,_calc!$E$69))&amp;". ")&amp;IF(LEN(IF(LEN(INDEX('Checks'!$G$4:$G$503,_calc!$E$69))=0,"",INDEX('Checks'!$G$4:$G$503,_calc!$E$69)))=0,"","Checked by: "&amp;IF(LEN(INDEX('Checks'!$G$4:$G$503,_calc!$E$69))=0,"",INDEX('Checks'!$G$4:$G$503,_calc!$E$69))&amp;". ")&amp;IF(LEN(IF(LEN(INDEX('Checks'!$Q$4:$Q$503,_calc!$E$69))=0,"",INDEX('Checks'!$Q$4:$Q$503,_calc!$E$69)))=0,"",IF(LEN(INDEX('Checks'!$Q$4:$Q$503,_calc!$E$69))=0,"",INDEX('Checks'!$Q$4:$Q$503,_calc!$E$69)))))</f>
        <v/>
      </c>
      <c r="G67" s="43">
        <f>IF(_calc!$E$69="","",IF(LEN(INDEX('Checks'!$P$4:$P$503,_calc!$E$69))=0,"",INDEX('Checks'!$P$4:$P$503,_calc!$E$69)))</f>
        <v/>
      </c>
      <c r="K67" s="43">
        <f>IF(_calc!$E$69="","",IF(LEN(INDEX('Checks'!$O$4:$O$503,_calc!$E$69))=0,"",INDEX('Checks'!$O$4:$O$503,_calc!$E$69)))</f>
        <v/>
      </c>
    </row>
    <row r="68">
      <c r="A68" s="43">
        <f>IF(_calc!$E$70="","","Right to work follow-up – "&amp;IF(LEN(INDEX('Checks'!$A$4:$A$503,_calc!$E$70))=0,"",INDEX('Checks'!$A$4:$A$503,_calc!$E$70)))</f>
        <v/>
      </c>
      <c r="B68" s="43">
        <f>IF(_calc!$E$70="","",IF(ISNUMBER(INDEX('Checks'!$H$4:$H$503,_calc!$E$70)),TEXT(INDEX('Checks'!$H$4:$H$503,_calc!$E$70),"yyyy-mm-dd"),""))</f>
        <v/>
      </c>
      <c r="C68" s="43">
        <f>IF(_calc!$E$70="","","Right to work")</f>
        <v/>
      </c>
      <c r="D68" s="43">
        <f>IF(_calc!$E$70="","",IF(ISNUMBER(INDEX('Checks'!$F$4:$F$503,_calc!$E$70)),TEXT(INDEX('Checks'!$F$4:$F$503,_calc!$E$70),"yyyy-mm-dd"),""))</f>
        <v/>
      </c>
      <c r="E68" s="43">
        <f>IF(_calc!$E$70="","","High")</f>
        <v/>
      </c>
      <c r="F68" s="43">
        <f>IF(_calc!$E$70="","",TRIM(IF(LEN(IF(LEN(INDEX('Checks'!$B$4:$B$503,_calc!$E$70))=0,"",INDEX('Checks'!$B$4:$B$503,_calc!$E$70)))=0,"","Role: "&amp;IF(LEN(INDEX('Checks'!$B$4:$B$503,_calc!$E$70))=0,"",INDEX('Checks'!$B$4:$B$503,_calc!$E$70))&amp;". ")&amp;IF(LEN(IF(LEN(INDEX('Checks'!$D$4:$D$503,_calc!$E$70))=0,"",INDEX('Checks'!$D$4:$D$503,_calc!$E$70)))=0,"","Check type: "&amp;IF(LEN(INDEX('Checks'!$D$4:$D$503,_calc!$E$70))=0,"",INDEX('Checks'!$D$4:$D$503,_calc!$E$70))&amp;". ")&amp;IF(LEN(IF(LEN(INDEX('Checks'!$E$4:$E$503,_calc!$E$70))=0,"",INDEX('Checks'!$E$4:$E$503,_calc!$E$70)))=0,"","Evidence: "&amp;IF(LEN(INDEX('Checks'!$E$4:$E$503,_calc!$E$70))=0,"",INDEX('Checks'!$E$4:$E$503,_calc!$E$70))&amp;". ")&amp;IF(LEN(IF(LEN(INDEX('Checks'!$G$4:$G$503,_calc!$E$70))=0,"",INDEX('Checks'!$G$4:$G$503,_calc!$E$70)))=0,"","Checked by: "&amp;IF(LEN(INDEX('Checks'!$G$4:$G$503,_calc!$E$70))=0,"",INDEX('Checks'!$G$4:$G$503,_calc!$E$70))&amp;". ")&amp;IF(LEN(IF(LEN(INDEX('Checks'!$Q$4:$Q$503,_calc!$E$70))=0,"",INDEX('Checks'!$Q$4:$Q$503,_calc!$E$70)))=0,"",IF(LEN(INDEX('Checks'!$Q$4:$Q$503,_calc!$E$70))=0,"",INDEX('Checks'!$Q$4:$Q$503,_calc!$E$70)))))</f>
        <v/>
      </c>
      <c r="G68" s="43">
        <f>IF(_calc!$E$70="","",IF(LEN(INDEX('Checks'!$P$4:$P$503,_calc!$E$70))=0,"",INDEX('Checks'!$P$4:$P$503,_calc!$E$70)))</f>
        <v/>
      </c>
      <c r="K68" s="43">
        <f>IF(_calc!$E$70="","",IF(LEN(INDEX('Checks'!$O$4:$O$503,_calc!$E$70))=0,"",INDEX('Checks'!$O$4:$O$503,_calc!$E$70)))</f>
        <v/>
      </c>
    </row>
    <row r="69">
      <c r="A69" s="43">
        <f>IF(_calc!$E$71="","","Right to work follow-up – "&amp;IF(LEN(INDEX('Checks'!$A$4:$A$503,_calc!$E$71))=0,"",INDEX('Checks'!$A$4:$A$503,_calc!$E$71)))</f>
        <v/>
      </c>
      <c r="B69" s="43">
        <f>IF(_calc!$E$71="","",IF(ISNUMBER(INDEX('Checks'!$H$4:$H$503,_calc!$E$71)),TEXT(INDEX('Checks'!$H$4:$H$503,_calc!$E$71),"yyyy-mm-dd"),""))</f>
        <v/>
      </c>
      <c r="C69" s="43">
        <f>IF(_calc!$E$71="","","Right to work")</f>
        <v/>
      </c>
      <c r="D69" s="43">
        <f>IF(_calc!$E$71="","",IF(ISNUMBER(INDEX('Checks'!$F$4:$F$503,_calc!$E$71)),TEXT(INDEX('Checks'!$F$4:$F$503,_calc!$E$71),"yyyy-mm-dd"),""))</f>
        <v/>
      </c>
      <c r="E69" s="43">
        <f>IF(_calc!$E$71="","","High")</f>
        <v/>
      </c>
      <c r="F69" s="43">
        <f>IF(_calc!$E$71="","",TRIM(IF(LEN(IF(LEN(INDEX('Checks'!$B$4:$B$503,_calc!$E$71))=0,"",INDEX('Checks'!$B$4:$B$503,_calc!$E$71)))=0,"","Role: "&amp;IF(LEN(INDEX('Checks'!$B$4:$B$503,_calc!$E$71))=0,"",INDEX('Checks'!$B$4:$B$503,_calc!$E$71))&amp;". ")&amp;IF(LEN(IF(LEN(INDEX('Checks'!$D$4:$D$503,_calc!$E$71))=0,"",INDEX('Checks'!$D$4:$D$503,_calc!$E$71)))=0,"","Check type: "&amp;IF(LEN(INDEX('Checks'!$D$4:$D$503,_calc!$E$71))=0,"",INDEX('Checks'!$D$4:$D$503,_calc!$E$71))&amp;". ")&amp;IF(LEN(IF(LEN(INDEX('Checks'!$E$4:$E$503,_calc!$E$71))=0,"",INDEX('Checks'!$E$4:$E$503,_calc!$E$71)))=0,"","Evidence: "&amp;IF(LEN(INDEX('Checks'!$E$4:$E$503,_calc!$E$71))=0,"",INDEX('Checks'!$E$4:$E$503,_calc!$E$71))&amp;". ")&amp;IF(LEN(IF(LEN(INDEX('Checks'!$G$4:$G$503,_calc!$E$71))=0,"",INDEX('Checks'!$G$4:$G$503,_calc!$E$71)))=0,"","Checked by: "&amp;IF(LEN(INDEX('Checks'!$G$4:$G$503,_calc!$E$71))=0,"",INDEX('Checks'!$G$4:$G$503,_calc!$E$71))&amp;". ")&amp;IF(LEN(IF(LEN(INDEX('Checks'!$Q$4:$Q$503,_calc!$E$71))=0,"",INDEX('Checks'!$Q$4:$Q$503,_calc!$E$71)))=0,"",IF(LEN(INDEX('Checks'!$Q$4:$Q$503,_calc!$E$71))=0,"",INDEX('Checks'!$Q$4:$Q$503,_calc!$E$71)))))</f>
        <v/>
      </c>
      <c r="G69" s="43">
        <f>IF(_calc!$E$71="","",IF(LEN(INDEX('Checks'!$P$4:$P$503,_calc!$E$71))=0,"",INDEX('Checks'!$P$4:$P$503,_calc!$E$71)))</f>
        <v/>
      </c>
      <c r="K69" s="43">
        <f>IF(_calc!$E$71="","",IF(LEN(INDEX('Checks'!$O$4:$O$503,_calc!$E$71))=0,"",INDEX('Checks'!$O$4:$O$503,_calc!$E$71)))</f>
        <v/>
      </c>
    </row>
    <row r="70">
      <c r="A70" s="43">
        <f>IF(_calc!$E$72="","","Right to work follow-up – "&amp;IF(LEN(INDEX('Checks'!$A$4:$A$503,_calc!$E$72))=0,"",INDEX('Checks'!$A$4:$A$503,_calc!$E$72)))</f>
        <v/>
      </c>
      <c r="B70" s="43">
        <f>IF(_calc!$E$72="","",IF(ISNUMBER(INDEX('Checks'!$H$4:$H$503,_calc!$E$72)),TEXT(INDEX('Checks'!$H$4:$H$503,_calc!$E$72),"yyyy-mm-dd"),""))</f>
        <v/>
      </c>
      <c r="C70" s="43">
        <f>IF(_calc!$E$72="","","Right to work")</f>
        <v/>
      </c>
      <c r="D70" s="43">
        <f>IF(_calc!$E$72="","",IF(ISNUMBER(INDEX('Checks'!$F$4:$F$503,_calc!$E$72)),TEXT(INDEX('Checks'!$F$4:$F$503,_calc!$E$72),"yyyy-mm-dd"),""))</f>
        <v/>
      </c>
      <c r="E70" s="43">
        <f>IF(_calc!$E$72="","","High")</f>
        <v/>
      </c>
      <c r="F70" s="43">
        <f>IF(_calc!$E$72="","",TRIM(IF(LEN(IF(LEN(INDEX('Checks'!$B$4:$B$503,_calc!$E$72))=0,"",INDEX('Checks'!$B$4:$B$503,_calc!$E$72)))=0,"","Role: "&amp;IF(LEN(INDEX('Checks'!$B$4:$B$503,_calc!$E$72))=0,"",INDEX('Checks'!$B$4:$B$503,_calc!$E$72))&amp;". ")&amp;IF(LEN(IF(LEN(INDEX('Checks'!$D$4:$D$503,_calc!$E$72))=0,"",INDEX('Checks'!$D$4:$D$503,_calc!$E$72)))=0,"","Check type: "&amp;IF(LEN(INDEX('Checks'!$D$4:$D$503,_calc!$E$72))=0,"",INDEX('Checks'!$D$4:$D$503,_calc!$E$72))&amp;". ")&amp;IF(LEN(IF(LEN(INDEX('Checks'!$E$4:$E$503,_calc!$E$72))=0,"",INDEX('Checks'!$E$4:$E$503,_calc!$E$72)))=0,"","Evidence: "&amp;IF(LEN(INDEX('Checks'!$E$4:$E$503,_calc!$E$72))=0,"",INDEX('Checks'!$E$4:$E$503,_calc!$E$72))&amp;". ")&amp;IF(LEN(IF(LEN(INDEX('Checks'!$G$4:$G$503,_calc!$E$72))=0,"",INDEX('Checks'!$G$4:$G$503,_calc!$E$72)))=0,"","Checked by: "&amp;IF(LEN(INDEX('Checks'!$G$4:$G$503,_calc!$E$72))=0,"",INDEX('Checks'!$G$4:$G$503,_calc!$E$72))&amp;". ")&amp;IF(LEN(IF(LEN(INDEX('Checks'!$Q$4:$Q$503,_calc!$E$72))=0,"",INDEX('Checks'!$Q$4:$Q$503,_calc!$E$72)))=0,"",IF(LEN(INDEX('Checks'!$Q$4:$Q$503,_calc!$E$72))=0,"",INDEX('Checks'!$Q$4:$Q$503,_calc!$E$72)))))</f>
        <v/>
      </c>
      <c r="G70" s="43">
        <f>IF(_calc!$E$72="","",IF(LEN(INDEX('Checks'!$P$4:$P$503,_calc!$E$72))=0,"",INDEX('Checks'!$P$4:$P$503,_calc!$E$72)))</f>
        <v/>
      </c>
      <c r="K70" s="43">
        <f>IF(_calc!$E$72="","",IF(LEN(INDEX('Checks'!$O$4:$O$503,_calc!$E$72))=0,"",INDEX('Checks'!$O$4:$O$503,_calc!$E$72)))</f>
        <v/>
      </c>
    </row>
    <row r="71">
      <c r="A71" s="43">
        <f>IF(_calc!$E$73="","","Right to work follow-up – "&amp;IF(LEN(INDEX('Checks'!$A$4:$A$503,_calc!$E$73))=0,"",INDEX('Checks'!$A$4:$A$503,_calc!$E$73)))</f>
        <v/>
      </c>
      <c r="B71" s="43">
        <f>IF(_calc!$E$73="","",IF(ISNUMBER(INDEX('Checks'!$H$4:$H$503,_calc!$E$73)),TEXT(INDEX('Checks'!$H$4:$H$503,_calc!$E$73),"yyyy-mm-dd"),""))</f>
        <v/>
      </c>
      <c r="C71" s="43">
        <f>IF(_calc!$E$73="","","Right to work")</f>
        <v/>
      </c>
      <c r="D71" s="43">
        <f>IF(_calc!$E$73="","",IF(ISNUMBER(INDEX('Checks'!$F$4:$F$503,_calc!$E$73)),TEXT(INDEX('Checks'!$F$4:$F$503,_calc!$E$73),"yyyy-mm-dd"),""))</f>
        <v/>
      </c>
      <c r="E71" s="43">
        <f>IF(_calc!$E$73="","","High")</f>
        <v/>
      </c>
      <c r="F71" s="43">
        <f>IF(_calc!$E$73="","",TRIM(IF(LEN(IF(LEN(INDEX('Checks'!$B$4:$B$503,_calc!$E$73))=0,"",INDEX('Checks'!$B$4:$B$503,_calc!$E$73)))=0,"","Role: "&amp;IF(LEN(INDEX('Checks'!$B$4:$B$503,_calc!$E$73))=0,"",INDEX('Checks'!$B$4:$B$503,_calc!$E$73))&amp;". ")&amp;IF(LEN(IF(LEN(INDEX('Checks'!$D$4:$D$503,_calc!$E$73))=0,"",INDEX('Checks'!$D$4:$D$503,_calc!$E$73)))=0,"","Check type: "&amp;IF(LEN(INDEX('Checks'!$D$4:$D$503,_calc!$E$73))=0,"",INDEX('Checks'!$D$4:$D$503,_calc!$E$73))&amp;". ")&amp;IF(LEN(IF(LEN(INDEX('Checks'!$E$4:$E$503,_calc!$E$73))=0,"",INDEX('Checks'!$E$4:$E$503,_calc!$E$73)))=0,"","Evidence: "&amp;IF(LEN(INDEX('Checks'!$E$4:$E$503,_calc!$E$73))=0,"",INDEX('Checks'!$E$4:$E$503,_calc!$E$73))&amp;". ")&amp;IF(LEN(IF(LEN(INDEX('Checks'!$G$4:$G$503,_calc!$E$73))=0,"",INDEX('Checks'!$G$4:$G$503,_calc!$E$73)))=0,"","Checked by: "&amp;IF(LEN(INDEX('Checks'!$G$4:$G$503,_calc!$E$73))=0,"",INDEX('Checks'!$G$4:$G$503,_calc!$E$73))&amp;". ")&amp;IF(LEN(IF(LEN(INDEX('Checks'!$Q$4:$Q$503,_calc!$E$73))=0,"",INDEX('Checks'!$Q$4:$Q$503,_calc!$E$73)))=0,"",IF(LEN(INDEX('Checks'!$Q$4:$Q$503,_calc!$E$73))=0,"",INDEX('Checks'!$Q$4:$Q$503,_calc!$E$73)))))</f>
        <v/>
      </c>
      <c r="G71" s="43">
        <f>IF(_calc!$E$73="","",IF(LEN(INDEX('Checks'!$P$4:$P$503,_calc!$E$73))=0,"",INDEX('Checks'!$P$4:$P$503,_calc!$E$73)))</f>
        <v/>
      </c>
      <c r="K71" s="43">
        <f>IF(_calc!$E$73="","",IF(LEN(INDEX('Checks'!$O$4:$O$503,_calc!$E$73))=0,"",INDEX('Checks'!$O$4:$O$503,_calc!$E$73)))</f>
        <v/>
      </c>
    </row>
    <row r="72">
      <c r="A72" s="43">
        <f>IF(_calc!$E$74="","","Right to work follow-up – "&amp;IF(LEN(INDEX('Checks'!$A$4:$A$503,_calc!$E$74))=0,"",INDEX('Checks'!$A$4:$A$503,_calc!$E$74)))</f>
        <v/>
      </c>
      <c r="B72" s="43">
        <f>IF(_calc!$E$74="","",IF(ISNUMBER(INDEX('Checks'!$H$4:$H$503,_calc!$E$74)),TEXT(INDEX('Checks'!$H$4:$H$503,_calc!$E$74),"yyyy-mm-dd"),""))</f>
        <v/>
      </c>
      <c r="C72" s="43">
        <f>IF(_calc!$E$74="","","Right to work")</f>
        <v/>
      </c>
      <c r="D72" s="43">
        <f>IF(_calc!$E$74="","",IF(ISNUMBER(INDEX('Checks'!$F$4:$F$503,_calc!$E$74)),TEXT(INDEX('Checks'!$F$4:$F$503,_calc!$E$74),"yyyy-mm-dd"),""))</f>
        <v/>
      </c>
      <c r="E72" s="43">
        <f>IF(_calc!$E$74="","","High")</f>
        <v/>
      </c>
      <c r="F72" s="43">
        <f>IF(_calc!$E$74="","",TRIM(IF(LEN(IF(LEN(INDEX('Checks'!$B$4:$B$503,_calc!$E$74))=0,"",INDEX('Checks'!$B$4:$B$503,_calc!$E$74)))=0,"","Role: "&amp;IF(LEN(INDEX('Checks'!$B$4:$B$503,_calc!$E$74))=0,"",INDEX('Checks'!$B$4:$B$503,_calc!$E$74))&amp;". ")&amp;IF(LEN(IF(LEN(INDEX('Checks'!$D$4:$D$503,_calc!$E$74))=0,"",INDEX('Checks'!$D$4:$D$503,_calc!$E$74)))=0,"","Check type: "&amp;IF(LEN(INDEX('Checks'!$D$4:$D$503,_calc!$E$74))=0,"",INDEX('Checks'!$D$4:$D$503,_calc!$E$74))&amp;". ")&amp;IF(LEN(IF(LEN(INDEX('Checks'!$E$4:$E$503,_calc!$E$74))=0,"",INDEX('Checks'!$E$4:$E$503,_calc!$E$74)))=0,"","Evidence: "&amp;IF(LEN(INDEX('Checks'!$E$4:$E$503,_calc!$E$74))=0,"",INDEX('Checks'!$E$4:$E$503,_calc!$E$74))&amp;". ")&amp;IF(LEN(IF(LEN(INDEX('Checks'!$G$4:$G$503,_calc!$E$74))=0,"",INDEX('Checks'!$G$4:$G$503,_calc!$E$74)))=0,"","Checked by: "&amp;IF(LEN(INDEX('Checks'!$G$4:$G$503,_calc!$E$74))=0,"",INDEX('Checks'!$G$4:$G$503,_calc!$E$74))&amp;". ")&amp;IF(LEN(IF(LEN(INDEX('Checks'!$Q$4:$Q$503,_calc!$E$74))=0,"",INDEX('Checks'!$Q$4:$Q$503,_calc!$E$74)))=0,"",IF(LEN(INDEX('Checks'!$Q$4:$Q$503,_calc!$E$74))=0,"",INDEX('Checks'!$Q$4:$Q$503,_calc!$E$74)))))</f>
        <v/>
      </c>
      <c r="G72" s="43">
        <f>IF(_calc!$E$74="","",IF(LEN(INDEX('Checks'!$P$4:$P$503,_calc!$E$74))=0,"",INDEX('Checks'!$P$4:$P$503,_calc!$E$74)))</f>
        <v/>
      </c>
      <c r="K72" s="43">
        <f>IF(_calc!$E$74="","",IF(LEN(INDEX('Checks'!$O$4:$O$503,_calc!$E$74))=0,"",INDEX('Checks'!$O$4:$O$503,_calc!$E$74)))</f>
        <v/>
      </c>
    </row>
    <row r="73">
      <c r="A73" s="43">
        <f>IF(_calc!$E$75="","","Right to work follow-up – "&amp;IF(LEN(INDEX('Checks'!$A$4:$A$503,_calc!$E$75))=0,"",INDEX('Checks'!$A$4:$A$503,_calc!$E$75)))</f>
        <v/>
      </c>
      <c r="B73" s="43">
        <f>IF(_calc!$E$75="","",IF(ISNUMBER(INDEX('Checks'!$H$4:$H$503,_calc!$E$75)),TEXT(INDEX('Checks'!$H$4:$H$503,_calc!$E$75),"yyyy-mm-dd"),""))</f>
        <v/>
      </c>
      <c r="C73" s="43">
        <f>IF(_calc!$E$75="","","Right to work")</f>
        <v/>
      </c>
      <c r="D73" s="43">
        <f>IF(_calc!$E$75="","",IF(ISNUMBER(INDEX('Checks'!$F$4:$F$503,_calc!$E$75)),TEXT(INDEX('Checks'!$F$4:$F$503,_calc!$E$75),"yyyy-mm-dd"),""))</f>
        <v/>
      </c>
      <c r="E73" s="43">
        <f>IF(_calc!$E$75="","","High")</f>
        <v/>
      </c>
      <c r="F73" s="43">
        <f>IF(_calc!$E$75="","",TRIM(IF(LEN(IF(LEN(INDEX('Checks'!$B$4:$B$503,_calc!$E$75))=0,"",INDEX('Checks'!$B$4:$B$503,_calc!$E$75)))=0,"","Role: "&amp;IF(LEN(INDEX('Checks'!$B$4:$B$503,_calc!$E$75))=0,"",INDEX('Checks'!$B$4:$B$503,_calc!$E$75))&amp;". ")&amp;IF(LEN(IF(LEN(INDEX('Checks'!$D$4:$D$503,_calc!$E$75))=0,"",INDEX('Checks'!$D$4:$D$503,_calc!$E$75)))=0,"","Check type: "&amp;IF(LEN(INDEX('Checks'!$D$4:$D$503,_calc!$E$75))=0,"",INDEX('Checks'!$D$4:$D$503,_calc!$E$75))&amp;". ")&amp;IF(LEN(IF(LEN(INDEX('Checks'!$E$4:$E$503,_calc!$E$75))=0,"",INDEX('Checks'!$E$4:$E$503,_calc!$E$75)))=0,"","Evidence: "&amp;IF(LEN(INDEX('Checks'!$E$4:$E$503,_calc!$E$75))=0,"",INDEX('Checks'!$E$4:$E$503,_calc!$E$75))&amp;". ")&amp;IF(LEN(IF(LEN(INDEX('Checks'!$G$4:$G$503,_calc!$E$75))=0,"",INDEX('Checks'!$G$4:$G$503,_calc!$E$75)))=0,"","Checked by: "&amp;IF(LEN(INDEX('Checks'!$G$4:$G$503,_calc!$E$75))=0,"",INDEX('Checks'!$G$4:$G$503,_calc!$E$75))&amp;". ")&amp;IF(LEN(IF(LEN(INDEX('Checks'!$Q$4:$Q$503,_calc!$E$75))=0,"",INDEX('Checks'!$Q$4:$Q$503,_calc!$E$75)))=0,"",IF(LEN(INDEX('Checks'!$Q$4:$Q$503,_calc!$E$75))=0,"",INDEX('Checks'!$Q$4:$Q$503,_calc!$E$75)))))</f>
        <v/>
      </c>
      <c r="G73" s="43">
        <f>IF(_calc!$E$75="","",IF(LEN(INDEX('Checks'!$P$4:$P$503,_calc!$E$75))=0,"",INDEX('Checks'!$P$4:$P$503,_calc!$E$75)))</f>
        <v/>
      </c>
      <c r="K73" s="43">
        <f>IF(_calc!$E$75="","",IF(LEN(INDEX('Checks'!$O$4:$O$503,_calc!$E$75))=0,"",INDEX('Checks'!$O$4:$O$503,_calc!$E$75)))</f>
        <v/>
      </c>
    </row>
    <row r="74">
      <c r="A74" s="43">
        <f>IF(_calc!$E$76="","","Right to work follow-up – "&amp;IF(LEN(INDEX('Checks'!$A$4:$A$503,_calc!$E$76))=0,"",INDEX('Checks'!$A$4:$A$503,_calc!$E$76)))</f>
        <v/>
      </c>
      <c r="B74" s="43">
        <f>IF(_calc!$E$76="","",IF(ISNUMBER(INDEX('Checks'!$H$4:$H$503,_calc!$E$76)),TEXT(INDEX('Checks'!$H$4:$H$503,_calc!$E$76),"yyyy-mm-dd"),""))</f>
        <v/>
      </c>
      <c r="C74" s="43">
        <f>IF(_calc!$E$76="","","Right to work")</f>
        <v/>
      </c>
      <c r="D74" s="43">
        <f>IF(_calc!$E$76="","",IF(ISNUMBER(INDEX('Checks'!$F$4:$F$503,_calc!$E$76)),TEXT(INDEX('Checks'!$F$4:$F$503,_calc!$E$76),"yyyy-mm-dd"),""))</f>
        <v/>
      </c>
      <c r="E74" s="43">
        <f>IF(_calc!$E$76="","","High")</f>
        <v/>
      </c>
      <c r="F74" s="43">
        <f>IF(_calc!$E$76="","",TRIM(IF(LEN(IF(LEN(INDEX('Checks'!$B$4:$B$503,_calc!$E$76))=0,"",INDEX('Checks'!$B$4:$B$503,_calc!$E$76)))=0,"","Role: "&amp;IF(LEN(INDEX('Checks'!$B$4:$B$503,_calc!$E$76))=0,"",INDEX('Checks'!$B$4:$B$503,_calc!$E$76))&amp;". ")&amp;IF(LEN(IF(LEN(INDEX('Checks'!$D$4:$D$503,_calc!$E$76))=0,"",INDEX('Checks'!$D$4:$D$503,_calc!$E$76)))=0,"","Check type: "&amp;IF(LEN(INDEX('Checks'!$D$4:$D$503,_calc!$E$76))=0,"",INDEX('Checks'!$D$4:$D$503,_calc!$E$76))&amp;". ")&amp;IF(LEN(IF(LEN(INDEX('Checks'!$E$4:$E$503,_calc!$E$76))=0,"",INDEX('Checks'!$E$4:$E$503,_calc!$E$76)))=0,"","Evidence: "&amp;IF(LEN(INDEX('Checks'!$E$4:$E$503,_calc!$E$76))=0,"",INDEX('Checks'!$E$4:$E$503,_calc!$E$76))&amp;". ")&amp;IF(LEN(IF(LEN(INDEX('Checks'!$G$4:$G$503,_calc!$E$76))=0,"",INDEX('Checks'!$G$4:$G$503,_calc!$E$76)))=0,"","Checked by: "&amp;IF(LEN(INDEX('Checks'!$G$4:$G$503,_calc!$E$76))=0,"",INDEX('Checks'!$G$4:$G$503,_calc!$E$76))&amp;". ")&amp;IF(LEN(IF(LEN(INDEX('Checks'!$Q$4:$Q$503,_calc!$E$76))=0,"",INDEX('Checks'!$Q$4:$Q$503,_calc!$E$76)))=0,"",IF(LEN(INDEX('Checks'!$Q$4:$Q$503,_calc!$E$76))=0,"",INDEX('Checks'!$Q$4:$Q$503,_calc!$E$76)))))</f>
        <v/>
      </c>
      <c r="G74" s="43">
        <f>IF(_calc!$E$76="","",IF(LEN(INDEX('Checks'!$P$4:$P$503,_calc!$E$76))=0,"",INDEX('Checks'!$P$4:$P$503,_calc!$E$76)))</f>
        <v/>
      </c>
      <c r="K74" s="43">
        <f>IF(_calc!$E$76="","",IF(LEN(INDEX('Checks'!$O$4:$O$503,_calc!$E$76))=0,"",INDEX('Checks'!$O$4:$O$503,_calc!$E$76)))</f>
        <v/>
      </c>
    </row>
    <row r="75">
      <c r="A75" s="43">
        <f>IF(_calc!$E$77="","","Right to work follow-up – "&amp;IF(LEN(INDEX('Checks'!$A$4:$A$503,_calc!$E$77))=0,"",INDEX('Checks'!$A$4:$A$503,_calc!$E$77)))</f>
        <v/>
      </c>
      <c r="B75" s="43">
        <f>IF(_calc!$E$77="","",IF(ISNUMBER(INDEX('Checks'!$H$4:$H$503,_calc!$E$77)),TEXT(INDEX('Checks'!$H$4:$H$503,_calc!$E$77),"yyyy-mm-dd"),""))</f>
        <v/>
      </c>
      <c r="C75" s="43">
        <f>IF(_calc!$E$77="","","Right to work")</f>
        <v/>
      </c>
      <c r="D75" s="43">
        <f>IF(_calc!$E$77="","",IF(ISNUMBER(INDEX('Checks'!$F$4:$F$503,_calc!$E$77)),TEXT(INDEX('Checks'!$F$4:$F$503,_calc!$E$77),"yyyy-mm-dd"),""))</f>
        <v/>
      </c>
      <c r="E75" s="43">
        <f>IF(_calc!$E$77="","","High")</f>
        <v/>
      </c>
      <c r="F75" s="43">
        <f>IF(_calc!$E$77="","",TRIM(IF(LEN(IF(LEN(INDEX('Checks'!$B$4:$B$503,_calc!$E$77))=0,"",INDEX('Checks'!$B$4:$B$503,_calc!$E$77)))=0,"","Role: "&amp;IF(LEN(INDEX('Checks'!$B$4:$B$503,_calc!$E$77))=0,"",INDEX('Checks'!$B$4:$B$503,_calc!$E$77))&amp;". ")&amp;IF(LEN(IF(LEN(INDEX('Checks'!$D$4:$D$503,_calc!$E$77))=0,"",INDEX('Checks'!$D$4:$D$503,_calc!$E$77)))=0,"","Check type: "&amp;IF(LEN(INDEX('Checks'!$D$4:$D$503,_calc!$E$77))=0,"",INDEX('Checks'!$D$4:$D$503,_calc!$E$77))&amp;". ")&amp;IF(LEN(IF(LEN(INDEX('Checks'!$E$4:$E$503,_calc!$E$77))=0,"",INDEX('Checks'!$E$4:$E$503,_calc!$E$77)))=0,"","Evidence: "&amp;IF(LEN(INDEX('Checks'!$E$4:$E$503,_calc!$E$77))=0,"",INDEX('Checks'!$E$4:$E$503,_calc!$E$77))&amp;". ")&amp;IF(LEN(IF(LEN(INDEX('Checks'!$G$4:$G$503,_calc!$E$77))=0,"",INDEX('Checks'!$G$4:$G$503,_calc!$E$77)))=0,"","Checked by: "&amp;IF(LEN(INDEX('Checks'!$G$4:$G$503,_calc!$E$77))=0,"",INDEX('Checks'!$G$4:$G$503,_calc!$E$77))&amp;". ")&amp;IF(LEN(IF(LEN(INDEX('Checks'!$Q$4:$Q$503,_calc!$E$77))=0,"",INDEX('Checks'!$Q$4:$Q$503,_calc!$E$77)))=0,"",IF(LEN(INDEX('Checks'!$Q$4:$Q$503,_calc!$E$77))=0,"",INDEX('Checks'!$Q$4:$Q$503,_calc!$E$77)))))</f>
        <v/>
      </c>
      <c r="G75" s="43">
        <f>IF(_calc!$E$77="","",IF(LEN(INDEX('Checks'!$P$4:$P$503,_calc!$E$77))=0,"",INDEX('Checks'!$P$4:$P$503,_calc!$E$77)))</f>
        <v/>
      </c>
      <c r="K75" s="43">
        <f>IF(_calc!$E$77="","",IF(LEN(INDEX('Checks'!$O$4:$O$503,_calc!$E$77))=0,"",INDEX('Checks'!$O$4:$O$503,_calc!$E$77)))</f>
        <v/>
      </c>
    </row>
    <row r="76">
      <c r="A76" s="43">
        <f>IF(_calc!$E$78="","","Right to work follow-up – "&amp;IF(LEN(INDEX('Checks'!$A$4:$A$503,_calc!$E$78))=0,"",INDEX('Checks'!$A$4:$A$503,_calc!$E$78)))</f>
        <v/>
      </c>
      <c r="B76" s="43">
        <f>IF(_calc!$E$78="","",IF(ISNUMBER(INDEX('Checks'!$H$4:$H$503,_calc!$E$78)),TEXT(INDEX('Checks'!$H$4:$H$503,_calc!$E$78),"yyyy-mm-dd"),""))</f>
        <v/>
      </c>
      <c r="C76" s="43">
        <f>IF(_calc!$E$78="","","Right to work")</f>
        <v/>
      </c>
      <c r="D76" s="43">
        <f>IF(_calc!$E$78="","",IF(ISNUMBER(INDEX('Checks'!$F$4:$F$503,_calc!$E$78)),TEXT(INDEX('Checks'!$F$4:$F$503,_calc!$E$78),"yyyy-mm-dd"),""))</f>
        <v/>
      </c>
      <c r="E76" s="43">
        <f>IF(_calc!$E$78="","","High")</f>
        <v/>
      </c>
      <c r="F76" s="43">
        <f>IF(_calc!$E$78="","",TRIM(IF(LEN(IF(LEN(INDEX('Checks'!$B$4:$B$503,_calc!$E$78))=0,"",INDEX('Checks'!$B$4:$B$503,_calc!$E$78)))=0,"","Role: "&amp;IF(LEN(INDEX('Checks'!$B$4:$B$503,_calc!$E$78))=0,"",INDEX('Checks'!$B$4:$B$503,_calc!$E$78))&amp;". ")&amp;IF(LEN(IF(LEN(INDEX('Checks'!$D$4:$D$503,_calc!$E$78))=0,"",INDEX('Checks'!$D$4:$D$503,_calc!$E$78)))=0,"","Check type: "&amp;IF(LEN(INDEX('Checks'!$D$4:$D$503,_calc!$E$78))=0,"",INDEX('Checks'!$D$4:$D$503,_calc!$E$78))&amp;". ")&amp;IF(LEN(IF(LEN(INDEX('Checks'!$E$4:$E$503,_calc!$E$78))=0,"",INDEX('Checks'!$E$4:$E$503,_calc!$E$78)))=0,"","Evidence: "&amp;IF(LEN(INDEX('Checks'!$E$4:$E$503,_calc!$E$78))=0,"",INDEX('Checks'!$E$4:$E$503,_calc!$E$78))&amp;". ")&amp;IF(LEN(IF(LEN(INDEX('Checks'!$G$4:$G$503,_calc!$E$78))=0,"",INDEX('Checks'!$G$4:$G$503,_calc!$E$78)))=0,"","Checked by: "&amp;IF(LEN(INDEX('Checks'!$G$4:$G$503,_calc!$E$78))=0,"",INDEX('Checks'!$G$4:$G$503,_calc!$E$78))&amp;". ")&amp;IF(LEN(IF(LEN(INDEX('Checks'!$Q$4:$Q$503,_calc!$E$78))=0,"",INDEX('Checks'!$Q$4:$Q$503,_calc!$E$78)))=0,"",IF(LEN(INDEX('Checks'!$Q$4:$Q$503,_calc!$E$78))=0,"",INDEX('Checks'!$Q$4:$Q$503,_calc!$E$78)))))</f>
        <v/>
      </c>
      <c r="G76" s="43">
        <f>IF(_calc!$E$78="","",IF(LEN(INDEX('Checks'!$P$4:$P$503,_calc!$E$78))=0,"",INDEX('Checks'!$P$4:$P$503,_calc!$E$78)))</f>
        <v/>
      </c>
      <c r="K76" s="43">
        <f>IF(_calc!$E$78="","",IF(LEN(INDEX('Checks'!$O$4:$O$503,_calc!$E$78))=0,"",INDEX('Checks'!$O$4:$O$503,_calc!$E$78)))</f>
        <v/>
      </c>
    </row>
    <row r="77">
      <c r="A77" s="43">
        <f>IF(_calc!$E$79="","","Right to work follow-up – "&amp;IF(LEN(INDEX('Checks'!$A$4:$A$503,_calc!$E$79))=0,"",INDEX('Checks'!$A$4:$A$503,_calc!$E$79)))</f>
        <v/>
      </c>
      <c r="B77" s="43">
        <f>IF(_calc!$E$79="","",IF(ISNUMBER(INDEX('Checks'!$H$4:$H$503,_calc!$E$79)),TEXT(INDEX('Checks'!$H$4:$H$503,_calc!$E$79),"yyyy-mm-dd"),""))</f>
        <v/>
      </c>
      <c r="C77" s="43">
        <f>IF(_calc!$E$79="","","Right to work")</f>
        <v/>
      </c>
      <c r="D77" s="43">
        <f>IF(_calc!$E$79="","",IF(ISNUMBER(INDEX('Checks'!$F$4:$F$503,_calc!$E$79)),TEXT(INDEX('Checks'!$F$4:$F$503,_calc!$E$79),"yyyy-mm-dd"),""))</f>
        <v/>
      </c>
      <c r="E77" s="43">
        <f>IF(_calc!$E$79="","","High")</f>
        <v/>
      </c>
      <c r="F77" s="43">
        <f>IF(_calc!$E$79="","",TRIM(IF(LEN(IF(LEN(INDEX('Checks'!$B$4:$B$503,_calc!$E$79))=0,"",INDEX('Checks'!$B$4:$B$503,_calc!$E$79)))=0,"","Role: "&amp;IF(LEN(INDEX('Checks'!$B$4:$B$503,_calc!$E$79))=0,"",INDEX('Checks'!$B$4:$B$503,_calc!$E$79))&amp;". ")&amp;IF(LEN(IF(LEN(INDEX('Checks'!$D$4:$D$503,_calc!$E$79))=0,"",INDEX('Checks'!$D$4:$D$503,_calc!$E$79)))=0,"","Check type: "&amp;IF(LEN(INDEX('Checks'!$D$4:$D$503,_calc!$E$79))=0,"",INDEX('Checks'!$D$4:$D$503,_calc!$E$79))&amp;". ")&amp;IF(LEN(IF(LEN(INDEX('Checks'!$E$4:$E$503,_calc!$E$79))=0,"",INDEX('Checks'!$E$4:$E$503,_calc!$E$79)))=0,"","Evidence: "&amp;IF(LEN(INDEX('Checks'!$E$4:$E$503,_calc!$E$79))=0,"",INDEX('Checks'!$E$4:$E$503,_calc!$E$79))&amp;". ")&amp;IF(LEN(IF(LEN(INDEX('Checks'!$G$4:$G$503,_calc!$E$79))=0,"",INDEX('Checks'!$G$4:$G$503,_calc!$E$79)))=0,"","Checked by: "&amp;IF(LEN(INDEX('Checks'!$G$4:$G$503,_calc!$E$79))=0,"",INDEX('Checks'!$G$4:$G$503,_calc!$E$79))&amp;". ")&amp;IF(LEN(IF(LEN(INDEX('Checks'!$Q$4:$Q$503,_calc!$E$79))=0,"",INDEX('Checks'!$Q$4:$Q$503,_calc!$E$79)))=0,"",IF(LEN(INDEX('Checks'!$Q$4:$Q$503,_calc!$E$79))=0,"",INDEX('Checks'!$Q$4:$Q$503,_calc!$E$79)))))</f>
        <v/>
      </c>
      <c r="G77" s="43">
        <f>IF(_calc!$E$79="","",IF(LEN(INDEX('Checks'!$P$4:$P$503,_calc!$E$79))=0,"",INDEX('Checks'!$P$4:$P$503,_calc!$E$79)))</f>
        <v/>
      </c>
      <c r="K77" s="43">
        <f>IF(_calc!$E$79="","",IF(LEN(INDEX('Checks'!$O$4:$O$503,_calc!$E$79))=0,"",INDEX('Checks'!$O$4:$O$503,_calc!$E$79)))</f>
        <v/>
      </c>
    </row>
    <row r="78">
      <c r="A78" s="43">
        <f>IF(_calc!$E$80="","","Right to work follow-up – "&amp;IF(LEN(INDEX('Checks'!$A$4:$A$503,_calc!$E$80))=0,"",INDEX('Checks'!$A$4:$A$503,_calc!$E$80)))</f>
        <v/>
      </c>
      <c r="B78" s="43">
        <f>IF(_calc!$E$80="","",IF(ISNUMBER(INDEX('Checks'!$H$4:$H$503,_calc!$E$80)),TEXT(INDEX('Checks'!$H$4:$H$503,_calc!$E$80),"yyyy-mm-dd"),""))</f>
        <v/>
      </c>
      <c r="C78" s="43">
        <f>IF(_calc!$E$80="","","Right to work")</f>
        <v/>
      </c>
      <c r="D78" s="43">
        <f>IF(_calc!$E$80="","",IF(ISNUMBER(INDEX('Checks'!$F$4:$F$503,_calc!$E$80)),TEXT(INDEX('Checks'!$F$4:$F$503,_calc!$E$80),"yyyy-mm-dd"),""))</f>
        <v/>
      </c>
      <c r="E78" s="43">
        <f>IF(_calc!$E$80="","","High")</f>
        <v/>
      </c>
      <c r="F78" s="43">
        <f>IF(_calc!$E$80="","",TRIM(IF(LEN(IF(LEN(INDEX('Checks'!$B$4:$B$503,_calc!$E$80))=0,"",INDEX('Checks'!$B$4:$B$503,_calc!$E$80)))=0,"","Role: "&amp;IF(LEN(INDEX('Checks'!$B$4:$B$503,_calc!$E$80))=0,"",INDEX('Checks'!$B$4:$B$503,_calc!$E$80))&amp;". ")&amp;IF(LEN(IF(LEN(INDEX('Checks'!$D$4:$D$503,_calc!$E$80))=0,"",INDEX('Checks'!$D$4:$D$503,_calc!$E$80)))=0,"","Check type: "&amp;IF(LEN(INDEX('Checks'!$D$4:$D$503,_calc!$E$80))=0,"",INDEX('Checks'!$D$4:$D$503,_calc!$E$80))&amp;". ")&amp;IF(LEN(IF(LEN(INDEX('Checks'!$E$4:$E$503,_calc!$E$80))=0,"",INDEX('Checks'!$E$4:$E$503,_calc!$E$80)))=0,"","Evidence: "&amp;IF(LEN(INDEX('Checks'!$E$4:$E$503,_calc!$E$80))=0,"",INDEX('Checks'!$E$4:$E$503,_calc!$E$80))&amp;". ")&amp;IF(LEN(IF(LEN(INDEX('Checks'!$G$4:$G$503,_calc!$E$80))=0,"",INDEX('Checks'!$G$4:$G$503,_calc!$E$80)))=0,"","Checked by: "&amp;IF(LEN(INDEX('Checks'!$G$4:$G$503,_calc!$E$80))=0,"",INDEX('Checks'!$G$4:$G$503,_calc!$E$80))&amp;". ")&amp;IF(LEN(IF(LEN(INDEX('Checks'!$Q$4:$Q$503,_calc!$E$80))=0,"",INDEX('Checks'!$Q$4:$Q$503,_calc!$E$80)))=0,"",IF(LEN(INDEX('Checks'!$Q$4:$Q$503,_calc!$E$80))=0,"",INDEX('Checks'!$Q$4:$Q$503,_calc!$E$80)))))</f>
        <v/>
      </c>
      <c r="G78" s="43">
        <f>IF(_calc!$E$80="","",IF(LEN(INDEX('Checks'!$P$4:$P$503,_calc!$E$80))=0,"",INDEX('Checks'!$P$4:$P$503,_calc!$E$80)))</f>
        <v/>
      </c>
      <c r="K78" s="43">
        <f>IF(_calc!$E$80="","",IF(LEN(INDEX('Checks'!$O$4:$O$503,_calc!$E$80))=0,"",INDEX('Checks'!$O$4:$O$503,_calc!$E$80)))</f>
        <v/>
      </c>
    </row>
    <row r="79">
      <c r="A79" s="43">
        <f>IF(_calc!$E$81="","","Right to work follow-up – "&amp;IF(LEN(INDEX('Checks'!$A$4:$A$503,_calc!$E$81))=0,"",INDEX('Checks'!$A$4:$A$503,_calc!$E$81)))</f>
        <v/>
      </c>
      <c r="B79" s="43">
        <f>IF(_calc!$E$81="","",IF(ISNUMBER(INDEX('Checks'!$H$4:$H$503,_calc!$E$81)),TEXT(INDEX('Checks'!$H$4:$H$503,_calc!$E$81),"yyyy-mm-dd"),""))</f>
        <v/>
      </c>
      <c r="C79" s="43">
        <f>IF(_calc!$E$81="","","Right to work")</f>
        <v/>
      </c>
      <c r="D79" s="43">
        <f>IF(_calc!$E$81="","",IF(ISNUMBER(INDEX('Checks'!$F$4:$F$503,_calc!$E$81)),TEXT(INDEX('Checks'!$F$4:$F$503,_calc!$E$81),"yyyy-mm-dd"),""))</f>
        <v/>
      </c>
      <c r="E79" s="43">
        <f>IF(_calc!$E$81="","","High")</f>
        <v/>
      </c>
      <c r="F79" s="43">
        <f>IF(_calc!$E$81="","",TRIM(IF(LEN(IF(LEN(INDEX('Checks'!$B$4:$B$503,_calc!$E$81))=0,"",INDEX('Checks'!$B$4:$B$503,_calc!$E$81)))=0,"","Role: "&amp;IF(LEN(INDEX('Checks'!$B$4:$B$503,_calc!$E$81))=0,"",INDEX('Checks'!$B$4:$B$503,_calc!$E$81))&amp;". ")&amp;IF(LEN(IF(LEN(INDEX('Checks'!$D$4:$D$503,_calc!$E$81))=0,"",INDEX('Checks'!$D$4:$D$503,_calc!$E$81)))=0,"","Check type: "&amp;IF(LEN(INDEX('Checks'!$D$4:$D$503,_calc!$E$81))=0,"",INDEX('Checks'!$D$4:$D$503,_calc!$E$81))&amp;". ")&amp;IF(LEN(IF(LEN(INDEX('Checks'!$E$4:$E$503,_calc!$E$81))=0,"",INDEX('Checks'!$E$4:$E$503,_calc!$E$81)))=0,"","Evidence: "&amp;IF(LEN(INDEX('Checks'!$E$4:$E$503,_calc!$E$81))=0,"",INDEX('Checks'!$E$4:$E$503,_calc!$E$81))&amp;". ")&amp;IF(LEN(IF(LEN(INDEX('Checks'!$G$4:$G$503,_calc!$E$81))=0,"",INDEX('Checks'!$G$4:$G$503,_calc!$E$81)))=0,"","Checked by: "&amp;IF(LEN(INDEX('Checks'!$G$4:$G$503,_calc!$E$81))=0,"",INDEX('Checks'!$G$4:$G$503,_calc!$E$81))&amp;". ")&amp;IF(LEN(IF(LEN(INDEX('Checks'!$Q$4:$Q$503,_calc!$E$81))=0,"",INDEX('Checks'!$Q$4:$Q$503,_calc!$E$81)))=0,"",IF(LEN(INDEX('Checks'!$Q$4:$Q$503,_calc!$E$81))=0,"",INDEX('Checks'!$Q$4:$Q$503,_calc!$E$81)))))</f>
        <v/>
      </c>
      <c r="G79" s="43">
        <f>IF(_calc!$E$81="","",IF(LEN(INDEX('Checks'!$P$4:$P$503,_calc!$E$81))=0,"",INDEX('Checks'!$P$4:$P$503,_calc!$E$81)))</f>
        <v/>
      </c>
      <c r="K79" s="43">
        <f>IF(_calc!$E$81="","",IF(LEN(INDEX('Checks'!$O$4:$O$503,_calc!$E$81))=0,"",INDEX('Checks'!$O$4:$O$503,_calc!$E$81)))</f>
        <v/>
      </c>
    </row>
    <row r="80">
      <c r="A80" s="43">
        <f>IF(_calc!$E$82="","","Right to work follow-up – "&amp;IF(LEN(INDEX('Checks'!$A$4:$A$503,_calc!$E$82))=0,"",INDEX('Checks'!$A$4:$A$503,_calc!$E$82)))</f>
        <v/>
      </c>
      <c r="B80" s="43">
        <f>IF(_calc!$E$82="","",IF(ISNUMBER(INDEX('Checks'!$H$4:$H$503,_calc!$E$82)),TEXT(INDEX('Checks'!$H$4:$H$503,_calc!$E$82),"yyyy-mm-dd"),""))</f>
        <v/>
      </c>
      <c r="C80" s="43">
        <f>IF(_calc!$E$82="","","Right to work")</f>
        <v/>
      </c>
      <c r="D80" s="43">
        <f>IF(_calc!$E$82="","",IF(ISNUMBER(INDEX('Checks'!$F$4:$F$503,_calc!$E$82)),TEXT(INDEX('Checks'!$F$4:$F$503,_calc!$E$82),"yyyy-mm-dd"),""))</f>
        <v/>
      </c>
      <c r="E80" s="43">
        <f>IF(_calc!$E$82="","","High")</f>
        <v/>
      </c>
      <c r="F80" s="43">
        <f>IF(_calc!$E$82="","",TRIM(IF(LEN(IF(LEN(INDEX('Checks'!$B$4:$B$503,_calc!$E$82))=0,"",INDEX('Checks'!$B$4:$B$503,_calc!$E$82)))=0,"","Role: "&amp;IF(LEN(INDEX('Checks'!$B$4:$B$503,_calc!$E$82))=0,"",INDEX('Checks'!$B$4:$B$503,_calc!$E$82))&amp;". ")&amp;IF(LEN(IF(LEN(INDEX('Checks'!$D$4:$D$503,_calc!$E$82))=0,"",INDEX('Checks'!$D$4:$D$503,_calc!$E$82)))=0,"","Check type: "&amp;IF(LEN(INDEX('Checks'!$D$4:$D$503,_calc!$E$82))=0,"",INDEX('Checks'!$D$4:$D$503,_calc!$E$82))&amp;". ")&amp;IF(LEN(IF(LEN(INDEX('Checks'!$E$4:$E$503,_calc!$E$82))=0,"",INDEX('Checks'!$E$4:$E$503,_calc!$E$82)))=0,"","Evidence: "&amp;IF(LEN(INDEX('Checks'!$E$4:$E$503,_calc!$E$82))=0,"",INDEX('Checks'!$E$4:$E$503,_calc!$E$82))&amp;". ")&amp;IF(LEN(IF(LEN(INDEX('Checks'!$G$4:$G$503,_calc!$E$82))=0,"",INDEX('Checks'!$G$4:$G$503,_calc!$E$82)))=0,"","Checked by: "&amp;IF(LEN(INDEX('Checks'!$G$4:$G$503,_calc!$E$82))=0,"",INDEX('Checks'!$G$4:$G$503,_calc!$E$82))&amp;". ")&amp;IF(LEN(IF(LEN(INDEX('Checks'!$Q$4:$Q$503,_calc!$E$82))=0,"",INDEX('Checks'!$Q$4:$Q$503,_calc!$E$82)))=0,"",IF(LEN(INDEX('Checks'!$Q$4:$Q$503,_calc!$E$82))=0,"",INDEX('Checks'!$Q$4:$Q$503,_calc!$E$82)))))</f>
        <v/>
      </c>
      <c r="G80" s="43">
        <f>IF(_calc!$E$82="","",IF(LEN(INDEX('Checks'!$P$4:$P$503,_calc!$E$82))=0,"",INDEX('Checks'!$P$4:$P$503,_calc!$E$82)))</f>
        <v/>
      </c>
      <c r="K80" s="43">
        <f>IF(_calc!$E$82="","",IF(LEN(INDEX('Checks'!$O$4:$O$503,_calc!$E$82))=0,"",INDEX('Checks'!$O$4:$O$503,_calc!$E$82)))</f>
        <v/>
      </c>
    </row>
    <row r="81">
      <c r="A81" s="43">
        <f>IF(_calc!$E$83="","","Right to work follow-up – "&amp;IF(LEN(INDEX('Checks'!$A$4:$A$503,_calc!$E$83))=0,"",INDEX('Checks'!$A$4:$A$503,_calc!$E$83)))</f>
        <v/>
      </c>
      <c r="B81" s="43">
        <f>IF(_calc!$E$83="","",IF(ISNUMBER(INDEX('Checks'!$H$4:$H$503,_calc!$E$83)),TEXT(INDEX('Checks'!$H$4:$H$503,_calc!$E$83),"yyyy-mm-dd"),""))</f>
        <v/>
      </c>
      <c r="C81" s="43">
        <f>IF(_calc!$E$83="","","Right to work")</f>
        <v/>
      </c>
      <c r="D81" s="43">
        <f>IF(_calc!$E$83="","",IF(ISNUMBER(INDEX('Checks'!$F$4:$F$503,_calc!$E$83)),TEXT(INDEX('Checks'!$F$4:$F$503,_calc!$E$83),"yyyy-mm-dd"),""))</f>
        <v/>
      </c>
      <c r="E81" s="43">
        <f>IF(_calc!$E$83="","","High")</f>
        <v/>
      </c>
      <c r="F81" s="43">
        <f>IF(_calc!$E$83="","",TRIM(IF(LEN(IF(LEN(INDEX('Checks'!$B$4:$B$503,_calc!$E$83))=0,"",INDEX('Checks'!$B$4:$B$503,_calc!$E$83)))=0,"","Role: "&amp;IF(LEN(INDEX('Checks'!$B$4:$B$503,_calc!$E$83))=0,"",INDEX('Checks'!$B$4:$B$503,_calc!$E$83))&amp;". ")&amp;IF(LEN(IF(LEN(INDEX('Checks'!$D$4:$D$503,_calc!$E$83))=0,"",INDEX('Checks'!$D$4:$D$503,_calc!$E$83)))=0,"","Check type: "&amp;IF(LEN(INDEX('Checks'!$D$4:$D$503,_calc!$E$83))=0,"",INDEX('Checks'!$D$4:$D$503,_calc!$E$83))&amp;". ")&amp;IF(LEN(IF(LEN(INDEX('Checks'!$E$4:$E$503,_calc!$E$83))=0,"",INDEX('Checks'!$E$4:$E$503,_calc!$E$83)))=0,"","Evidence: "&amp;IF(LEN(INDEX('Checks'!$E$4:$E$503,_calc!$E$83))=0,"",INDEX('Checks'!$E$4:$E$503,_calc!$E$83))&amp;". ")&amp;IF(LEN(IF(LEN(INDEX('Checks'!$G$4:$G$503,_calc!$E$83))=0,"",INDEX('Checks'!$G$4:$G$503,_calc!$E$83)))=0,"","Checked by: "&amp;IF(LEN(INDEX('Checks'!$G$4:$G$503,_calc!$E$83))=0,"",INDEX('Checks'!$G$4:$G$503,_calc!$E$83))&amp;". ")&amp;IF(LEN(IF(LEN(INDEX('Checks'!$Q$4:$Q$503,_calc!$E$83))=0,"",INDEX('Checks'!$Q$4:$Q$503,_calc!$E$83)))=0,"",IF(LEN(INDEX('Checks'!$Q$4:$Q$503,_calc!$E$83))=0,"",INDEX('Checks'!$Q$4:$Q$503,_calc!$E$83)))))</f>
        <v/>
      </c>
      <c r="G81" s="43">
        <f>IF(_calc!$E$83="","",IF(LEN(INDEX('Checks'!$P$4:$P$503,_calc!$E$83))=0,"",INDEX('Checks'!$P$4:$P$503,_calc!$E$83)))</f>
        <v/>
      </c>
      <c r="K81" s="43">
        <f>IF(_calc!$E$83="","",IF(LEN(INDEX('Checks'!$O$4:$O$503,_calc!$E$83))=0,"",INDEX('Checks'!$O$4:$O$503,_calc!$E$83)))</f>
        <v/>
      </c>
    </row>
    <row r="82">
      <c r="A82" s="43">
        <f>IF(_calc!$E$84="","","Right to work follow-up – "&amp;IF(LEN(INDEX('Checks'!$A$4:$A$503,_calc!$E$84))=0,"",INDEX('Checks'!$A$4:$A$503,_calc!$E$84)))</f>
        <v/>
      </c>
      <c r="B82" s="43">
        <f>IF(_calc!$E$84="","",IF(ISNUMBER(INDEX('Checks'!$H$4:$H$503,_calc!$E$84)),TEXT(INDEX('Checks'!$H$4:$H$503,_calc!$E$84),"yyyy-mm-dd"),""))</f>
        <v/>
      </c>
      <c r="C82" s="43">
        <f>IF(_calc!$E$84="","","Right to work")</f>
        <v/>
      </c>
      <c r="D82" s="43">
        <f>IF(_calc!$E$84="","",IF(ISNUMBER(INDEX('Checks'!$F$4:$F$503,_calc!$E$84)),TEXT(INDEX('Checks'!$F$4:$F$503,_calc!$E$84),"yyyy-mm-dd"),""))</f>
        <v/>
      </c>
      <c r="E82" s="43">
        <f>IF(_calc!$E$84="","","High")</f>
        <v/>
      </c>
      <c r="F82" s="43">
        <f>IF(_calc!$E$84="","",TRIM(IF(LEN(IF(LEN(INDEX('Checks'!$B$4:$B$503,_calc!$E$84))=0,"",INDEX('Checks'!$B$4:$B$503,_calc!$E$84)))=0,"","Role: "&amp;IF(LEN(INDEX('Checks'!$B$4:$B$503,_calc!$E$84))=0,"",INDEX('Checks'!$B$4:$B$503,_calc!$E$84))&amp;". ")&amp;IF(LEN(IF(LEN(INDEX('Checks'!$D$4:$D$503,_calc!$E$84))=0,"",INDEX('Checks'!$D$4:$D$503,_calc!$E$84)))=0,"","Check type: "&amp;IF(LEN(INDEX('Checks'!$D$4:$D$503,_calc!$E$84))=0,"",INDEX('Checks'!$D$4:$D$503,_calc!$E$84))&amp;". ")&amp;IF(LEN(IF(LEN(INDEX('Checks'!$E$4:$E$503,_calc!$E$84))=0,"",INDEX('Checks'!$E$4:$E$503,_calc!$E$84)))=0,"","Evidence: "&amp;IF(LEN(INDEX('Checks'!$E$4:$E$503,_calc!$E$84))=0,"",INDEX('Checks'!$E$4:$E$503,_calc!$E$84))&amp;". ")&amp;IF(LEN(IF(LEN(INDEX('Checks'!$G$4:$G$503,_calc!$E$84))=0,"",INDEX('Checks'!$G$4:$G$503,_calc!$E$84)))=0,"","Checked by: "&amp;IF(LEN(INDEX('Checks'!$G$4:$G$503,_calc!$E$84))=0,"",INDEX('Checks'!$G$4:$G$503,_calc!$E$84))&amp;". ")&amp;IF(LEN(IF(LEN(INDEX('Checks'!$Q$4:$Q$503,_calc!$E$84))=0,"",INDEX('Checks'!$Q$4:$Q$503,_calc!$E$84)))=0,"",IF(LEN(INDEX('Checks'!$Q$4:$Q$503,_calc!$E$84))=0,"",INDEX('Checks'!$Q$4:$Q$503,_calc!$E$84)))))</f>
        <v/>
      </c>
      <c r="G82" s="43">
        <f>IF(_calc!$E$84="","",IF(LEN(INDEX('Checks'!$P$4:$P$503,_calc!$E$84))=0,"",INDEX('Checks'!$P$4:$P$503,_calc!$E$84)))</f>
        <v/>
      </c>
      <c r="K82" s="43">
        <f>IF(_calc!$E$84="","",IF(LEN(INDEX('Checks'!$O$4:$O$503,_calc!$E$84))=0,"",INDEX('Checks'!$O$4:$O$503,_calc!$E$84)))</f>
        <v/>
      </c>
    </row>
    <row r="83">
      <c r="A83" s="43">
        <f>IF(_calc!$E$85="","","Right to work follow-up – "&amp;IF(LEN(INDEX('Checks'!$A$4:$A$503,_calc!$E$85))=0,"",INDEX('Checks'!$A$4:$A$503,_calc!$E$85)))</f>
        <v/>
      </c>
      <c r="B83" s="43">
        <f>IF(_calc!$E$85="","",IF(ISNUMBER(INDEX('Checks'!$H$4:$H$503,_calc!$E$85)),TEXT(INDEX('Checks'!$H$4:$H$503,_calc!$E$85),"yyyy-mm-dd"),""))</f>
        <v/>
      </c>
      <c r="C83" s="43">
        <f>IF(_calc!$E$85="","","Right to work")</f>
        <v/>
      </c>
      <c r="D83" s="43">
        <f>IF(_calc!$E$85="","",IF(ISNUMBER(INDEX('Checks'!$F$4:$F$503,_calc!$E$85)),TEXT(INDEX('Checks'!$F$4:$F$503,_calc!$E$85),"yyyy-mm-dd"),""))</f>
        <v/>
      </c>
      <c r="E83" s="43">
        <f>IF(_calc!$E$85="","","High")</f>
        <v/>
      </c>
      <c r="F83" s="43">
        <f>IF(_calc!$E$85="","",TRIM(IF(LEN(IF(LEN(INDEX('Checks'!$B$4:$B$503,_calc!$E$85))=0,"",INDEX('Checks'!$B$4:$B$503,_calc!$E$85)))=0,"","Role: "&amp;IF(LEN(INDEX('Checks'!$B$4:$B$503,_calc!$E$85))=0,"",INDEX('Checks'!$B$4:$B$503,_calc!$E$85))&amp;". ")&amp;IF(LEN(IF(LEN(INDEX('Checks'!$D$4:$D$503,_calc!$E$85))=0,"",INDEX('Checks'!$D$4:$D$503,_calc!$E$85)))=0,"","Check type: "&amp;IF(LEN(INDEX('Checks'!$D$4:$D$503,_calc!$E$85))=0,"",INDEX('Checks'!$D$4:$D$503,_calc!$E$85))&amp;". ")&amp;IF(LEN(IF(LEN(INDEX('Checks'!$E$4:$E$503,_calc!$E$85))=0,"",INDEX('Checks'!$E$4:$E$503,_calc!$E$85)))=0,"","Evidence: "&amp;IF(LEN(INDEX('Checks'!$E$4:$E$503,_calc!$E$85))=0,"",INDEX('Checks'!$E$4:$E$503,_calc!$E$85))&amp;". ")&amp;IF(LEN(IF(LEN(INDEX('Checks'!$G$4:$G$503,_calc!$E$85))=0,"",INDEX('Checks'!$G$4:$G$503,_calc!$E$85)))=0,"","Checked by: "&amp;IF(LEN(INDEX('Checks'!$G$4:$G$503,_calc!$E$85))=0,"",INDEX('Checks'!$G$4:$G$503,_calc!$E$85))&amp;". ")&amp;IF(LEN(IF(LEN(INDEX('Checks'!$Q$4:$Q$503,_calc!$E$85))=0,"",INDEX('Checks'!$Q$4:$Q$503,_calc!$E$85)))=0,"",IF(LEN(INDEX('Checks'!$Q$4:$Q$503,_calc!$E$85))=0,"",INDEX('Checks'!$Q$4:$Q$503,_calc!$E$85)))))</f>
        <v/>
      </c>
      <c r="G83" s="43">
        <f>IF(_calc!$E$85="","",IF(LEN(INDEX('Checks'!$P$4:$P$503,_calc!$E$85))=0,"",INDEX('Checks'!$P$4:$P$503,_calc!$E$85)))</f>
        <v/>
      </c>
      <c r="K83" s="43">
        <f>IF(_calc!$E$85="","",IF(LEN(INDEX('Checks'!$O$4:$O$503,_calc!$E$85))=0,"",INDEX('Checks'!$O$4:$O$503,_calc!$E$85)))</f>
        <v/>
      </c>
    </row>
    <row r="84">
      <c r="A84" s="43">
        <f>IF(_calc!$E$86="","","Right to work follow-up – "&amp;IF(LEN(INDEX('Checks'!$A$4:$A$503,_calc!$E$86))=0,"",INDEX('Checks'!$A$4:$A$503,_calc!$E$86)))</f>
        <v/>
      </c>
      <c r="B84" s="43">
        <f>IF(_calc!$E$86="","",IF(ISNUMBER(INDEX('Checks'!$H$4:$H$503,_calc!$E$86)),TEXT(INDEX('Checks'!$H$4:$H$503,_calc!$E$86),"yyyy-mm-dd"),""))</f>
        <v/>
      </c>
      <c r="C84" s="43">
        <f>IF(_calc!$E$86="","","Right to work")</f>
        <v/>
      </c>
      <c r="D84" s="43">
        <f>IF(_calc!$E$86="","",IF(ISNUMBER(INDEX('Checks'!$F$4:$F$503,_calc!$E$86)),TEXT(INDEX('Checks'!$F$4:$F$503,_calc!$E$86),"yyyy-mm-dd"),""))</f>
        <v/>
      </c>
      <c r="E84" s="43">
        <f>IF(_calc!$E$86="","","High")</f>
        <v/>
      </c>
      <c r="F84" s="43">
        <f>IF(_calc!$E$86="","",TRIM(IF(LEN(IF(LEN(INDEX('Checks'!$B$4:$B$503,_calc!$E$86))=0,"",INDEX('Checks'!$B$4:$B$503,_calc!$E$86)))=0,"","Role: "&amp;IF(LEN(INDEX('Checks'!$B$4:$B$503,_calc!$E$86))=0,"",INDEX('Checks'!$B$4:$B$503,_calc!$E$86))&amp;". ")&amp;IF(LEN(IF(LEN(INDEX('Checks'!$D$4:$D$503,_calc!$E$86))=0,"",INDEX('Checks'!$D$4:$D$503,_calc!$E$86)))=0,"","Check type: "&amp;IF(LEN(INDEX('Checks'!$D$4:$D$503,_calc!$E$86))=0,"",INDEX('Checks'!$D$4:$D$503,_calc!$E$86))&amp;". ")&amp;IF(LEN(IF(LEN(INDEX('Checks'!$E$4:$E$503,_calc!$E$86))=0,"",INDEX('Checks'!$E$4:$E$503,_calc!$E$86)))=0,"","Evidence: "&amp;IF(LEN(INDEX('Checks'!$E$4:$E$503,_calc!$E$86))=0,"",INDEX('Checks'!$E$4:$E$503,_calc!$E$86))&amp;". ")&amp;IF(LEN(IF(LEN(INDEX('Checks'!$G$4:$G$503,_calc!$E$86))=0,"",INDEX('Checks'!$G$4:$G$503,_calc!$E$86)))=0,"","Checked by: "&amp;IF(LEN(INDEX('Checks'!$G$4:$G$503,_calc!$E$86))=0,"",INDEX('Checks'!$G$4:$G$503,_calc!$E$86))&amp;". ")&amp;IF(LEN(IF(LEN(INDEX('Checks'!$Q$4:$Q$503,_calc!$E$86))=0,"",INDEX('Checks'!$Q$4:$Q$503,_calc!$E$86)))=0,"",IF(LEN(INDEX('Checks'!$Q$4:$Q$503,_calc!$E$86))=0,"",INDEX('Checks'!$Q$4:$Q$503,_calc!$E$86)))))</f>
        <v/>
      </c>
      <c r="G84" s="43">
        <f>IF(_calc!$E$86="","",IF(LEN(INDEX('Checks'!$P$4:$P$503,_calc!$E$86))=0,"",INDEX('Checks'!$P$4:$P$503,_calc!$E$86)))</f>
        <v/>
      </c>
      <c r="K84" s="43">
        <f>IF(_calc!$E$86="","",IF(LEN(INDEX('Checks'!$O$4:$O$503,_calc!$E$86))=0,"",INDEX('Checks'!$O$4:$O$503,_calc!$E$86)))</f>
        <v/>
      </c>
    </row>
    <row r="85">
      <c r="A85" s="43">
        <f>IF(_calc!$E$87="","","Right to work follow-up – "&amp;IF(LEN(INDEX('Checks'!$A$4:$A$503,_calc!$E$87))=0,"",INDEX('Checks'!$A$4:$A$503,_calc!$E$87)))</f>
        <v/>
      </c>
      <c r="B85" s="43">
        <f>IF(_calc!$E$87="","",IF(ISNUMBER(INDEX('Checks'!$H$4:$H$503,_calc!$E$87)),TEXT(INDEX('Checks'!$H$4:$H$503,_calc!$E$87),"yyyy-mm-dd"),""))</f>
        <v/>
      </c>
      <c r="C85" s="43">
        <f>IF(_calc!$E$87="","","Right to work")</f>
        <v/>
      </c>
      <c r="D85" s="43">
        <f>IF(_calc!$E$87="","",IF(ISNUMBER(INDEX('Checks'!$F$4:$F$503,_calc!$E$87)),TEXT(INDEX('Checks'!$F$4:$F$503,_calc!$E$87),"yyyy-mm-dd"),""))</f>
        <v/>
      </c>
      <c r="E85" s="43">
        <f>IF(_calc!$E$87="","","High")</f>
        <v/>
      </c>
      <c r="F85" s="43">
        <f>IF(_calc!$E$87="","",TRIM(IF(LEN(IF(LEN(INDEX('Checks'!$B$4:$B$503,_calc!$E$87))=0,"",INDEX('Checks'!$B$4:$B$503,_calc!$E$87)))=0,"","Role: "&amp;IF(LEN(INDEX('Checks'!$B$4:$B$503,_calc!$E$87))=0,"",INDEX('Checks'!$B$4:$B$503,_calc!$E$87))&amp;". ")&amp;IF(LEN(IF(LEN(INDEX('Checks'!$D$4:$D$503,_calc!$E$87))=0,"",INDEX('Checks'!$D$4:$D$503,_calc!$E$87)))=0,"","Check type: "&amp;IF(LEN(INDEX('Checks'!$D$4:$D$503,_calc!$E$87))=0,"",INDEX('Checks'!$D$4:$D$503,_calc!$E$87))&amp;". ")&amp;IF(LEN(IF(LEN(INDEX('Checks'!$E$4:$E$503,_calc!$E$87))=0,"",INDEX('Checks'!$E$4:$E$503,_calc!$E$87)))=0,"","Evidence: "&amp;IF(LEN(INDEX('Checks'!$E$4:$E$503,_calc!$E$87))=0,"",INDEX('Checks'!$E$4:$E$503,_calc!$E$87))&amp;". ")&amp;IF(LEN(IF(LEN(INDEX('Checks'!$G$4:$G$503,_calc!$E$87))=0,"",INDEX('Checks'!$G$4:$G$503,_calc!$E$87)))=0,"","Checked by: "&amp;IF(LEN(INDEX('Checks'!$G$4:$G$503,_calc!$E$87))=0,"",INDEX('Checks'!$G$4:$G$503,_calc!$E$87))&amp;". ")&amp;IF(LEN(IF(LEN(INDEX('Checks'!$Q$4:$Q$503,_calc!$E$87))=0,"",INDEX('Checks'!$Q$4:$Q$503,_calc!$E$87)))=0,"",IF(LEN(INDEX('Checks'!$Q$4:$Q$503,_calc!$E$87))=0,"",INDEX('Checks'!$Q$4:$Q$503,_calc!$E$87)))))</f>
        <v/>
      </c>
      <c r="G85" s="43">
        <f>IF(_calc!$E$87="","",IF(LEN(INDEX('Checks'!$P$4:$P$503,_calc!$E$87))=0,"",INDEX('Checks'!$P$4:$P$503,_calc!$E$87)))</f>
        <v/>
      </c>
      <c r="K85" s="43">
        <f>IF(_calc!$E$87="","",IF(LEN(INDEX('Checks'!$O$4:$O$503,_calc!$E$87))=0,"",INDEX('Checks'!$O$4:$O$503,_calc!$E$87)))</f>
        <v/>
      </c>
    </row>
    <row r="86">
      <c r="A86" s="43">
        <f>IF(_calc!$E$88="","","Right to work follow-up – "&amp;IF(LEN(INDEX('Checks'!$A$4:$A$503,_calc!$E$88))=0,"",INDEX('Checks'!$A$4:$A$503,_calc!$E$88)))</f>
        <v/>
      </c>
      <c r="B86" s="43">
        <f>IF(_calc!$E$88="","",IF(ISNUMBER(INDEX('Checks'!$H$4:$H$503,_calc!$E$88)),TEXT(INDEX('Checks'!$H$4:$H$503,_calc!$E$88),"yyyy-mm-dd"),""))</f>
        <v/>
      </c>
      <c r="C86" s="43">
        <f>IF(_calc!$E$88="","","Right to work")</f>
        <v/>
      </c>
      <c r="D86" s="43">
        <f>IF(_calc!$E$88="","",IF(ISNUMBER(INDEX('Checks'!$F$4:$F$503,_calc!$E$88)),TEXT(INDEX('Checks'!$F$4:$F$503,_calc!$E$88),"yyyy-mm-dd"),""))</f>
        <v/>
      </c>
      <c r="E86" s="43">
        <f>IF(_calc!$E$88="","","High")</f>
        <v/>
      </c>
      <c r="F86" s="43">
        <f>IF(_calc!$E$88="","",TRIM(IF(LEN(IF(LEN(INDEX('Checks'!$B$4:$B$503,_calc!$E$88))=0,"",INDEX('Checks'!$B$4:$B$503,_calc!$E$88)))=0,"","Role: "&amp;IF(LEN(INDEX('Checks'!$B$4:$B$503,_calc!$E$88))=0,"",INDEX('Checks'!$B$4:$B$503,_calc!$E$88))&amp;". ")&amp;IF(LEN(IF(LEN(INDEX('Checks'!$D$4:$D$503,_calc!$E$88))=0,"",INDEX('Checks'!$D$4:$D$503,_calc!$E$88)))=0,"","Check type: "&amp;IF(LEN(INDEX('Checks'!$D$4:$D$503,_calc!$E$88))=0,"",INDEX('Checks'!$D$4:$D$503,_calc!$E$88))&amp;". ")&amp;IF(LEN(IF(LEN(INDEX('Checks'!$E$4:$E$503,_calc!$E$88))=0,"",INDEX('Checks'!$E$4:$E$503,_calc!$E$88)))=0,"","Evidence: "&amp;IF(LEN(INDEX('Checks'!$E$4:$E$503,_calc!$E$88))=0,"",INDEX('Checks'!$E$4:$E$503,_calc!$E$88))&amp;". ")&amp;IF(LEN(IF(LEN(INDEX('Checks'!$G$4:$G$503,_calc!$E$88))=0,"",INDEX('Checks'!$G$4:$G$503,_calc!$E$88)))=0,"","Checked by: "&amp;IF(LEN(INDEX('Checks'!$G$4:$G$503,_calc!$E$88))=0,"",INDEX('Checks'!$G$4:$G$503,_calc!$E$88))&amp;". ")&amp;IF(LEN(IF(LEN(INDEX('Checks'!$Q$4:$Q$503,_calc!$E$88))=0,"",INDEX('Checks'!$Q$4:$Q$503,_calc!$E$88)))=0,"",IF(LEN(INDEX('Checks'!$Q$4:$Q$503,_calc!$E$88))=0,"",INDEX('Checks'!$Q$4:$Q$503,_calc!$E$88)))))</f>
        <v/>
      </c>
      <c r="G86" s="43">
        <f>IF(_calc!$E$88="","",IF(LEN(INDEX('Checks'!$P$4:$P$503,_calc!$E$88))=0,"",INDEX('Checks'!$P$4:$P$503,_calc!$E$88)))</f>
        <v/>
      </c>
      <c r="K86" s="43">
        <f>IF(_calc!$E$88="","",IF(LEN(INDEX('Checks'!$O$4:$O$503,_calc!$E$88))=0,"",INDEX('Checks'!$O$4:$O$503,_calc!$E$88)))</f>
        <v/>
      </c>
    </row>
    <row r="87">
      <c r="A87" s="43">
        <f>IF(_calc!$E$89="","","Right to work follow-up – "&amp;IF(LEN(INDEX('Checks'!$A$4:$A$503,_calc!$E$89))=0,"",INDEX('Checks'!$A$4:$A$503,_calc!$E$89)))</f>
        <v/>
      </c>
      <c r="B87" s="43">
        <f>IF(_calc!$E$89="","",IF(ISNUMBER(INDEX('Checks'!$H$4:$H$503,_calc!$E$89)),TEXT(INDEX('Checks'!$H$4:$H$503,_calc!$E$89),"yyyy-mm-dd"),""))</f>
        <v/>
      </c>
      <c r="C87" s="43">
        <f>IF(_calc!$E$89="","","Right to work")</f>
        <v/>
      </c>
      <c r="D87" s="43">
        <f>IF(_calc!$E$89="","",IF(ISNUMBER(INDEX('Checks'!$F$4:$F$503,_calc!$E$89)),TEXT(INDEX('Checks'!$F$4:$F$503,_calc!$E$89),"yyyy-mm-dd"),""))</f>
        <v/>
      </c>
      <c r="E87" s="43">
        <f>IF(_calc!$E$89="","","High")</f>
        <v/>
      </c>
      <c r="F87" s="43">
        <f>IF(_calc!$E$89="","",TRIM(IF(LEN(IF(LEN(INDEX('Checks'!$B$4:$B$503,_calc!$E$89))=0,"",INDEX('Checks'!$B$4:$B$503,_calc!$E$89)))=0,"","Role: "&amp;IF(LEN(INDEX('Checks'!$B$4:$B$503,_calc!$E$89))=0,"",INDEX('Checks'!$B$4:$B$503,_calc!$E$89))&amp;". ")&amp;IF(LEN(IF(LEN(INDEX('Checks'!$D$4:$D$503,_calc!$E$89))=0,"",INDEX('Checks'!$D$4:$D$503,_calc!$E$89)))=0,"","Check type: "&amp;IF(LEN(INDEX('Checks'!$D$4:$D$503,_calc!$E$89))=0,"",INDEX('Checks'!$D$4:$D$503,_calc!$E$89))&amp;". ")&amp;IF(LEN(IF(LEN(INDEX('Checks'!$E$4:$E$503,_calc!$E$89))=0,"",INDEX('Checks'!$E$4:$E$503,_calc!$E$89)))=0,"","Evidence: "&amp;IF(LEN(INDEX('Checks'!$E$4:$E$503,_calc!$E$89))=0,"",INDEX('Checks'!$E$4:$E$503,_calc!$E$89))&amp;". ")&amp;IF(LEN(IF(LEN(INDEX('Checks'!$G$4:$G$503,_calc!$E$89))=0,"",INDEX('Checks'!$G$4:$G$503,_calc!$E$89)))=0,"","Checked by: "&amp;IF(LEN(INDEX('Checks'!$G$4:$G$503,_calc!$E$89))=0,"",INDEX('Checks'!$G$4:$G$503,_calc!$E$89))&amp;". ")&amp;IF(LEN(IF(LEN(INDEX('Checks'!$Q$4:$Q$503,_calc!$E$89))=0,"",INDEX('Checks'!$Q$4:$Q$503,_calc!$E$89)))=0,"",IF(LEN(INDEX('Checks'!$Q$4:$Q$503,_calc!$E$89))=0,"",INDEX('Checks'!$Q$4:$Q$503,_calc!$E$89)))))</f>
        <v/>
      </c>
      <c r="G87" s="43">
        <f>IF(_calc!$E$89="","",IF(LEN(INDEX('Checks'!$P$4:$P$503,_calc!$E$89))=0,"",INDEX('Checks'!$P$4:$P$503,_calc!$E$89)))</f>
        <v/>
      </c>
      <c r="K87" s="43">
        <f>IF(_calc!$E$89="","",IF(LEN(INDEX('Checks'!$O$4:$O$503,_calc!$E$89))=0,"",INDEX('Checks'!$O$4:$O$503,_calc!$E$89)))</f>
        <v/>
      </c>
    </row>
    <row r="88">
      <c r="A88" s="43">
        <f>IF(_calc!$E$90="","","Right to work follow-up – "&amp;IF(LEN(INDEX('Checks'!$A$4:$A$503,_calc!$E$90))=0,"",INDEX('Checks'!$A$4:$A$503,_calc!$E$90)))</f>
        <v/>
      </c>
      <c r="B88" s="43">
        <f>IF(_calc!$E$90="","",IF(ISNUMBER(INDEX('Checks'!$H$4:$H$503,_calc!$E$90)),TEXT(INDEX('Checks'!$H$4:$H$503,_calc!$E$90),"yyyy-mm-dd"),""))</f>
        <v/>
      </c>
      <c r="C88" s="43">
        <f>IF(_calc!$E$90="","","Right to work")</f>
        <v/>
      </c>
      <c r="D88" s="43">
        <f>IF(_calc!$E$90="","",IF(ISNUMBER(INDEX('Checks'!$F$4:$F$503,_calc!$E$90)),TEXT(INDEX('Checks'!$F$4:$F$503,_calc!$E$90),"yyyy-mm-dd"),""))</f>
        <v/>
      </c>
      <c r="E88" s="43">
        <f>IF(_calc!$E$90="","","High")</f>
        <v/>
      </c>
      <c r="F88" s="43">
        <f>IF(_calc!$E$90="","",TRIM(IF(LEN(IF(LEN(INDEX('Checks'!$B$4:$B$503,_calc!$E$90))=0,"",INDEX('Checks'!$B$4:$B$503,_calc!$E$90)))=0,"","Role: "&amp;IF(LEN(INDEX('Checks'!$B$4:$B$503,_calc!$E$90))=0,"",INDEX('Checks'!$B$4:$B$503,_calc!$E$90))&amp;". ")&amp;IF(LEN(IF(LEN(INDEX('Checks'!$D$4:$D$503,_calc!$E$90))=0,"",INDEX('Checks'!$D$4:$D$503,_calc!$E$90)))=0,"","Check type: "&amp;IF(LEN(INDEX('Checks'!$D$4:$D$503,_calc!$E$90))=0,"",INDEX('Checks'!$D$4:$D$503,_calc!$E$90))&amp;". ")&amp;IF(LEN(IF(LEN(INDEX('Checks'!$E$4:$E$503,_calc!$E$90))=0,"",INDEX('Checks'!$E$4:$E$503,_calc!$E$90)))=0,"","Evidence: "&amp;IF(LEN(INDEX('Checks'!$E$4:$E$503,_calc!$E$90))=0,"",INDEX('Checks'!$E$4:$E$503,_calc!$E$90))&amp;". ")&amp;IF(LEN(IF(LEN(INDEX('Checks'!$G$4:$G$503,_calc!$E$90))=0,"",INDEX('Checks'!$G$4:$G$503,_calc!$E$90)))=0,"","Checked by: "&amp;IF(LEN(INDEX('Checks'!$G$4:$G$503,_calc!$E$90))=0,"",INDEX('Checks'!$G$4:$G$503,_calc!$E$90))&amp;". ")&amp;IF(LEN(IF(LEN(INDEX('Checks'!$Q$4:$Q$503,_calc!$E$90))=0,"",INDEX('Checks'!$Q$4:$Q$503,_calc!$E$90)))=0,"",IF(LEN(INDEX('Checks'!$Q$4:$Q$503,_calc!$E$90))=0,"",INDEX('Checks'!$Q$4:$Q$503,_calc!$E$90)))))</f>
        <v/>
      </c>
      <c r="G88" s="43">
        <f>IF(_calc!$E$90="","",IF(LEN(INDEX('Checks'!$P$4:$P$503,_calc!$E$90))=0,"",INDEX('Checks'!$P$4:$P$503,_calc!$E$90)))</f>
        <v/>
      </c>
      <c r="K88" s="43">
        <f>IF(_calc!$E$90="","",IF(LEN(INDEX('Checks'!$O$4:$O$503,_calc!$E$90))=0,"",INDEX('Checks'!$O$4:$O$503,_calc!$E$90)))</f>
        <v/>
      </c>
    </row>
    <row r="89">
      <c r="A89" s="43">
        <f>IF(_calc!$E$91="","","Right to work follow-up – "&amp;IF(LEN(INDEX('Checks'!$A$4:$A$503,_calc!$E$91))=0,"",INDEX('Checks'!$A$4:$A$503,_calc!$E$91)))</f>
        <v/>
      </c>
      <c r="B89" s="43">
        <f>IF(_calc!$E$91="","",IF(ISNUMBER(INDEX('Checks'!$H$4:$H$503,_calc!$E$91)),TEXT(INDEX('Checks'!$H$4:$H$503,_calc!$E$91),"yyyy-mm-dd"),""))</f>
        <v/>
      </c>
      <c r="C89" s="43">
        <f>IF(_calc!$E$91="","","Right to work")</f>
        <v/>
      </c>
      <c r="D89" s="43">
        <f>IF(_calc!$E$91="","",IF(ISNUMBER(INDEX('Checks'!$F$4:$F$503,_calc!$E$91)),TEXT(INDEX('Checks'!$F$4:$F$503,_calc!$E$91),"yyyy-mm-dd"),""))</f>
        <v/>
      </c>
      <c r="E89" s="43">
        <f>IF(_calc!$E$91="","","High")</f>
        <v/>
      </c>
      <c r="F89" s="43">
        <f>IF(_calc!$E$91="","",TRIM(IF(LEN(IF(LEN(INDEX('Checks'!$B$4:$B$503,_calc!$E$91))=0,"",INDEX('Checks'!$B$4:$B$503,_calc!$E$91)))=0,"","Role: "&amp;IF(LEN(INDEX('Checks'!$B$4:$B$503,_calc!$E$91))=0,"",INDEX('Checks'!$B$4:$B$503,_calc!$E$91))&amp;". ")&amp;IF(LEN(IF(LEN(INDEX('Checks'!$D$4:$D$503,_calc!$E$91))=0,"",INDEX('Checks'!$D$4:$D$503,_calc!$E$91)))=0,"","Check type: "&amp;IF(LEN(INDEX('Checks'!$D$4:$D$503,_calc!$E$91))=0,"",INDEX('Checks'!$D$4:$D$503,_calc!$E$91))&amp;". ")&amp;IF(LEN(IF(LEN(INDEX('Checks'!$E$4:$E$503,_calc!$E$91))=0,"",INDEX('Checks'!$E$4:$E$503,_calc!$E$91)))=0,"","Evidence: "&amp;IF(LEN(INDEX('Checks'!$E$4:$E$503,_calc!$E$91))=0,"",INDEX('Checks'!$E$4:$E$503,_calc!$E$91))&amp;". ")&amp;IF(LEN(IF(LEN(INDEX('Checks'!$G$4:$G$503,_calc!$E$91))=0,"",INDEX('Checks'!$G$4:$G$503,_calc!$E$91)))=0,"","Checked by: "&amp;IF(LEN(INDEX('Checks'!$G$4:$G$503,_calc!$E$91))=0,"",INDEX('Checks'!$G$4:$G$503,_calc!$E$91))&amp;". ")&amp;IF(LEN(IF(LEN(INDEX('Checks'!$Q$4:$Q$503,_calc!$E$91))=0,"",INDEX('Checks'!$Q$4:$Q$503,_calc!$E$91)))=0,"",IF(LEN(INDEX('Checks'!$Q$4:$Q$503,_calc!$E$91))=0,"",INDEX('Checks'!$Q$4:$Q$503,_calc!$E$91)))))</f>
        <v/>
      </c>
      <c r="G89" s="43">
        <f>IF(_calc!$E$91="","",IF(LEN(INDEX('Checks'!$P$4:$P$503,_calc!$E$91))=0,"",INDEX('Checks'!$P$4:$P$503,_calc!$E$91)))</f>
        <v/>
      </c>
      <c r="K89" s="43">
        <f>IF(_calc!$E$91="","",IF(LEN(INDEX('Checks'!$O$4:$O$503,_calc!$E$91))=0,"",INDEX('Checks'!$O$4:$O$503,_calc!$E$91)))</f>
        <v/>
      </c>
    </row>
    <row r="90">
      <c r="A90" s="43">
        <f>IF(_calc!$E$92="","","Right to work follow-up – "&amp;IF(LEN(INDEX('Checks'!$A$4:$A$503,_calc!$E$92))=0,"",INDEX('Checks'!$A$4:$A$503,_calc!$E$92)))</f>
        <v/>
      </c>
      <c r="B90" s="43">
        <f>IF(_calc!$E$92="","",IF(ISNUMBER(INDEX('Checks'!$H$4:$H$503,_calc!$E$92)),TEXT(INDEX('Checks'!$H$4:$H$503,_calc!$E$92),"yyyy-mm-dd"),""))</f>
        <v/>
      </c>
      <c r="C90" s="43">
        <f>IF(_calc!$E$92="","","Right to work")</f>
        <v/>
      </c>
      <c r="D90" s="43">
        <f>IF(_calc!$E$92="","",IF(ISNUMBER(INDEX('Checks'!$F$4:$F$503,_calc!$E$92)),TEXT(INDEX('Checks'!$F$4:$F$503,_calc!$E$92),"yyyy-mm-dd"),""))</f>
        <v/>
      </c>
      <c r="E90" s="43">
        <f>IF(_calc!$E$92="","","High")</f>
        <v/>
      </c>
      <c r="F90" s="43">
        <f>IF(_calc!$E$92="","",TRIM(IF(LEN(IF(LEN(INDEX('Checks'!$B$4:$B$503,_calc!$E$92))=0,"",INDEX('Checks'!$B$4:$B$503,_calc!$E$92)))=0,"","Role: "&amp;IF(LEN(INDEX('Checks'!$B$4:$B$503,_calc!$E$92))=0,"",INDEX('Checks'!$B$4:$B$503,_calc!$E$92))&amp;". ")&amp;IF(LEN(IF(LEN(INDEX('Checks'!$D$4:$D$503,_calc!$E$92))=0,"",INDEX('Checks'!$D$4:$D$503,_calc!$E$92)))=0,"","Check type: "&amp;IF(LEN(INDEX('Checks'!$D$4:$D$503,_calc!$E$92))=0,"",INDEX('Checks'!$D$4:$D$503,_calc!$E$92))&amp;". ")&amp;IF(LEN(IF(LEN(INDEX('Checks'!$E$4:$E$503,_calc!$E$92))=0,"",INDEX('Checks'!$E$4:$E$503,_calc!$E$92)))=0,"","Evidence: "&amp;IF(LEN(INDEX('Checks'!$E$4:$E$503,_calc!$E$92))=0,"",INDEX('Checks'!$E$4:$E$503,_calc!$E$92))&amp;". ")&amp;IF(LEN(IF(LEN(INDEX('Checks'!$G$4:$G$503,_calc!$E$92))=0,"",INDEX('Checks'!$G$4:$G$503,_calc!$E$92)))=0,"","Checked by: "&amp;IF(LEN(INDEX('Checks'!$G$4:$G$503,_calc!$E$92))=0,"",INDEX('Checks'!$G$4:$G$503,_calc!$E$92))&amp;". ")&amp;IF(LEN(IF(LEN(INDEX('Checks'!$Q$4:$Q$503,_calc!$E$92))=0,"",INDEX('Checks'!$Q$4:$Q$503,_calc!$E$92)))=0,"",IF(LEN(INDEX('Checks'!$Q$4:$Q$503,_calc!$E$92))=0,"",INDEX('Checks'!$Q$4:$Q$503,_calc!$E$92)))))</f>
        <v/>
      </c>
      <c r="G90" s="43">
        <f>IF(_calc!$E$92="","",IF(LEN(INDEX('Checks'!$P$4:$P$503,_calc!$E$92))=0,"",INDEX('Checks'!$P$4:$P$503,_calc!$E$92)))</f>
        <v/>
      </c>
      <c r="K90" s="43">
        <f>IF(_calc!$E$92="","",IF(LEN(INDEX('Checks'!$O$4:$O$503,_calc!$E$92))=0,"",INDEX('Checks'!$O$4:$O$503,_calc!$E$92)))</f>
        <v/>
      </c>
    </row>
    <row r="91">
      <c r="A91" s="43">
        <f>IF(_calc!$E$93="","","Right to work follow-up – "&amp;IF(LEN(INDEX('Checks'!$A$4:$A$503,_calc!$E$93))=0,"",INDEX('Checks'!$A$4:$A$503,_calc!$E$93)))</f>
        <v/>
      </c>
      <c r="B91" s="43">
        <f>IF(_calc!$E$93="","",IF(ISNUMBER(INDEX('Checks'!$H$4:$H$503,_calc!$E$93)),TEXT(INDEX('Checks'!$H$4:$H$503,_calc!$E$93),"yyyy-mm-dd"),""))</f>
        <v/>
      </c>
      <c r="C91" s="43">
        <f>IF(_calc!$E$93="","","Right to work")</f>
        <v/>
      </c>
      <c r="D91" s="43">
        <f>IF(_calc!$E$93="","",IF(ISNUMBER(INDEX('Checks'!$F$4:$F$503,_calc!$E$93)),TEXT(INDEX('Checks'!$F$4:$F$503,_calc!$E$93),"yyyy-mm-dd"),""))</f>
        <v/>
      </c>
      <c r="E91" s="43">
        <f>IF(_calc!$E$93="","","High")</f>
        <v/>
      </c>
      <c r="F91" s="43">
        <f>IF(_calc!$E$93="","",TRIM(IF(LEN(IF(LEN(INDEX('Checks'!$B$4:$B$503,_calc!$E$93))=0,"",INDEX('Checks'!$B$4:$B$503,_calc!$E$93)))=0,"","Role: "&amp;IF(LEN(INDEX('Checks'!$B$4:$B$503,_calc!$E$93))=0,"",INDEX('Checks'!$B$4:$B$503,_calc!$E$93))&amp;". ")&amp;IF(LEN(IF(LEN(INDEX('Checks'!$D$4:$D$503,_calc!$E$93))=0,"",INDEX('Checks'!$D$4:$D$503,_calc!$E$93)))=0,"","Check type: "&amp;IF(LEN(INDEX('Checks'!$D$4:$D$503,_calc!$E$93))=0,"",INDEX('Checks'!$D$4:$D$503,_calc!$E$93))&amp;". ")&amp;IF(LEN(IF(LEN(INDEX('Checks'!$E$4:$E$503,_calc!$E$93))=0,"",INDEX('Checks'!$E$4:$E$503,_calc!$E$93)))=0,"","Evidence: "&amp;IF(LEN(INDEX('Checks'!$E$4:$E$503,_calc!$E$93))=0,"",INDEX('Checks'!$E$4:$E$503,_calc!$E$93))&amp;". ")&amp;IF(LEN(IF(LEN(INDEX('Checks'!$G$4:$G$503,_calc!$E$93))=0,"",INDEX('Checks'!$G$4:$G$503,_calc!$E$93)))=0,"","Checked by: "&amp;IF(LEN(INDEX('Checks'!$G$4:$G$503,_calc!$E$93))=0,"",INDEX('Checks'!$G$4:$G$503,_calc!$E$93))&amp;". ")&amp;IF(LEN(IF(LEN(INDEX('Checks'!$Q$4:$Q$503,_calc!$E$93))=0,"",INDEX('Checks'!$Q$4:$Q$503,_calc!$E$93)))=0,"",IF(LEN(INDEX('Checks'!$Q$4:$Q$503,_calc!$E$93))=0,"",INDEX('Checks'!$Q$4:$Q$503,_calc!$E$93)))))</f>
        <v/>
      </c>
      <c r="G91" s="43">
        <f>IF(_calc!$E$93="","",IF(LEN(INDEX('Checks'!$P$4:$P$503,_calc!$E$93))=0,"",INDEX('Checks'!$P$4:$P$503,_calc!$E$93)))</f>
        <v/>
      </c>
      <c r="K91" s="43">
        <f>IF(_calc!$E$93="","",IF(LEN(INDEX('Checks'!$O$4:$O$503,_calc!$E$93))=0,"",INDEX('Checks'!$O$4:$O$503,_calc!$E$93)))</f>
        <v/>
      </c>
    </row>
    <row r="92">
      <c r="A92" s="43">
        <f>IF(_calc!$E$94="","","Right to work follow-up – "&amp;IF(LEN(INDEX('Checks'!$A$4:$A$503,_calc!$E$94))=0,"",INDEX('Checks'!$A$4:$A$503,_calc!$E$94)))</f>
        <v/>
      </c>
      <c r="B92" s="43">
        <f>IF(_calc!$E$94="","",IF(ISNUMBER(INDEX('Checks'!$H$4:$H$503,_calc!$E$94)),TEXT(INDEX('Checks'!$H$4:$H$503,_calc!$E$94),"yyyy-mm-dd"),""))</f>
        <v/>
      </c>
      <c r="C92" s="43">
        <f>IF(_calc!$E$94="","","Right to work")</f>
        <v/>
      </c>
      <c r="D92" s="43">
        <f>IF(_calc!$E$94="","",IF(ISNUMBER(INDEX('Checks'!$F$4:$F$503,_calc!$E$94)),TEXT(INDEX('Checks'!$F$4:$F$503,_calc!$E$94),"yyyy-mm-dd"),""))</f>
        <v/>
      </c>
      <c r="E92" s="43">
        <f>IF(_calc!$E$94="","","High")</f>
        <v/>
      </c>
      <c r="F92" s="43">
        <f>IF(_calc!$E$94="","",TRIM(IF(LEN(IF(LEN(INDEX('Checks'!$B$4:$B$503,_calc!$E$94))=0,"",INDEX('Checks'!$B$4:$B$503,_calc!$E$94)))=0,"","Role: "&amp;IF(LEN(INDEX('Checks'!$B$4:$B$503,_calc!$E$94))=0,"",INDEX('Checks'!$B$4:$B$503,_calc!$E$94))&amp;". ")&amp;IF(LEN(IF(LEN(INDEX('Checks'!$D$4:$D$503,_calc!$E$94))=0,"",INDEX('Checks'!$D$4:$D$503,_calc!$E$94)))=0,"","Check type: "&amp;IF(LEN(INDEX('Checks'!$D$4:$D$503,_calc!$E$94))=0,"",INDEX('Checks'!$D$4:$D$503,_calc!$E$94))&amp;". ")&amp;IF(LEN(IF(LEN(INDEX('Checks'!$E$4:$E$503,_calc!$E$94))=0,"",INDEX('Checks'!$E$4:$E$503,_calc!$E$94)))=0,"","Evidence: "&amp;IF(LEN(INDEX('Checks'!$E$4:$E$503,_calc!$E$94))=0,"",INDEX('Checks'!$E$4:$E$503,_calc!$E$94))&amp;". ")&amp;IF(LEN(IF(LEN(INDEX('Checks'!$G$4:$G$503,_calc!$E$94))=0,"",INDEX('Checks'!$G$4:$G$503,_calc!$E$94)))=0,"","Checked by: "&amp;IF(LEN(INDEX('Checks'!$G$4:$G$503,_calc!$E$94))=0,"",INDEX('Checks'!$G$4:$G$503,_calc!$E$94))&amp;". ")&amp;IF(LEN(IF(LEN(INDEX('Checks'!$Q$4:$Q$503,_calc!$E$94))=0,"",INDEX('Checks'!$Q$4:$Q$503,_calc!$E$94)))=0,"",IF(LEN(INDEX('Checks'!$Q$4:$Q$503,_calc!$E$94))=0,"",INDEX('Checks'!$Q$4:$Q$503,_calc!$E$94)))))</f>
        <v/>
      </c>
      <c r="G92" s="43">
        <f>IF(_calc!$E$94="","",IF(LEN(INDEX('Checks'!$P$4:$P$503,_calc!$E$94))=0,"",INDEX('Checks'!$P$4:$P$503,_calc!$E$94)))</f>
        <v/>
      </c>
      <c r="K92" s="43">
        <f>IF(_calc!$E$94="","",IF(LEN(INDEX('Checks'!$O$4:$O$503,_calc!$E$94))=0,"",INDEX('Checks'!$O$4:$O$503,_calc!$E$94)))</f>
        <v/>
      </c>
    </row>
    <row r="93">
      <c r="A93" s="43">
        <f>IF(_calc!$E$95="","","Right to work follow-up – "&amp;IF(LEN(INDEX('Checks'!$A$4:$A$503,_calc!$E$95))=0,"",INDEX('Checks'!$A$4:$A$503,_calc!$E$95)))</f>
        <v/>
      </c>
      <c r="B93" s="43">
        <f>IF(_calc!$E$95="","",IF(ISNUMBER(INDEX('Checks'!$H$4:$H$503,_calc!$E$95)),TEXT(INDEX('Checks'!$H$4:$H$503,_calc!$E$95),"yyyy-mm-dd"),""))</f>
        <v/>
      </c>
      <c r="C93" s="43">
        <f>IF(_calc!$E$95="","","Right to work")</f>
        <v/>
      </c>
      <c r="D93" s="43">
        <f>IF(_calc!$E$95="","",IF(ISNUMBER(INDEX('Checks'!$F$4:$F$503,_calc!$E$95)),TEXT(INDEX('Checks'!$F$4:$F$503,_calc!$E$95),"yyyy-mm-dd"),""))</f>
        <v/>
      </c>
      <c r="E93" s="43">
        <f>IF(_calc!$E$95="","","High")</f>
        <v/>
      </c>
      <c r="F93" s="43">
        <f>IF(_calc!$E$95="","",TRIM(IF(LEN(IF(LEN(INDEX('Checks'!$B$4:$B$503,_calc!$E$95))=0,"",INDEX('Checks'!$B$4:$B$503,_calc!$E$95)))=0,"","Role: "&amp;IF(LEN(INDEX('Checks'!$B$4:$B$503,_calc!$E$95))=0,"",INDEX('Checks'!$B$4:$B$503,_calc!$E$95))&amp;". ")&amp;IF(LEN(IF(LEN(INDEX('Checks'!$D$4:$D$503,_calc!$E$95))=0,"",INDEX('Checks'!$D$4:$D$503,_calc!$E$95)))=0,"","Check type: "&amp;IF(LEN(INDEX('Checks'!$D$4:$D$503,_calc!$E$95))=0,"",INDEX('Checks'!$D$4:$D$503,_calc!$E$95))&amp;". ")&amp;IF(LEN(IF(LEN(INDEX('Checks'!$E$4:$E$503,_calc!$E$95))=0,"",INDEX('Checks'!$E$4:$E$503,_calc!$E$95)))=0,"","Evidence: "&amp;IF(LEN(INDEX('Checks'!$E$4:$E$503,_calc!$E$95))=0,"",INDEX('Checks'!$E$4:$E$503,_calc!$E$95))&amp;". ")&amp;IF(LEN(IF(LEN(INDEX('Checks'!$G$4:$G$503,_calc!$E$95))=0,"",INDEX('Checks'!$G$4:$G$503,_calc!$E$95)))=0,"","Checked by: "&amp;IF(LEN(INDEX('Checks'!$G$4:$G$503,_calc!$E$95))=0,"",INDEX('Checks'!$G$4:$G$503,_calc!$E$95))&amp;". ")&amp;IF(LEN(IF(LEN(INDEX('Checks'!$Q$4:$Q$503,_calc!$E$95))=0,"",INDEX('Checks'!$Q$4:$Q$503,_calc!$E$95)))=0,"",IF(LEN(INDEX('Checks'!$Q$4:$Q$503,_calc!$E$95))=0,"",INDEX('Checks'!$Q$4:$Q$503,_calc!$E$95)))))</f>
        <v/>
      </c>
      <c r="G93" s="43">
        <f>IF(_calc!$E$95="","",IF(LEN(INDEX('Checks'!$P$4:$P$503,_calc!$E$95))=0,"",INDEX('Checks'!$P$4:$P$503,_calc!$E$95)))</f>
        <v/>
      </c>
      <c r="K93" s="43">
        <f>IF(_calc!$E$95="","",IF(LEN(INDEX('Checks'!$O$4:$O$503,_calc!$E$95))=0,"",INDEX('Checks'!$O$4:$O$503,_calc!$E$95)))</f>
        <v/>
      </c>
    </row>
    <row r="94">
      <c r="A94" s="43">
        <f>IF(_calc!$E$96="","","Right to work follow-up – "&amp;IF(LEN(INDEX('Checks'!$A$4:$A$503,_calc!$E$96))=0,"",INDEX('Checks'!$A$4:$A$503,_calc!$E$96)))</f>
        <v/>
      </c>
      <c r="B94" s="43">
        <f>IF(_calc!$E$96="","",IF(ISNUMBER(INDEX('Checks'!$H$4:$H$503,_calc!$E$96)),TEXT(INDEX('Checks'!$H$4:$H$503,_calc!$E$96),"yyyy-mm-dd"),""))</f>
        <v/>
      </c>
      <c r="C94" s="43">
        <f>IF(_calc!$E$96="","","Right to work")</f>
        <v/>
      </c>
      <c r="D94" s="43">
        <f>IF(_calc!$E$96="","",IF(ISNUMBER(INDEX('Checks'!$F$4:$F$503,_calc!$E$96)),TEXT(INDEX('Checks'!$F$4:$F$503,_calc!$E$96),"yyyy-mm-dd"),""))</f>
        <v/>
      </c>
      <c r="E94" s="43">
        <f>IF(_calc!$E$96="","","High")</f>
        <v/>
      </c>
      <c r="F94" s="43">
        <f>IF(_calc!$E$96="","",TRIM(IF(LEN(IF(LEN(INDEX('Checks'!$B$4:$B$503,_calc!$E$96))=0,"",INDEX('Checks'!$B$4:$B$503,_calc!$E$96)))=0,"","Role: "&amp;IF(LEN(INDEX('Checks'!$B$4:$B$503,_calc!$E$96))=0,"",INDEX('Checks'!$B$4:$B$503,_calc!$E$96))&amp;". ")&amp;IF(LEN(IF(LEN(INDEX('Checks'!$D$4:$D$503,_calc!$E$96))=0,"",INDEX('Checks'!$D$4:$D$503,_calc!$E$96)))=0,"","Check type: "&amp;IF(LEN(INDEX('Checks'!$D$4:$D$503,_calc!$E$96))=0,"",INDEX('Checks'!$D$4:$D$503,_calc!$E$96))&amp;". ")&amp;IF(LEN(IF(LEN(INDEX('Checks'!$E$4:$E$503,_calc!$E$96))=0,"",INDEX('Checks'!$E$4:$E$503,_calc!$E$96)))=0,"","Evidence: "&amp;IF(LEN(INDEX('Checks'!$E$4:$E$503,_calc!$E$96))=0,"",INDEX('Checks'!$E$4:$E$503,_calc!$E$96))&amp;". ")&amp;IF(LEN(IF(LEN(INDEX('Checks'!$G$4:$G$503,_calc!$E$96))=0,"",INDEX('Checks'!$G$4:$G$503,_calc!$E$96)))=0,"","Checked by: "&amp;IF(LEN(INDEX('Checks'!$G$4:$G$503,_calc!$E$96))=0,"",INDEX('Checks'!$G$4:$G$503,_calc!$E$96))&amp;". ")&amp;IF(LEN(IF(LEN(INDEX('Checks'!$Q$4:$Q$503,_calc!$E$96))=0,"",INDEX('Checks'!$Q$4:$Q$503,_calc!$E$96)))=0,"",IF(LEN(INDEX('Checks'!$Q$4:$Q$503,_calc!$E$96))=0,"",INDEX('Checks'!$Q$4:$Q$503,_calc!$E$96)))))</f>
        <v/>
      </c>
      <c r="G94" s="43">
        <f>IF(_calc!$E$96="","",IF(LEN(INDEX('Checks'!$P$4:$P$503,_calc!$E$96))=0,"",INDEX('Checks'!$P$4:$P$503,_calc!$E$96)))</f>
        <v/>
      </c>
      <c r="K94" s="43">
        <f>IF(_calc!$E$96="","",IF(LEN(INDEX('Checks'!$O$4:$O$503,_calc!$E$96))=0,"",INDEX('Checks'!$O$4:$O$503,_calc!$E$96)))</f>
        <v/>
      </c>
    </row>
    <row r="95">
      <c r="A95" s="43">
        <f>IF(_calc!$E$97="","","Right to work follow-up – "&amp;IF(LEN(INDEX('Checks'!$A$4:$A$503,_calc!$E$97))=0,"",INDEX('Checks'!$A$4:$A$503,_calc!$E$97)))</f>
        <v/>
      </c>
      <c r="B95" s="43">
        <f>IF(_calc!$E$97="","",IF(ISNUMBER(INDEX('Checks'!$H$4:$H$503,_calc!$E$97)),TEXT(INDEX('Checks'!$H$4:$H$503,_calc!$E$97),"yyyy-mm-dd"),""))</f>
        <v/>
      </c>
      <c r="C95" s="43">
        <f>IF(_calc!$E$97="","","Right to work")</f>
        <v/>
      </c>
      <c r="D95" s="43">
        <f>IF(_calc!$E$97="","",IF(ISNUMBER(INDEX('Checks'!$F$4:$F$503,_calc!$E$97)),TEXT(INDEX('Checks'!$F$4:$F$503,_calc!$E$97),"yyyy-mm-dd"),""))</f>
        <v/>
      </c>
      <c r="E95" s="43">
        <f>IF(_calc!$E$97="","","High")</f>
        <v/>
      </c>
      <c r="F95" s="43">
        <f>IF(_calc!$E$97="","",TRIM(IF(LEN(IF(LEN(INDEX('Checks'!$B$4:$B$503,_calc!$E$97))=0,"",INDEX('Checks'!$B$4:$B$503,_calc!$E$97)))=0,"","Role: "&amp;IF(LEN(INDEX('Checks'!$B$4:$B$503,_calc!$E$97))=0,"",INDEX('Checks'!$B$4:$B$503,_calc!$E$97))&amp;". ")&amp;IF(LEN(IF(LEN(INDEX('Checks'!$D$4:$D$503,_calc!$E$97))=0,"",INDEX('Checks'!$D$4:$D$503,_calc!$E$97)))=0,"","Check type: "&amp;IF(LEN(INDEX('Checks'!$D$4:$D$503,_calc!$E$97))=0,"",INDEX('Checks'!$D$4:$D$503,_calc!$E$97))&amp;". ")&amp;IF(LEN(IF(LEN(INDEX('Checks'!$E$4:$E$503,_calc!$E$97))=0,"",INDEX('Checks'!$E$4:$E$503,_calc!$E$97)))=0,"","Evidence: "&amp;IF(LEN(INDEX('Checks'!$E$4:$E$503,_calc!$E$97))=0,"",INDEX('Checks'!$E$4:$E$503,_calc!$E$97))&amp;". ")&amp;IF(LEN(IF(LEN(INDEX('Checks'!$G$4:$G$503,_calc!$E$97))=0,"",INDEX('Checks'!$G$4:$G$503,_calc!$E$97)))=0,"","Checked by: "&amp;IF(LEN(INDEX('Checks'!$G$4:$G$503,_calc!$E$97))=0,"",INDEX('Checks'!$G$4:$G$503,_calc!$E$97))&amp;". ")&amp;IF(LEN(IF(LEN(INDEX('Checks'!$Q$4:$Q$503,_calc!$E$97))=0,"",INDEX('Checks'!$Q$4:$Q$503,_calc!$E$97)))=0,"",IF(LEN(INDEX('Checks'!$Q$4:$Q$503,_calc!$E$97))=0,"",INDEX('Checks'!$Q$4:$Q$503,_calc!$E$97)))))</f>
        <v/>
      </c>
      <c r="G95" s="43">
        <f>IF(_calc!$E$97="","",IF(LEN(INDEX('Checks'!$P$4:$P$503,_calc!$E$97))=0,"",INDEX('Checks'!$P$4:$P$503,_calc!$E$97)))</f>
        <v/>
      </c>
      <c r="K95" s="43">
        <f>IF(_calc!$E$97="","",IF(LEN(INDEX('Checks'!$O$4:$O$503,_calc!$E$97))=0,"",INDEX('Checks'!$O$4:$O$503,_calc!$E$97)))</f>
        <v/>
      </c>
    </row>
    <row r="96">
      <c r="A96" s="43">
        <f>IF(_calc!$E$98="","","Right to work follow-up – "&amp;IF(LEN(INDEX('Checks'!$A$4:$A$503,_calc!$E$98))=0,"",INDEX('Checks'!$A$4:$A$503,_calc!$E$98)))</f>
        <v/>
      </c>
      <c r="B96" s="43">
        <f>IF(_calc!$E$98="","",IF(ISNUMBER(INDEX('Checks'!$H$4:$H$503,_calc!$E$98)),TEXT(INDEX('Checks'!$H$4:$H$503,_calc!$E$98),"yyyy-mm-dd"),""))</f>
        <v/>
      </c>
      <c r="C96" s="43">
        <f>IF(_calc!$E$98="","","Right to work")</f>
        <v/>
      </c>
      <c r="D96" s="43">
        <f>IF(_calc!$E$98="","",IF(ISNUMBER(INDEX('Checks'!$F$4:$F$503,_calc!$E$98)),TEXT(INDEX('Checks'!$F$4:$F$503,_calc!$E$98),"yyyy-mm-dd"),""))</f>
        <v/>
      </c>
      <c r="E96" s="43">
        <f>IF(_calc!$E$98="","","High")</f>
        <v/>
      </c>
      <c r="F96" s="43">
        <f>IF(_calc!$E$98="","",TRIM(IF(LEN(IF(LEN(INDEX('Checks'!$B$4:$B$503,_calc!$E$98))=0,"",INDEX('Checks'!$B$4:$B$503,_calc!$E$98)))=0,"","Role: "&amp;IF(LEN(INDEX('Checks'!$B$4:$B$503,_calc!$E$98))=0,"",INDEX('Checks'!$B$4:$B$503,_calc!$E$98))&amp;". ")&amp;IF(LEN(IF(LEN(INDEX('Checks'!$D$4:$D$503,_calc!$E$98))=0,"",INDEX('Checks'!$D$4:$D$503,_calc!$E$98)))=0,"","Check type: "&amp;IF(LEN(INDEX('Checks'!$D$4:$D$503,_calc!$E$98))=0,"",INDEX('Checks'!$D$4:$D$503,_calc!$E$98))&amp;". ")&amp;IF(LEN(IF(LEN(INDEX('Checks'!$E$4:$E$503,_calc!$E$98))=0,"",INDEX('Checks'!$E$4:$E$503,_calc!$E$98)))=0,"","Evidence: "&amp;IF(LEN(INDEX('Checks'!$E$4:$E$503,_calc!$E$98))=0,"",INDEX('Checks'!$E$4:$E$503,_calc!$E$98))&amp;". ")&amp;IF(LEN(IF(LEN(INDEX('Checks'!$G$4:$G$503,_calc!$E$98))=0,"",INDEX('Checks'!$G$4:$G$503,_calc!$E$98)))=0,"","Checked by: "&amp;IF(LEN(INDEX('Checks'!$G$4:$G$503,_calc!$E$98))=0,"",INDEX('Checks'!$G$4:$G$503,_calc!$E$98))&amp;". ")&amp;IF(LEN(IF(LEN(INDEX('Checks'!$Q$4:$Q$503,_calc!$E$98))=0,"",INDEX('Checks'!$Q$4:$Q$503,_calc!$E$98)))=0,"",IF(LEN(INDEX('Checks'!$Q$4:$Q$503,_calc!$E$98))=0,"",INDEX('Checks'!$Q$4:$Q$503,_calc!$E$98)))))</f>
        <v/>
      </c>
      <c r="G96" s="43">
        <f>IF(_calc!$E$98="","",IF(LEN(INDEX('Checks'!$P$4:$P$503,_calc!$E$98))=0,"",INDEX('Checks'!$P$4:$P$503,_calc!$E$98)))</f>
        <v/>
      </c>
      <c r="K96" s="43">
        <f>IF(_calc!$E$98="","",IF(LEN(INDEX('Checks'!$O$4:$O$503,_calc!$E$98))=0,"",INDEX('Checks'!$O$4:$O$503,_calc!$E$98)))</f>
        <v/>
      </c>
    </row>
    <row r="97">
      <c r="A97" s="43">
        <f>IF(_calc!$E$99="","","Right to work follow-up – "&amp;IF(LEN(INDEX('Checks'!$A$4:$A$503,_calc!$E$99))=0,"",INDEX('Checks'!$A$4:$A$503,_calc!$E$99)))</f>
        <v/>
      </c>
      <c r="B97" s="43">
        <f>IF(_calc!$E$99="","",IF(ISNUMBER(INDEX('Checks'!$H$4:$H$503,_calc!$E$99)),TEXT(INDEX('Checks'!$H$4:$H$503,_calc!$E$99),"yyyy-mm-dd"),""))</f>
        <v/>
      </c>
      <c r="C97" s="43">
        <f>IF(_calc!$E$99="","","Right to work")</f>
        <v/>
      </c>
      <c r="D97" s="43">
        <f>IF(_calc!$E$99="","",IF(ISNUMBER(INDEX('Checks'!$F$4:$F$503,_calc!$E$99)),TEXT(INDEX('Checks'!$F$4:$F$503,_calc!$E$99),"yyyy-mm-dd"),""))</f>
        <v/>
      </c>
      <c r="E97" s="43">
        <f>IF(_calc!$E$99="","","High")</f>
        <v/>
      </c>
      <c r="F97" s="43">
        <f>IF(_calc!$E$99="","",TRIM(IF(LEN(IF(LEN(INDEX('Checks'!$B$4:$B$503,_calc!$E$99))=0,"",INDEX('Checks'!$B$4:$B$503,_calc!$E$99)))=0,"","Role: "&amp;IF(LEN(INDEX('Checks'!$B$4:$B$503,_calc!$E$99))=0,"",INDEX('Checks'!$B$4:$B$503,_calc!$E$99))&amp;". ")&amp;IF(LEN(IF(LEN(INDEX('Checks'!$D$4:$D$503,_calc!$E$99))=0,"",INDEX('Checks'!$D$4:$D$503,_calc!$E$99)))=0,"","Check type: "&amp;IF(LEN(INDEX('Checks'!$D$4:$D$503,_calc!$E$99))=0,"",INDEX('Checks'!$D$4:$D$503,_calc!$E$99))&amp;". ")&amp;IF(LEN(IF(LEN(INDEX('Checks'!$E$4:$E$503,_calc!$E$99))=0,"",INDEX('Checks'!$E$4:$E$503,_calc!$E$99)))=0,"","Evidence: "&amp;IF(LEN(INDEX('Checks'!$E$4:$E$503,_calc!$E$99))=0,"",INDEX('Checks'!$E$4:$E$503,_calc!$E$99))&amp;". ")&amp;IF(LEN(IF(LEN(INDEX('Checks'!$G$4:$G$503,_calc!$E$99))=0,"",INDEX('Checks'!$G$4:$G$503,_calc!$E$99)))=0,"","Checked by: "&amp;IF(LEN(INDEX('Checks'!$G$4:$G$503,_calc!$E$99))=0,"",INDEX('Checks'!$G$4:$G$503,_calc!$E$99))&amp;". ")&amp;IF(LEN(IF(LEN(INDEX('Checks'!$Q$4:$Q$503,_calc!$E$99))=0,"",INDEX('Checks'!$Q$4:$Q$503,_calc!$E$99)))=0,"",IF(LEN(INDEX('Checks'!$Q$4:$Q$503,_calc!$E$99))=0,"",INDEX('Checks'!$Q$4:$Q$503,_calc!$E$99)))))</f>
        <v/>
      </c>
      <c r="G97" s="43">
        <f>IF(_calc!$E$99="","",IF(LEN(INDEX('Checks'!$P$4:$P$503,_calc!$E$99))=0,"",INDEX('Checks'!$P$4:$P$503,_calc!$E$99)))</f>
        <v/>
      </c>
      <c r="K97" s="43">
        <f>IF(_calc!$E$99="","",IF(LEN(INDEX('Checks'!$O$4:$O$503,_calc!$E$99))=0,"",INDEX('Checks'!$O$4:$O$503,_calc!$E$99)))</f>
        <v/>
      </c>
    </row>
    <row r="98">
      <c r="A98" s="43">
        <f>IF(_calc!$E$100="","","Right to work follow-up – "&amp;IF(LEN(INDEX('Checks'!$A$4:$A$503,_calc!$E$100))=0,"",INDEX('Checks'!$A$4:$A$503,_calc!$E$100)))</f>
        <v/>
      </c>
      <c r="B98" s="43">
        <f>IF(_calc!$E$100="","",IF(ISNUMBER(INDEX('Checks'!$H$4:$H$503,_calc!$E$100)),TEXT(INDEX('Checks'!$H$4:$H$503,_calc!$E$100),"yyyy-mm-dd"),""))</f>
        <v/>
      </c>
      <c r="C98" s="43">
        <f>IF(_calc!$E$100="","","Right to work")</f>
        <v/>
      </c>
      <c r="D98" s="43">
        <f>IF(_calc!$E$100="","",IF(ISNUMBER(INDEX('Checks'!$F$4:$F$503,_calc!$E$100)),TEXT(INDEX('Checks'!$F$4:$F$503,_calc!$E$100),"yyyy-mm-dd"),""))</f>
        <v/>
      </c>
      <c r="E98" s="43">
        <f>IF(_calc!$E$100="","","High")</f>
        <v/>
      </c>
      <c r="F98" s="43">
        <f>IF(_calc!$E$100="","",TRIM(IF(LEN(IF(LEN(INDEX('Checks'!$B$4:$B$503,_calc!$E$100))=0,"",INDEX('Checks'!$B$4:$B$503,_calc!$E$100)))=0,"","Role: "&amp;IF(LEN(INDEX('Checks'!$B$4:$B$503,_calc!$E$100))=0,"",INDEX('Checks'!$B$4:$B$503,_calc!$E$100))&amp;". ")&amp;IF(LEN(IF(LEN(INDEX('Checks'!$D$4:$D$503,_calc!$E$100))=0,"",INDEX('Checks'!$D$4:$D$503,_calc!$E$100)))=0,"","Check type: "&amp;IF(LEN(INDEX('Checks'!$D$4:$D$503,_calc!$E$100))=0,"",INDEX('Checks'!$D$4:$D$503,_calc!$E$100))&amp;". ")&amp;IF(LEN(IF(LEN(INDEX('Checks'!$E$4:$E$503,_calc!$E$100))=0,"",INDEX('Checks'!$E$4:$E$503,_calc!$E$100)))=0,"","Evidence: "&amp;IF(LEN(INDEX('Checks'!$E$4:$E$503,_calc!$E$100))=0,"",INDEX('Checks'!$E$4:$E$503,_calc!$E$100))&amp;". ")&amp;IF(LEN(IF(LEN(INDEX('Checks'!$G$4:$G$503,_calc!$E$100))=0,"",INDEX('Checks'!$G$4:$G$503,_calc!$E$100)))=0,"","Checked by: "&amp;IF(LEN(INDEX('Checks'!$G$4:$G$503,_calc!$E$100))=0,"",INDEX('Checks'!$G$4:$G$503,_calc!$E$100))&amp;". ")&amp;IF(LEN(IF(LEN(INDEX('Checks'!$Q$4:$Q$503,_calc!$E$100))=0,"",INDEX('Checks'!$Q$4:$Q$503,_calc!$E$100)))=0,"",IF(LEN(INDEX('Checks'!$Q$4:$Q$503,_calc!$E$100))=0,"",INDEX('Checks'!$Q$4:$Q$503,_calc!$E$100)))))</f>
        <v/>
      </c>
      <c r="G98" s="43">
        <f>IF(_calc!$E$100="","",IF(LEN(INDEX('Checks'!$P$4:$P$503,_calc!$E$100))=0,"",INDEX('Checks'!$P$4:$P$503,_calc!$E$100)))</f>
        <v/>
      </c>
      <c r="K98" s="43">
        <f>IF(_calc!$E$100="","",IF(LEN(INDEX('Checks'!$O$4:$O$503,_calc!$E$100))=0,"",INDEX('Checks'!$O$4:$O$503,_calc!$E$100)))</f>
        <v/>
      </c>
    </row>
    <row r="99">
      <c r="A99" s="43">
        <f>IF(_calc!$E$101="","","Right to work follow-up – "&amp;IF(LEN(INDEX('Checks'!$A$4:$A$503,_calc!$E$101))=0,"",INDEX('Checks'!$A$4:$A$503,_calc!$E$101)))</f>
        <v/>
      </c>
      <c r="B99" s="43">
        <f>IF(_calc!$E$101="","",IF(ISNUMBER(INDEX('Checks'!$H$4:$H$503,_calc!$E$101)),TEXT(INDEX('Checks'!$H$4:$H$503,_calc!$E$101),"yyyy-mm-dd"),""))</f>
        <v/>
      </c>
      <c r="C99" s="43">
        <f>IF(_calc!$E$101="","","Right to work")</f>
        <v/>
      </c>
      <c r="D99" s="43">
        <f>IF(_calc!$E$101="","",IF(ISNUMBER(INDEX('Checks'!$F$4:$F$503,_calc!$E$101)),TEXT(INDEX('Checks'!$F$4:$F$503,_calc!$E$101),"yyyy-mm-dd"),""))</f>
        <v/>
      </c>
      <c r="E99" s="43">
        <f>IF(_calc!$E$101="","","High")</f>
        <v/>
      </c>
      <c r="F99" s="43">
        <f>IF(_calc!$E$101="","",TRIM(IF(LEN(IF(LEN(INDEX('Checks'!$B$4:$B$503,_calc!$E$101))=0,"",INDEX('Checks'!$B$4:$B$503,_calc!$E$101)))=0,"","Role: "&amp;IF(LEN(INDEX('Checks'!$B$4:$B$503,_calc!$E$101))=0,"",INDEX('Checks'!$B$4:$B$503,_calc!$E$101))&amp;". ")&amp;IF(LEN(IF(LEN(INDEX('Checks'!$D$4:$D$503,_calc!$E$101))=0,"",INDEX('Checks'!$D$4:$D$503,_calc!$E$101)))=0,"","Check type: "&amp;IF(LEN(INDEX('Checks'!$D$4:$D$503,_calc!$E$101))=0,"",INDEX('Checks'!$D$4:$D$503,_calc!$E$101))&amp;". ")&amp;IF(LEN(IF(LEN(INDEX('Checks'!$E$4:$E$503,_calc!$E$101))=0,"",INDEX('Checks'!$E$4:$E$503,_calc!$E$101)))=0,"","Evidence: "&amp;IF(LEN(INDEX('Checks'!$E$4:$E$503,_calc!$E$101))=0,"",INDEX('Checks'!$E$4:$E$503,_calc!$E$101))&amp;". ")&amp;IF(LEN(IF(LEN(INDEX('Checks'!$G$4:$G$503,_calc!$E$101))=0,"",INDEX('Checks'!$G$4:$G$503,_calc!$E$101)))=0,"","Checked by: "&amp;IF(LEN(INDEX('Checks'!$G$4:$G$503,_calc!$E$101))=0,"",INDEX('Checks'!$G$4:$G$503,_calc!$E$101))&amp;". ")&amp;IF(LEN(IF(LEN(INDEX('Checks'!$Q$4:$Q$503,_calc!$E$101))=0,"",INDEX('Checks'!$Q$4:$Q$503,_calc!$E$101)))=0,"",IF(LEN(INDEX('Checks'!$Q$4:$Q$503,_calc!$E$101))=0,"",INDEX('Checks'!$Q$4:$Q$503,_calc!$E$101)))))</f>
        <v/>
      </c>
      <c r="G99" s="43">
        <f>IF(_calc!$E$101="","",IF(LEN(INDEX('Checks'!$P$4:$P$503,_calc!$E$101))=0,"",INDEX('Checks'!$P$4:$P$503,_calc!$E$101)))</f>
        <v/>
      </c>
      <c r="K99" s="43">
        <f>IF(_calc!$E$101="","",IF(LEN(INDEX('Checks'!$O$4:$O$503,_calc!$E$101))=0,"",INDEX('Checks'!$O$4:$O$503,_calc!$E$101)))</f>
        <v/>
      </c>
    </row>
    <row r="100">
      <c r="A100" s="43">
        <f>IF(_calc!$E$102="","","Right to work follow-up – "&amp;IF(LEN(INDEX('Checks'!$A$4:$A$503,_calc!$E$102))=0,"",INDEX('Checks'!$A$4:$A$503,_calc!$E$102)))</f>
        <v/>
      </c>
      <c r="B100" s="43">
        <f>IF(_calc!$E$102="","",IF(ISNUMBER(INDEX('Checks'!$H$4:$H$503,_calc!$E$102)),TEXT(INDEX('Checks'!$H$4:$H$503,_calc!$E$102),"yyyy-mm-dd"),""))</f>
        <v/>
      </c>
      <c r="C100" s="43">
        <f>IF(_calc!$E$102="","","Right to work")</f>
        <v/>
      </c>
      <c r="D100" s="43">
        <f>IF(_calc!$E$102="","",IF(ISNUMBER(INDEX('Checks'!$F$4:$F$503,_calc!$E$102)),TEXT(INDEX('Checks'!$F$4:$F$503,_calc!$E$102),"yyyy-mm-dd"),""))</f>
        <v/>
      </c>
      <c r="E100" s="43">
        <f>IF(_calc!$E$102="","","High")</f>
        <v/>
      </c>
      <c r="F100" s="43">
        <f>IF(_calc!$E$102="","",TRIM(IF(LEN(IF(LEN(INDEX('Checks'!$B$4:$B$503,_calc!$E$102))=0,"",INDEX('Checks'!$B$4:$B$503,_calc!$E$102)))=0,"","Role: "&amp;IF(LEN(INDEX('Checks'!$B$4:$B$503,_calc!$E$102))=0,"",INDEX('Checks'!$B$4:$B$503,_calc!$E$102))&amp;". ")&amp;IF(LEN(IF(LEN(INDEX('Checks'!$D$4:$D$503,_calc!$E$102))=0,"",INDEX('Checks'!$D$4:$D$503,_calc!$E$102)))=0,"","Check type: "&amp;IF(LEN(INDEX('Checks'!$D$4:$D$503,_calc!$E$102))=0,"",INDEX('Checks'!$D$4:$D$503,_calc!$E$102))&amp;". ")&amp;IF(LEN(IF(LEN(INDEX('Checks'!$E$4:$E$503,_calc!$E$102))=0,"",INDEX('Checks'!$E$4:$E$503,_calc!$E$102)))=0,"","Evidence: "&amp;IF(LEN(INDEX('Checks'!$E$4:$E$503,_calc!$E$102))=0,"",INDEX('Checks'!$E$4:$E$503,_calc!$E$102))&amp;". ")&amp;IF(LEN(IF(LEN(INDEX('Checks'!$G$4:$G$503,_calc!$E$102))=0,"",INDEX('Checks'!$G$4:$G$503,_calc!$E$102)))=0,"","Checked by: "&amp;IF(LEN(INDEX('Checks'!$G$4:$G$503,_calc!$E$102))=0,"",INDEX('Checks'!$G$4:$G$503,_calc!$E$102))&amp;". ")&amp;IF(LEN(IF(LEN(INDEX('Checks'!$Q$4:$Q$503,_calc!$E$102))=0,"",INDEX('Checks'!$Q$4:$Q$503,_calc!$E$102)))=0,"",IF(LEN(INDEX('Checks'!$Q$4:$Q$503,_calc!$E$102))=0,"",INDEX('Checks'!$Q$4:$Q$503,_calc!$E$102)))))</f>
        <v/>
      </c>
      <c r="G100" s="43">
        <f>IF(_calc!$E$102="","",IF(LEN(INDEX('Checks'!$P$4:$P$503,_calc!$E$102))=0,"",INDEX('Checks'!$P$4:$P$503,_calc!$E$102)))</f>
        <v/>
      </c>
      <c r="K100" s="43">
        <f>IF(_calc!$E$102="","",IF(LEN(INDEX('Checks'!$O$4:$O$503,_calc!$E$102))=0,"",INDEX('Checks'!$O$4:$O$503,_calc!$E$102)))</f>
        <v/>
      </c>
    </row>
    <row r="101">
      <c r="A101" s="43">
        <f>IF(_calc!$E$103="","","Right to work follow-up – "&amp;IF(LEN(INDEX('Checks'!$A$4:$A$503,_calc!$E$103))=0,"",INDEX('Checks'!$A$4:$A$503,_calc!$E$103)))</f>
        <v/>
      </c>
      <c r="B101" s="43">
        <f>IF(_calc!$E$103="","",IF(ISNUMBER(INDEX('Checks'!$H$4:$H$503,_calc!$E$103)),TEXT(INDEX('Checks'!$H$4:$H$503,_calc!$E$103),"yyyy-mm-dd"),""))</f>
        <v/>
      </c>
      <c r="C101" s="43">
        <f>IF(_calc!$E$103="","","Right to work")</f>
        <v/>
      </c>
      <c r="D101" s="43">
        <f>IF(_calc!$E$103="","",IF(ISNUMBER(INDEX('Checks'!$F$4:$F$503,_calc!$E$103)),TEXT(INDEX('Checks'!$F$4:$F$503,_calc!$E$103),"yyyy-mm-dd"),""))</f>
        <v/>
      </c>
      <c r="E101" s="43">
        <f>IF(_calc!$E$103="","","High")</f>
        <v/>
      </c>
      <c r="F101" s="43">
        <f>IF(_calc!$E$103="","",TRIM(IF(LEN(IF(LEN(INDEX('Checks'!$B$4:$B$503,_calc!$E$103))=0,"",INDEX('Checks'!$B$4:$B$503,_calc!$E$103)))=0,"","Role: "&amp;IF(LEN(INDEX('Checks'!$B$4:$B$503,_calc!$E$103))=0,"",INDEX('Checks'!$B$4:$B$503,_calc!$E$103))&amp;". ")&amp;IF(LEN(IF(LEN(INDEX('Checks'!$D$4:$D$503,_calc!$E$103))=0,"",INDEX('Checks'!$D$4:$D$503,_calc!$E$103)))=0,"","Check type: "&amp;IF(LEN(INDEX('Checks'!$D$4:$D$503,_calc!$E$103))=0,"",INDEX('Checks'!$D$4:$D$503,_calc!$E$103))&amp;". ")&amp;IF(LEN(IF(LEN(INDEX('Checks'!$E$4:$E$503,_calc!$E$103))=0,"",INDEX('Checks'!$E$4:$E$503,_calc!$E$103)))=0,"","Evidence: "&amp;IF(LEN(INDEX('Checks'!$E$4:$E$503,_calc!$E$103))=0,"",INDEX('Checks'!$E$4:$E$503,_calc!$E$103))&amp;". ")&amp;IF(LEN(IF(LEN(INDEX('Checks'!$G$4:$G$503,_calc!$E$103))=0,"",INDEX('Checks'!$G$4:$G$503,_calc!$E$103)))=0,"","Checked by: "&amp;IF(LEN(INDEX('Checks'!$G$4:$G$503,_calc!$E$103))=0,"",INDEX('Checks'!$G$4:$G$503,_calc!$E$103))&amp;". ")&amp;IF(LEN(IF(LEN(INDEX('Checks'!$Q$4:$Q$503,_calc!$E$103))=0,"",INDEX('Checks'!$Q$4:$Q$503,_calc!$E$103)))=0,"",IF(LEN(INDEX('Checks'!$Q$4:$Q$503,_calc!$E$103))=0,"",INDEX('Checks'!$Q$4:$Q$503,_calc!$E$103)))))</f>
        <v/>
      </c>
      <c r="G101" s="43">
        <f>IF(_calc!$E$103="","",IF(LEN(INDEX('Checks'!$P$4:$P$503,_calc!$E$103))=0,"",INDEX('Checks'!$P$4:$P$503,_calc!$E$103)))</f>
        <v/>
      </c>
      <c r="K101" s="43">
        <f>IF(_calc!$E$103="","",IF(LEN(INDEX('Checks'!$O$4:$O$503,_calc!$E$103))=0,"",INDEX('Checks'!$O$4:$O$503,_calc!$E$103)))</f>
        <v/>
      </c>
    </row>
    <row r="102">
      <c r="A102" s="43">
        <f>IF(_calc!$E$104="","","Right to work follow-up – "&amp;IF(LEN(INDEX('Checks'!$A$4:$A$503,_calc!$E$104))=0,"",INDEX('Checks'!$A$4:$A$503,_calc!$E$104)))</f>
        <v/>
      </c>
      <c r="B102" s="43">
        <f>IF(_calc!$E$104="","",IF(ISNUMBER(INDEX('Checks'!$H$4:$H$503,_calc!$E$104)),TEXT(INDEX('Checks'!$H$4:$H$503,_calc!$E$104),"yyyy-mm-dd"),""))</f>
        <v/>
      </c>
      <c r="C102" s="43">
        <f>IF(_calc!$E$104="","","Right to work")</f>
        <v/>
      </c>
      <c r="D102" s="43">
        <f>IF(_calc!$E$104="","",IF(ISNUMBER(INDEX('Checks'!$F$4:$F$503,_calc!$E$104)),TEXT(INDEX('Checks'!$F$4:$F$503,_calc!$E$104),"yyyy-mm-dd"),""))</f>
        <v/>
      </c>
      <c r="E102" s="43">
        <f>IF(_calc!$E$104="","","High")</f>
        <v/>
      </c>
      <c r="F102" s="43">
        <f>IF(_calc!$E$104="","",TRIM(IF(LEN(IF(LEN(INDEX('Checks'!$B$4:$B$503,_calc!$E$104))=0,"",INDEX('Checks'!$B$4:$B$503,_calc!$E$104)))=0,"","Role: "&amp;IF(LEN(INDEX('Checks'!$B$4:$B$503,_calc!$E$104))=0,"",INDEX('Checks'!$B$4:$B$503,_calc!$E$104))&amp;". ")&amp;IF(LEN(IF(LEN(INDEX('Checks'!$D$4:$D$503,_calc!$E$104))=0,"",INDEX('Checks'!$D$4:$D$503,_calc!$E$104)))=0,"","Check type: "&amp;IF(LEN(INDEX('Checks'!$D$4:$D$503,_calc!$E$104))=0,"",INDEX('Checks'!$D$4:$D$503,_calc!$E$104))&amp;". ")&amp;IF(LEN(IF(LEN(INDEX('Checks'!$E$4:$E$503,_calc!$E$104))=0,"",INDEX('Checks'!$E$4:$E$503,_calc!$E$104)))=0,"","Evidence: "&amp;IF(LEN(INDEX('Checks'!$E$4:$E$503,_calc!$E$104))=0,"",INDEX('Checks'!$E$4:$E$503,_calc!$E$104))&amp;". ")&amp;IF(LEN(IF(LEN(INDEX('Checks'!$G$4:$G$503,_calc!$E$104))=0,"",INDEX('Checks'!$G$4:$G$503,_calc!$E$104)))=0,"","Checked by: "&amp;IF(LEN(INDEX('Checks'!$G$4:$G$503,_calc!$E$104))=0,"",INDEX('Checks'!$G$4:$G$503,_calc!$E$104))&amp;". ")&amp;IF(LEN(IF(LEN(INDEX('Checks'!$Q$4:$Q$503,_calc!$E$104))=0,"",INDEX('Checks'!$Q$4:$Q$503,_calc!$E$104)))=0,"",IF(LEN(INDEX('Checks'!$Q$4:$Q$503,_calc!$E$104))=0,"",INDEX('Checks'!$Q$4:$Q$503,_calc!$E$104)))))</f>
        <v/>
      </c>
      <c r="G102" s="43">
        <f>IF(_calc!$E$104="","",IF(LEN(INDEX('Checks'!$P$4:$P$503,_calc!$E$104))=0,"",INDEX('Checks'!$P$4:$P$503,_calc!$E$104)))</f>
        <v/>
      </c>
      <c r="K102" s="43">
        <f>IF(_calc!$E$104="","",IF(LEN(INDEX('Checks'!$O$4:$O$503,_calc!$E$104))=0,"",INDEX('Checks'!$O$4:$O$503,_calc!$E$104)))</f>
        <v/>
      </c>
    </row>
    <row r="103">
      <c r="A103" s="43">
        <f>IF(_calc!$E$105="","","Right to work follow-up – "&amp;IF(LEN(INDEX('Checks'!$A$4:$A$503,_calc!$E$105))=0,"",INDEX('Checks'!$A$4:$A$503,_calc!$E$105)))</f>
        <v/>
      </c>
      <c r="B103" s="43">
        <f>IF(_calc!$E$105="","",IF(ISNUMBER(INDEX('Checks'!$H$4:$H$503,_calc!$E$105)),TEXT(INDEX('Checks'!$H$4:$H$503,_calc!$E$105),"yyyy-mm-dd"),""))</f>
        <v/>
      </c>
      <c r="C103" s="43">
        <f>IF(_calc!$E$105="","","Right to work")</f>
        <v/>
      </c>
      <c r="D103" s="43">
        <f>IF(_calc!$E$105="","",IF(ISNUMBER(INDEX('Checks'!$F$4:$F$503,_calc!$E$105)),TEXT(INDEX('Checks'!$F$4:$F$503,_calc!$E$105),"yyyy-mm-dd"),""))</f>
        <v/>
      </c>
      <c r="E103" s="43">
        <f>IF(_calc!$E$105="","","High")</f>
        <v/>
      </c>
      <c r="F103" s="43">
        <f>IF(_calc!$E$105="","",TRIM(IF(LEN(IF(LEN(INDEX('Checks'!$B$4:$B$503,_calc!$E$105))=0,"",INDEX('Checks'!$B$4:$B$503,_calc!$E$105)))=0,"","Role: "&amp;IF(LEN(INDEX('Checks'!$B$4:$B$503,_calc!$E$105))=0,"",INDEX('Checks'!$B$4:$B$503,_calc!$E$105))&amp;". ")&amp;IF(LEN(IF(LEN(INDEX('Checks'!$D$4:$D$503,_calc!$E$105))=0,"",INDEX('Checks'!$D$4:$D$503,_calc!$E$105)))=0,"","Check type: "&amp;IF(LEN(INDEX('Checks'!$D$4:$D$503,_calc!$E$105))=0,"",INDEX('Checks'!$D$4:$D$503,_calc!$E$105))&amp;". ")&amp;IF(LEN(IF(LEN(INDEX('Checks'!$E$4:$E$503,_calc!$E$105))=0,"",INDEX('Checks'!$E$4:$E$503,_calc!$E$105)))=0,"","Evidence: "&amp;IF(LEN(INDEX('Checks'!$E$4:$E$503,_calc!$E$105))=0,"",INDEX('Checks'!$E$4:$E$503,_calc!$E$105))&amp;". ")&amp;IF(LEN(IF(LEN(INDEX('Checks'!$G$4:$G$503,_calc!$E$105))=0,"",INDEX('Checks'!$G$4:$G$503,_calc!$E$105)))=0,"","Checked by: "&amp;IF(LEN(INDEX('Checks'!$G$4:$G$503,_calc!$E$105))=0,"",INDEX('Checks'!$G$4:$G$503,_calc!$E$105))&amp;". ")&amp;IF(LEN(IF(LEN(INDEX('Checks'!$Q$4:$Q$503,_calc!$E$105))=0,"",INDEX('Checks'!$Q$4:$Q$503,_calc!$E$105)))=0,"",IF(LEN(INDEX('Checks'!$Q$4:$Q$503,_calc!$E$105))=0,"",INDEX('Checks'!$Q$4:$Q$503,_calc!$E$105)))))</f>
        <v/>
      </c>
      <c r="G103" s="43">
        <f>IF(_calc!$E$105="","",IF(LEN(INDEX('Checks'!$P$4:$P$503,_calc!$E$105))=0,"",INDEX('Checks'!$P$4:$P$503,_calc!$E$105)))</f>
        <v/>
      </c>
      <c r="K103" s="43">
        <f>IF(_calc!$E$105="","",IF(LEN(INDEX('Checks'!$O$4:$O$503,_calc!$E$105))=0,"",INDEX('Checks'!$O$4:$O$503,_calc!$E$105)))</f>
        <v/>
      </c>
    </row>
    <row r="104">
      <c r="A104" s="43">
        <f>IF(_calc!$E$106="","","Right to work follow-up – "&amp;IF(LEN(INDEX('Checks'!$A$4:$A$503,_calc!$E$106))=0,"",INDEX('Checks'!$A$4:$A$503,_calc!$E$106)))</f>
        <v/>
      </c>
      <c r="B104" s="43">
        <f>IF(_calc!$E$106="","",IF(ISNUMBER(INDEX('Checks'!$H$4:$H$503,_calc!$E$106)),TEXT(INDEX('Checks'!$H$4:$H$503,_calc!$E$106),"yyyy-mm-dd"),""))</f>
        <v/>
      </c>
      <c r="C104" s="43">
        <f>IF(_calc!$E$106="","","Right to work")</f>
        <v/>
      </c>
      <c r="D104" s="43">
        <f>IF(_calc!$E$106="","",IF(ISNUMBER(INDEX('Checks'!$F$4:$F$503,_calc!$E$106)),TEXT(INDEX('Checks'!$F$4:$F$503,_calc!$E$106),"yyyy-mm-dd"),""))</f>
        <v/>
      </c>
      <c r="E104" s="43">
        <f>IF(_calc!$E$106="","","High")</f>
        <v/>
      </c>
      <c r="F104" s="43">
        <f>IF(_calc!$E$106="","",TRIM(IF(LEN(IF(LEN(INDEX('Checks'!$B$4:$B$503,_calc!$E$106))=0,"",INDEX('Checks'!$B$4:$B$503,_calc!$E$106)))=0,"","Role: "&amp;IF(LEN(INDEX('Checks'!$B$4:$B$503,_calc!$E$106))=0,"",INDEX('Checks'!$B$4:$B$503,_calc!$E$106))&amp;". ")&amp;IF(LEN(IF(LEN(INDEX('Checks'!$D$4:$D$503,_calc!$E$106))=0,"",INDEX('Checks'!$D$4:$D$503,_calc!$E$106)))=0,"","Check type: "&amp;IF(LEN(INDEX('Checks'!$D$4:$D$503,_calc!$E$106))=0,"",INDEX('Checks'!$D$4:$D$503,_calc!$E$106))&amp;". ")&amp;IF(LEN(IF(LEN(INDEX('Checks'!$E$4:$E$503,_calc!$E$106))=0,"",INDEX('Checks'!$E$4:$E$503,_calc!$E$106)))=0,"","Evidence: "&amp;IF(LEN(INDEX('Checks'!$E$4:$E$503,_calc!$E$106))=0,"",INDEX('Checks'!$E$4:$E$503,_calc!$E$106))&amp;". ")&amp;IF(LEN(IF(LEN(INDEX('Checks'!$G$4:$G$503,_calc!$E$106))=0,"",INDEX('Checks'!$G$4:$G$503,_calc!$E$106)))=0,"","Checked by: "&amp;IF(LEN(INDEX('Checks'!$G$4:$G$503,_calc!$E$106))=0,"",INDEX('Checks'!$G$4:$G$503,_calc!$E$106))&amp;". ")&amp;IF(LEN(IF(LEN(INDEX('Checks'!$Q$4:$Q$503,_calc!$E$106))=0,"",INDEX('Checks'!$Q$4:$Q$503,_calc!$E$106)))=0,"",IF(LEN(INDEX('Checks'!$Q$4:$Q$503,_calc!$E$106))=0,"",INDEX('Checks'!$Q$4:$Q$503,_calc!$E$106)))))</f>
        <v/>
      </c>
      <c r="G104" s="43">
        <f>IF(_calc!$E$106="","",IF(LEN(INDEX('Checks'!$P$4:$P$503,_calc!$E$106))=0,"",INDEX('Checks'!$P$4:$P$503,_calc!$E$106)))</f>
        <v/>
      </c>
      <c r="K104" s="43">
        <f>IF(_calc!$E$106="","",IF(LEN(INDEX('Checks'!$O$4:$O$503,_calc!$E$106))=0,"",INDEX('Checks'!$O$4:$O$503,_calc!$E$106)))</f>
        <v/>
      </c>
    </row>
    <row r="105">
      <c r="A105" s="43">
        <f>IF(_calc!$E$107="","","Right to work follow-up – "&amp;IF(LEN(INDEX('Checks'!$A$4:$A$503,_calc!$E$107))=0,"",INDEX('Checks'!$A$4:$A$503,_calc!$E$107)))</f>
        <v/>
      </c>
      <c r="B105" s="43">
        <f>IF(_calc!$E$107="","",IF(ISNUMBER(INDEX('Checks'!$H$4:$H$503,_calc!$E$107)),TEXT(INDEX('Checks'!$H$4:$H$503,_calc!$E$107),"yyyy-mm-dd"),""))</f>
        <v/>
      </c>
      <c r="C105" s="43">
        <f>IF(_calc!$E$107="","","Right to work")</f>
        <v/>
      </c>
      <c r="D105" s="43">
        <f>IF(_calc!$E$107="","",IF(ISNUMBER(INDEX('Checks'!$F$4:$F$503,_calc!$E$107)),TEXT(INDEX('Checks'!$F$4:$F$503,_calc!$E$107),"yyyy-mm-dd"),""))</f>
        <v/>
      </c>
      <c r="E105" s="43">
        <f>IF(_calc!$E$107="","","High")</f>
        <v/>
      </c>
      <c r="F105" s="43">
        <f>IF(_calc!$E$107="","",TRIM(IF(LEN(IF(LEN(INDEX('Checks'!$B$4:$B$503,_calc!$E$107))=0,"",INDEX('Checks'!$B$4:$B$503,_calc!$E$107)))=0,"","Role: "&amp;IF(LEN(INDEX('Checks'!$B$4:$B$503,_calc!$E$107))=0,"",INDEX('Checks'!$B$4:$B$503,_calc!$E$107))&amp;". ")&amp;IF(LEN(IF(LEN(INDEX('Checks'!$D$4:$D$503,_calc!$E$107))=0,"",INDEX('Checks'!$D$4:$D$503,_calc!$E$107)))=0,"","Check type: "&amp;IF(LEN(INDEX('Checks'!$D$4:$D$503,_calc!$E$107))=0,"",INDEX('Checks'!$D$4:$D$503,_calc!$E$107))&amp;". ")&amp;IF(LEN(IF(LEN(INDEX('Checks'!$E$4:$E$503,_calc!$E$107))=0,"",INDEX('Checks'!$E$4:$E$503,_calc!$E$107)))=0,"","Evidence: "&amp;IF(LEN(INDEX('Checks'!$E$4:$E$503,_calc!$E$107))=0,"",INDEX('Checks'!$E$4:$E$503,_calc!$E$107))&amp;". ")&amp;IF(LEN(IF(LEN(INDEX('Checks'!$G$4:$G$503,_calc!$E$107))=0,"",INDEX('Checks'!$G$4:$G$503,_calc!$E$107)))=0,"","Checked by: "&amp;IF(LEN(INDEX('Checks'!$G$4:$G$503,_calc!$E$107))=0,"",INDEX('Checks'!$G$4:$G$503,_calc!$E$107))&amp;". ")&amp;IF(LEN(IF(LEN(INDEX('Checks'!$Q$4:$Q$503,_calc!$E$107))=0,"",INDEX('Checks'!$Q$4:$Q$503,_calc!$E$107)))=0,"",IF(LEN(INDEX('Checks'!$Q$4:$Q$503,_calc!$E$107))=0,"",INDEX('Checks'!$Q$4:$Q$503,_calc!$E$107)))))</f>
        <v/>
      </c>
      <c r="G105" s="43">
        <f>IF(_calc!$E$107="","",IF(LEN(INDEX('Checks'!$P$4:$P$503,_calc!$E$107))=0,"",INDEX('Checks'!$P$4:$P$503,_calc!$E$107)))</f>
        <v/>
      </c>
      <c r="K105" s="43">
        <f>IF(_calc!$E$107="","",IF(LEN(INDEX('Checks'!$O$4:$O$503,_calc!$E$107))=0,"",INDEX('Checks'!$O$4:$O$503,_calc!$E$107)))</f>
        <v/>
      </c>
    </row>
    <row r="106">
      <c r="A106" s="43">
        <f>IF(_calc!$E$108="","","Right to work follow-up – "&amp;IF(LEN(INDEX('Checks'!$A$4:$A$503,_calc!$E$108))=0,"",INDEX('Checks'!$A$4:$A$503,_calc!$E$108)))</f>
        <v/>
      </c>
      <c r="B106" s="43">
        <f>IF(_calc!$E$108="","",IF(ISNUMBER(INDEX('Checks'!$H$4:$H$503,_calc!$E$108)),TEXT(INDEX('Checks'!$H$4:$H$503,_calc!$E$108),"yyyy-mm-dd"),""))</f>
        <v/>
      </c>
      <c r="C106" s="43">
        <f>IF(_calc!$E$108="","","Right to work")</f>
        <v/>
      </c>
      <c r="D106" s="43">
        <f>IF(_calc!$E$108="","",IF(ISNUMBER(INDEX('Checks'!$F$4:$F$503,_calc!$E$108)),TEXT(INDEX('Checks'!$F$4:$F$503,_calc!$E$108),"yyyy-mm-dd"),""))</f>
        <v/>
      </c>
      <c r="E106" s="43">
        <f>IF(_calc!$E$108="","","High")</f>
        <v/>
      </c>
      <c r="F106" s="43">
        <f>IF(_calc!$E$108="","",TRIM(IF(LEN(IF(LEN(INDEX('Checks'!$B$4:$B$503,_calc!$E$108))=0,"",INDEX('Checks'!$B$4:$B$503,_calc!$E$108)))=0,"","Role: "&amp;IF(LEN(INDEX('Checks'!$B$4:$B$503,_calc!$E$108))=0,"",INDEX('Checks'!$B$4:$B$503,_calc!$E$108))&amp;". ")&amp;IF(LEN(IF(LEN(INDEX('Checks'!$D$4:$D$503,_calc!$E$108))=0,"",INDEX('Checks'!$D$4:$D$503,_calc!$E$108)))=0,"","Check type: "&amp;IF(LEN(INDEX('Checks'!$D$4:$D$503,_calc!$E$108))=0,"",INDEX('Checks'!$D$4:$D$503,_calc!$E$108))&amp;". ")&amp;IF(LEN(IF(LEN(INDEX('Checks'!$E$4:$E$503,_calc!$E$108))=0,"",INDEX('Checks'!$E$4:$E$503,_calc!$E$108)))=0,"","Evidence: "&amp;IF(LEN(INDEX('Checks'!$E$4:$E$503,_calc!$E$108))=0,"",INDEX('Checks'!$E$4:$E$503,_calc!$E$108))&amp;". ")&amp;IF(LEN(IF(LEN(INDEX('Checks'!$G$4:$G$503,_calc!$E$108))=0,"",INDEX('Checks'!$G$4:$G$503,_calc!$E$108)))=0,"","Checked by: "&amp;IF(LEN(INDEX('Checks'!$G$4:$G$503,_calc!$E$108))=0,"",INDEX('Checks'!$G$4:$G$503,_calc!$E$108))&amp;". ")&amp;IF(LEN(IF(LEN(INDEX('Checks'!$Q$4:$Q$503,_calc!$E$108))=0,"",INDEX('Checks'!$Q$4:$Q$503,_calc!$E$108)))=0,"",IF(LEN(INDEX('Checks'!$Q$4:$Q$503,_calc!$E$108))=0,"",INDEX('Checks'!$Q$4:$Q$503,_calc!$E$108)))))</f>
        <v/>
      </c>
      <c r="G106" s="43">
        <f>IF(_calc!$E$108="","",IF(LEN(INDEX('Checks'!$P$4:$P$503,_calc!$E$108))=0,"",INDEX('Checks'!$P$4:$P$503,_calc!$E$108)))</f>
        <v/>
      </c>
      <c r="K106" s="43">
        <f>IF(_calc!$E$108="","",IF(LEN(INDEX('Checks'!$O$4:$O$503,_calc!$E$108))=0,"",INDEX('Checks'!$O$4:$O$503,_calc!$E$108)))</f>
        <v/>
      </c>
    </row>
    <row r="107">
      <c r="A107" s="43">
        <f>IF(_calc!$E$109="","","Right to work follow-up – "&amp;IF(LEN(INDEX('Checks'!$A$4:$A$503,_calc!$E$109))=0,"",INDEX('Checks'!$A$4:$A$503,_calc!$E$109)))</f>
        <v/>
      </c>
      <c r="B107" s="43">
        <f>IF(_calc!$E$109="","",IF(ISNUMBER(INDEX('Checks'!$H$4:$H$503,_calc!$E$109)),TEXT(INDEX('Checks'!$H$4:$H$503,_calc!$E$109),"yyyy-mm-dd"),""))</f>
        <v/>
      </c>
      <c r="C107" s="43">
        <f>IF(_calc!$E$109="","","Right to work")</f>
        <v/>
      </c>
      <c r="D107" s="43">
        <f>IF(_calc!$E$109="","",IF(ISNUMBER(INDEX('Checks'!$F$4:$F$503,_calc!$E$109)),TEXT(INDEX('Checks'!$F$4:$F$503,_calc!$E$109),"yyyy-mm-dd"),""))</f>
        <v/>
      </c>
      <c r="E107" s="43">
        <f>IF(_calc!$E$109="","","High")</f>
        <v/>
      </c>
      <c r="F107" s="43">
        <f>IF(_calc!$E$109="","",TRIM(IF(LEN(IF(LEN(INDEX('Checks'!$B$4:$B$503,_calc!$E$109))=0,"",INDEX('Checks'!$B$4:$B$503,_calc!$E$109)))=0,"","Role: "&amp;IF(LEN(INDEX('Checks'!$B$4:$B$503,_calc!$E$109))=0,"",INDEX('Checks'!$B$4:$B$503,_calc!$E$109))&amp;". ")&amp;IF(LEN(IF(LEN(INDEX('Checks'!$D$4:$D$503,_calc!$E$109))=0,"",INDEX('Checks'!$D$4:$D$503,_calc!$E$109)))=0,"","Check type: "&amp;IF(LEN(INDEX('Checks'!$D$4:$D$503,_calc!$E$109))=0,"",INDEX('Checks'!$D$4:$D$503,_calc!$E$109))&amp;". ")&amp;IF(LEN(IF(LEN(INDEX('Checks'!$E$4:$E$503,_calc!$E$109))=0,"",INDEX('Checks'!$E$4:$E$503,_calc!$E$109)))=0,"","Evidence: "&amp;IF(LEN(INDEX('Checks'!$E$4:$E$503,_calc!$E$109))=0,"",INDEX('Checks'!$E$4:$E$503,_calc!$E$109))&amp;". ")&amp;IF(LEN(IF(LEN(INDEX('Checks'!$G$4:$G$503,_calc!$E$109))=0,"",INDEX('Checks'!$G$4:$G$503,_calc!$E$109)))=0,"","Checked by: "&amp;IF(LEN(INDEX('Checks'!$G$4:$G$503,_calc!$E$109))=0,"",INDEX('Checks'!$G$4:$G$503,_calc!$E$109))&amp;". ")&amp;IF(LEN(IF(LEN(INDEX('Checks'!$Q$4:$Q$503,_calc!$E$109))=0,"",INDEX('Checks'!$Q$4:$Q$503,_calc!$E$109)))=0,"",IF(LEN(INDEX('Checks'!$Q$4:$Q$503,_calc!$E$109))=0,"",INDEX('Checks'!$Q$4:$Q$503,_calc!$E$109)))))</f>
        <v/>
      </c>
      <c r="G107" s="43">
        <f>IF(_calc!$E$109="","",IF(LEN(INDEX('Checks'!$P$4:$P$503,_calc!$E$109))=0,"",INDEX('Checks'!$P$4:$P$503,_calc!$E$109)))</f>
        <v/>
      </c>
      <c r="K107" s="43">
        <f>IF(_calc!$E$109="","",IF(LEN(INDEX('Checks'!$O$4:$O$503,_calc!$E$109))=0,"",INDEX('Checks'!$O$4:$O$503,_calc!$E$109)))</f>
        <v/>
      </c>
    </row>
    <row r="108">
      <c r="A108" s="43">
        <f>IF(_calc!$E$110="","","Right to work follow-up – "&amp;IF(LEN(INDEX('Checks'!$A$4:$A$503,_calc!$E$110))=0,"",INDEX('Checks'!$A$4:$A$503,_calc!$E$110)))</f>
        <v/>
      </c>
      <c r="B108" s="43">
        <f>IF(_calc!$E$110="","",IF(ISNUMBER(INDEX('Checks'!$H$4:$H$503,_calc!$E$110)),TEXT(INDEX('Checks'!$H$4:$H$503,_calc!$E$110),"yyyy-mm-dd"),""))</f>
        <v/>
      </c>
      <c r="C108" s="43">
        <f>IF(_calc!$E$110="","","Right to work")</f>
        <v/>
      </c>
      <c r="D108" s="43">
        <f>IF(_calc!$E$110="","",IF(ISNUMBER(INDEX('Checks'!$F$4:$F$503,_calc!$E$110)),TEXT(INDEX('Checks'!$F$4:$F$503,_calc!$E$110),"yyyy-mm-dd"),""))</f>
        <v/>
      </c>
      <c r="E108" s="43">
        <f>IF(_calc!$E$110="","","High")</f>
        <v/>
      </c>
      <c r="F108" s="43">
        <f>IF(_calc!$E$110="","",TRIM(IF(LEN(IF(LEN(INDEX('Checks'!$B$4:$B$503,_calc!$E$110))=0,"",INDEX('Checks'!$B$4:$B$503,_calc!$E$110)))=0,"","Role: "&amp;IF(LEN(INDEX('Checks'!$B$4:$B$503,_calc!$E$110))=0,"",INDEX('Checks'!$B$4:$B$503,_calc!$E$110))&amp;". ")&amp;IF(LEN(IF(LEN(INDEX('Checks'!$D$4:$D$503,_calc!$E$110))=0,"",INDEX('Checks'!$D$4:$D$503,_calc!$E$110)))=0,"","Check type: "&amp;IF(LEN(INDEX('Checks'!$D$4:$D$503,_calc!$E$110))=0,"",INDEX('Checks'!$D$4:$D$503,_calc!$E$110))&amp;". ")&amp;IF(LEN(IF(LEN(INDEX('Checks'!$E$4:$E$503,_calc!$E$110))=0,"",INDEX('Checks'!$E$4:$E$503,_calc!$E$110)))=0,"","Evidence: "&amp;IF(LEN(INDEX('Checks'!$E$4:$E$503,_calc!$E$110))=0,"",INDEX('Checks'!$E$4:$E$503,_calc!$E$110))&amp;". ")&amp;IF(LEN(IF(LEN(INDEX('Checks'!$G$4:$G$503,_calc!$E$110))=0,"",INDEX('Checks'!$G$4:$G$503,_calc!$E$110)))=0,"","Checked by: "&amp;IF(LEN(INDEX('Checks'!$G$4:$G$503,_calc!$E$110))=0,"",INDEX('Checks'!$G$4:$G$503,_calc!$E$110))&amp;". ")&amp;IF(LEN(IF(LEN(INDEX('Checks'!$Q$4:$Q$503,_calc!$E$110))=0,"",INDEX('Checks'!$Q$4:$Q$503,_calc!$E$110)))=0,"",IF(LEN(INDEX('Checks'!$Q$4:$Q$503,_calc!$E$110))=0,"",INDEX('Checks'!$Q$4:$Q$503,_calc!$E$110)))))</f>
        <v/>
      </c>
      <c r="G108" s="43">
        <f>IF(_calc!$E$110="","",IF(LEN(INDEX('Checks'!$P$4:$P$503,_calc!$E$110))=0,"",INDEX('Checks'!$P$4:$P$503,_calc!$E$110)))</f>
        <v/>
      </c>
      <c r="K108" s="43">
        <f>IF(_calc!$E$110="","",IF(LEN(INDEX('Checks'!$O$4:$O$503,_calc!$E$110))=0,"",INDEX('Checks'!$O$4:$O$503,_calc!$E$110)))</f>
        <v/>
      </c>
    </row>
    <row r="109">
      <c r="A109" s="43">
        <f>IF(_calc!$E$111="","","Right to work follow-up – "&amp;IF(LEN(INDEX('Checks'!$A$4:$A$503,_calc!$E$111))=0,"",INDEX('Checks'!$A$4:$A$503,_calc!$E$111)))</f>
        <v/>
      </c>
      <c r="B109" s="43">
        <f>IF(_calc!$E$111="","",IF(ISNUMBER(INDEX('Checks'!$H$4:$H$503,_calc!$E$111)),TEXT(INDEX('Checks'!$H$4:$H$503,_calc!$E$111),"yyyy-mm-dd"),""))</f>
        <v/>
      </c>
      <c r="C109" s="43">
        <f>IF(_calc!$E$111="","","Right to work")</f>
        <v/>
      </c>
      <c r="D109" s="43">
        <f>IF(_calc!$E$111="","",IF(ISNUMBER(INDEX('Checks'!$F$4:$F$503,_calc!$E$111)),TEXT(INDEX('Checks'!$F$4:$F$503,_calc!$E$111),"yyyy-mm-dd"),""))</f>
        <v/>
      </c>
      <c r="E109" s="43">
        <f>IF(_calc!$E$111="","","High")</f>
        <v/>
      </c>
      <c r="F109" s="43">
        <f>IF(_calc!$E$111="","",TRIM(IF(LEN(IF(LEN(INDEX('Checks'!$B$4:$B$503,_calc!$E$111))=0,"",INDEX('Checks'!$B$4:$B$503,_calc!$E$111)))=0,"","Role: "&amp;IF(LEN(INDEX('Checks'!$B$4:$B$503,_calc!$E$111))=0,"",INDEX('Checks'!$B$4:$B$503,_calc!$E$111))&amp;". ")&amp;IF(LEN(IF(LEN(INDEX('Checks'!$D$4:$D$503,_calc!$E$111))=0,"",INDEX('Checks'!$D$4:$D$503,_calc!$E$111)))=0,"","Check type: "&amp;IF(LEN(INDEX('Checks'!$D$4:$D$503,_calc!$E$111))=0,"",INDEX('Checks'!$D$4:$D$503,_calc!$E$111))&amp;". ")&amp;IF(LEN(IF(LEN(INDEX('Checks'!$E$4:$E$503,_calc!$E$111))=0,"",INDEX('Checks'!$E$4:$E$503,_calc!$E$111)))=0,"","Evidence: "&amp;IF(LEN(INDEX('Checks'!$E$4:$E$503,_calc!$E$111))=0,"",INDEX('Checks'!$E$4:$E$503,_calc!$E$111))&amp;". ")&amp;IF(LEN(IF(LEN(INDEX('Checks'!$G$4:$G$503,_calc!$E$111))=0,"",INDEX('Checks'!$G$4:$G$503,_calc!$E$111)))=0,"","Checked by: "&amp;IF(LEN(INDEX('Checks'!$G$4:$G$503,_calc!$E$111))=0,"",INDEX('Checks'!$G$4:$G$503,_calc!$E$111))&amp;". ")&amp;IF(LEN(IF(LEN(INDEX('Checks'!$Q$4:$Q$503,_calc!$E$111))=0,"",INDEX('Checks'!$Q$4:$Q$503,_calc!$E$111)))=0,"",IF(LEN(INDEX('Checks'!$Q$4:$Q$503,_calc!$E$111))=0,"",INDEX('Checks'!$Q$4:$Q$503,_calc!$E$111)))))</f>
        <v/>
      </c>
      <c r="G109" s="43">
        <f>IF(_calc!$E$111="","",IF(LEN(INDEX('Checks'!$P$4:$P$503,_calc!$E$111))=0,"",INDEX('Checks'!$P$4:$P$503,_calc!$E$111)))</f>
        <v/>
      </c>
      <c r="K109" s="43">
        <f>IF(_calc!$E$111="","",IF(LEN(INDEX('Checks'!$O$4:$O$503,_calc!$E$111))=0,"",INDEX('Checks'!$O$4:$O$503,_calc!$E$111)))</f>
        <v/>
      </c>
    </row>
    <row r="110">
      <c r="A110" s="43">
        <f>IF(_calc!$E$112="","","Right to work follow-up – "&amp;IF(LEN(INDEX('Checks'!$A$4:$A$503,_calc!$E$112))=0,"",INDEX('Checks'!$A$4:$A$503,_calc!$E$112)))</f>
        <v/>
      </c>
      <c r="B110" s="43">
        <f>IF(_calc!$E$112="","",IF(ISNUMBER(INDEX('Checks'!$H$4:$H$503,_calc!$E$112)),TEXT(INDEX('Checks'!$H$4:$H$503,_calc!$E$112),"yyyy-mm-dd"),""))</f>
        <v/>
      </c>
      <c r="C110" s="43">
        <f>IF(_calc!$E$112="","","Right to work")</f>
        <v/>
      </c>
      <c r="D110" s="43">
        <f>IF(_calc!$E$112="","",IF(ISNUMBER(INDEX('Checks'!$F$4:$F$503,_calc!$E$112)),TEXT(INDEX('Checks'!$F$4:$F$503,_calc!$E$112),"yyyy-mm-dd"),""))</f>
        <v/>
      </c>
      <c r="E110" s="43">
        <f>IF(_calc!$E$112="","","High")</f>
        <v/>
      </c>
      <c r="F110" s="43">
        <f>IF(_calc!$E$112="","",TRIM(IF(LEN(IF(LEN(INDEX('Checks'!$B$4:$B$503,_calc!$E$112))=0,"",INDEX('Checks'!$B$4:$B$503,_calc!$E$112)))=0,"","Role: "&amp;IF(LEN(INDEX('Checks'!$B$4:$B$503,_calc!$E$112))=0,"",INDEX('Checks'!$B$4:$B$503,_calc!$E$112))&amp;". ")&amp;IF(LEN(IF(LEN(INDEX('Checks'!$D$4:$D$503,_calc!$E$112))=0,"",INDEX('Checks'!$D$4:$D$503,_calc!$E$112)))=0,"","Check type: "&amp;IF(LEN(INDEX('Checks'!$D$4:$D$503,_calc!$E$112))=0,"",INDEX('Checks'!$D$4:$D$503,_calc!$E$112))&amp;". ")&amp;IF(LEN(IF(LEN(INDEX('Checks'!$E$4:$E$503,_calc!$E$112))=0,"",INDEX('Checks'!$E$4:$E$503,_calc!$E$112)))=0,"","Evidence: "&amp;IF(LEN(INDEX('Checks'!$E$4:$E$503,_calc!$E$112))=0,"",INDEX('Checks'!$E$4:$E$503,_calc!$E$112))&amp;". ")&amp;IF(LEN(IF(LEN(INDEX('Checks'!$G$4:$G$503,_calc!$E$112))=0,"",INDEX('Checks'!$G$4:$G$503,_calc!$E$112)))=0,"","Checked by: "&amp;IF(LEN(INDEX('Checks'!$G$4:$G$503,_calc!$E$112))=0,"",INDEX('Checks'!$G$4:$G$503,_calc!$E$112))&amp;". ")&amp;IF(LEN(IF(LEN(INDEX('Checks'!$Q$4:$Q$503,_calc!$E$112))=0,"",INDEX('Checks'!$Q$4:$Q$503,_calc!$E$112)))=0,"",IF(LEN(INDEX('Checks'!$Q$4:$Q$503,_calc!$E$112))=0,"",INDEX('Checks'!$Q$4:$Q$503,_calc!$E$112)))))</f>
        <v/>
      </c>
      <c r="G110" s="43">
        <f>IF(_calc!$E$112="","",IF(LEN(INDEX('Checks'!$P$4:$P$503,_calc!$E$112))=0,"",INDEX('Checks'!$P$4:$P$503,_calc!$E$112)))</f>
        <v/>
      </c>
      <c r="K110" s="43">
        <f>IF(_calc!$E$112="","",IF(LEN(INDEX('Checks'!$O$4:$O$503,_calc!$E$112))=0,"",INDEX('Checks'!$O$4:$O$503,_calc!$E$112)))</f>
        <v/>
      </c>
    </row>
    <row r="111">
      <c r="A111" s="43">
        <f>IF(_calc!$E$113="","","Right to work follow-up – "&amp;IF(LEN(INDEX('Checks'!$A$4:$A$503,_calc!$E$113))=0,"",INDEX('Checks'!$A$4:$A$503,_calc!$E$113)))</f>
        <v/>
      </c>
      <c r="B111" s="43">
        <f>IF(_calc!$E$113="","",IF(ISNUMBER(INDEX('Checks'!$H$4:$H$503,_calc!$E$113)),TEXT(INDEX('Checks'!$H$4:$H$503,_calc!$E$113),"yyyy-mm-dd"),""))</f>
        <v/>
      </c>
      <c r="C111" s="43">
        <f>IF(_calc!$E$113="","","Right to work")</f>
        <v/>
      </c>
      <c r="D111" s="43">
        <f>IF(_calc!$E$113="","",IF(ISNUMBER(INDEX('Checks'!$F$4:$F$503,_calc!$E$113)),TEXT(INDEX('Checks'!$F$4:$F$503,_calc!$E$113),"yyyy-mm-dd"),""))</f>
        <v/>
      </c>
      <c r="E111" s="43">
        <f>IF(_calc!$E$113="","","High")</f>
        <v/>
      </c>
      <c r="F111" s="43">
        <f>IF(_calc!$E$113="","",TRIM(IF(LEN(IF(LEN(INDEX('Checks'!$B$4:$B$503,_calc!$E$113))=0,"",INDEX('Checks'!$B$4:$B$503,_calc!$E$113)))=0,"","Role: "&amp;IF(LEN(INDEX('Checks'!$B$4:$B$503,_calc!$E$113))=0,"",INDEX('Checks'!$B$4:$B$503,_calc!$E$113))&amp;". ")&amp;IF(LEN(IF(LEN(INDEX('Checks'!$D$4:$D$503,_calc!$E$113))=0,"",INDEX('Checks'!$D$4:$D$503,_calc!$E$113)))=0,"","Check type: "&amp;IF(LEN(INDEX('Checks'!$D$4:$D$503,_calc!$E$113))=0,"",INDEX('Checks'!$D$4:$D$503,_calc!$E$113))&amp;". ")&amp;IF(LEN(IF(LEN(INDEX('Checks'!$E$4:$E$503,_calc!$E$113))=0,"",INDEX('Checks'!$E$4:$E$503,_calc!$E$113)))=0,"","Evidence: "&amp;IF(LEN(INDEX('Checks'!$E$4:$E$503,_calc!$E$113))=0,"",INDEX('Checks'!$E$4:$E$503,_calc!$E$113))&amp;". ")&amp;IF(LEN(IF(LEN(INDEX('Checks'!$G$4:$G$503,_calc!$E$113))=0,"",INDEX('Checks'!$G$4:$G$503,_calc!$E$113)))=0,"","Checked by: "&amp;IF(LEN(INDEX('Checks'!$G$4:$G$503,_calc!$E$113))=0,"",INDEX('Checks'!$G$4:$G$503,_calc!$E$113))&amp;". ")&amp;IF(LEN(IF(LEN(INDEX('Checks'!$Q$4:$Q$503,_calc!$E$113))=0,"",INDEX('Checks'!$Q$4:$Q$503,_calc!$E$113)))=0,"",IF(LEN(INDEX('Checks'!$Q$4:$Q$503,_calc!$E$113))=0,"",INDEX('Checks'!$Q$4:$Q$503,_calc!$E$113)))))</f>
        <v/>
      </c>
      <c r="G111" s="43">
        <f>IF(_calc!$E$113="","",IF(LEN(INDEX('Checks'!$P$4:$P$503,_calc!$E$113))=0,"",INDEX('Checks'!$P$4:$P$503,_calc!$E$113)))</f>
        <v/>
      </c>
      <c r="K111" s="43">
        <f>IF(_calc!$E$113="","",IF(LEN(INDEX('Checks'!$O$4:$O$503,_calc!$E$113))=0,"",INDEX('Checks'!$O$4:$O$503,_calc!$E$113)))</f>
        <v/>
      </c>
    </row>
    <row r="112">
      <c r="A112" s="43">
        <f>IF(_calc!$E$114="","","Right to work follow-up – "&amp;IF(LEN(INDEX('Checks'!$A$4:$A$503,_calc!$E$114))=0,"",INDEX('Checks'!$A$4:$A$503,_calc!$E$114)))</f>
        <v/>
      </c>
      <c r="B112" s="43">
        <f>IF(_calc!$E$114="","",IF(ISNUMBER(INDEX('Checks'!$H$4:$H$503,_calc!$E$114)),TEXT(INDEX('Checks'!$H$4:$H$503,_calc!$E$114),"yyyy-mm-dd"),""))</f>
        <v/>
      </c>
      <c r="C112" s="43">
        <f>IF(_calc!$E$114="","","Right to work")</f>
        <v/>
      </c>
      <c r="D112" s="43">
        <f>IF(_calc!$E$114="","",IF(ISNUMBER(INDEX('Checks'!$F$4:$F$503,_calc!$E$114)),TEXT(INDEX('Checks'!$F$4:$F$503,_calc!$E$114),"yyyy-mm-dd"),""))</f>
        <v/>
      </c>
      <c r="E112" s="43">
        <f>IF(_calc!$E$114="","","High")</f>
        <v/>
      </c>
      <c r="F112" s="43">
        <f>IF(_calc!$E$114="","",TRIM(IF(LEN(IF(LEN(INDEX('Checks'!$B$4:$B$503,_calc!$E$114))=0,"",INDEX('Checks'!$B$4:$B$503,_calc!$E$114)))=0,"","Role: "&amp;IF(LEN(INDEX('Checks'!$B$4:$B$503,_calc!$E$114))=0,"",INDEX('Checks'!$B$4:$B$503,_calc!$E$114))&amp;". ")&amp;IF(LEN(IF(LEN(INDEX('Checks'!$D$4:$D$503,_calc!$E$114))=0,"",INDEX('Checks'!$D$4:$D$503,_calc!$E$114)))=0,"","Check type: "&amp;IF(LEN(INDEX('Checks'!$D$4:$D$503,_calc!$E$114))=0,"",INDEX('Checks'!$D$4:$D$503,_calc!$E$114))&amp;". ")&amp;IF(LEN(IF(LEN(INDEX('Checks'!$E$4:$E$503,_calc!$E$114))=0,"",INDEX('Checks'!$E$4:$E$503,_calc!$E$114)))=0,"","Evidence: "&amp;IF(LEN(INDEX('Checks'!$E$4:$E$503,_calc!$E$114))=0,"",INDEX('Checks'!$E$4:$E$503,_calc!$E$114))&amp;". ")&amp;IF(LEN(IF(LEN(INDEX('Checks'!$G$4:$G$503,_calc!$E$114))=0,"",INDEX('Checks'!$G$4:$G$503,_calc!$E$114)))=0,"","Checked by: "&amp;IF(LEN(INDEX('Checks'!$G$4:$G$503,_calc!$E$114))=0,"",INDEX('Checks'!$G$4:$G$503,_calc!$E$114))&amp;". ")&amp;IF(LEN(IF(LEN(INDEX('Checks'!$Q$4:$Q$503,_calc!$E$114))=0,"",INDEX('Checks'!$Q$4:$Q$503,_calc!$E$114)))=0,"",IF(LEN(INDEX('Checks'!$Q$4:$Q$503,_calc!$E$114))=0,"",INDEX('Checks'!$Q$4:$Q$503,_calc!$E$114)))))</f>
        <v/>
      </c>
      <c r="G112" s="43">
        <f>IF(_calc!$E$114="","",IF(LEN(INDEX('Checks'!$P$4:$P$503,_calc!$E$114))=0,"",INDEX('Checks'!$P$4:$P$503,_calc!$E$114)))</f>
        <v/>
      </c>
      <c r="K112" s="43">
        <f>IF(_calc!$E$114="","",IF(LEN(INDEX('Checks'!$O$4:$O$503,_calc!$E$114))=0,"",INDEX('Checks'!$O$4:$O$503,_calc!$E$114)))</f>
        <v/>
      </c>
    </row>
    <row r="113">
      <c r="A113" s="43">
        <f>IF(_calc!$E$115="","","Right to work follow-up – "&amp;IF(LEN(INDEX('Checks'!$A$4:$A$503,_calc!$E$115))=0,"",INDEX('Checks'!$A$4:$A$503,_calc!$E$115)))</f>
        <v/>
      </c>
      <c r="B113" s="43">
        <f>IF(_calc!$E$115="","",IF(ISNUMBER(INDEX('Checks'!$H$4:$H$503,_calc!$E$115)),TEXT(INDEX('Checks'!$H$4:$H$503,_calc!$E$115),"yyyy-mm-dd"),""))</f>
        <v/>
      </c>
      <c r="C113" s="43">
        <f>IF(_calc!$E$115="","","Right to work")</f>
        <v/>
      </c>
      <c r="D113" s="43">
        <f>IF(_calc!$E$115="","",IF(ISNUMBER(INDEX('Checks'!$F$4:$F$503,_calc!$E$115)),TEXT(INDEX('Checks'!$F$4:$F$503,_calc!$E$115),"yyyy-mm-dd"),""))</f>
        <v/>
      </c>
      <c r="E113" s="43">
        <f>IF(_calc!$E$115="","","High")</f>
        <v/>
      </c>
      <c r="F113" s="43">
        <f>IF(_calc!$E$115="","",TRIM(IF(LEN(IF(LEN(INDEX('Checks'!$B$4:$B$503,_calc!$E$115))=0,"",INDEX('Checks'!$B$4:$B$503,_calc!$E$115)))=0,"","Role: "&amp;IF(LEN(INDEX('Checks'!$B$4:$B$503,_calc!$E$115))=0,"",INDEX('Checks'!$B$4:$B$503,_calc!$E$115))&amp;". ")&amp;IF(LEN(IF(LEN(INDEX('Checks'!$D$4:$D$503,_calc!$E$115))=0,"",INDEX('Checks'!$D$4:$D$503,_calc!$E$115)))=0,"","Check type: "&amp;IF(LEN(INDEX('Checks'!$D$4:$D$503,_calc!$E$115))=0,"",INDEX('Checks'!$D$4:$D$503,_calc!$E$115))&amp;". ")&amp;IF(LEN(IF(LEN(INDEX('Checks'!$E$4:$E$503,_calc!$E$115))=0,"",INDEX('Checks'!$E$4:$E$503,_calc!$E$115)))=0,"","Evidence: "&amp;IF(LEN(INDEX('Checks'!$E$4:$E$503,_calc!$E$115))=0,"",INDEX('Checks'!$E$4:$E$503,_calc!$E$115))&amp;". ")&amp;IF(LEN(IF(LEN(INDEX('Checks'!$G$4:$G$503,_calc!$E$115))=0,"",INDEX('Checks'!$G$4:$G$503,_calc!$E$115)))=0,"","Checked by: "&amp;IF(LEN(INDEX('Checks'!$G$4:$G$503,_calc!$E$115))=0,"",INDEX('Checks'!$G$4:$G$503,_calc!$E$115))&amp;". ")&amp;IF(LEN(IF(LEN(INDEX('Checks'!$Q$4:$Q$503,_calc!$E$115))=0,"",INDEX('Checks'!$Q$4:$Q$503,_calc!$E$115)))=0,"",IF(LEN(INDEX('Checks'!$Q$4:$Q$503,_calc!$E$115))=0,"",INDEX('Checks'!$Q$4:$Q$503,_calc!$E$115)))))</f>
        <v/>
      </c>
      <c r="G113" s="43">
        <f>IF(_calc!$E$115="","",IF(LEN(INDEX('Checks'!$P$4:$P$503,_calc!$E$115))=0,"",INDEX('Checks'!$P$4:$P$503,_calc!$E$115)))</f>
        <v/>
      </c>
      <c r="K113" s="43">
        <f>IF(_calc!$E$115="","",IF(LEN(INDEX('Checks'!$O$4:$O$503,_calc!$E$115))=0,"",INDEX('Checks'!$O$4:$O$503,_calc!$E$115)))</f>
        <v/>
      </c>
    </row>
    <row r="114">
      <c r="A114" s="43">
        <f>IF(_calc!$E$116="","","Right to work follow-up – "&amp;IF(LEN(INDEX('Checks'!$A$4:$A$503,_calc!$E$116))=0,"",INDEX('Checks'!$A$4:$A$503,_calc!$E$116)))</f>
        <v/>
      </c>
      <c r="B114" s="43">
        <f>IF(_calc!$E$116="","",IF(ISNUMBER(INDEX('Checks'!$H$4:$H$503,_calc!$E$116)),TEXT(INDEX('Checks'!$H$4:$H$503,_calc!$E$116),"yyyy-mm-dd"),""))</f>
        <v/>
      </c>
      <c r="C114" s="43">
        <f>IF(_calc!$E$116="","","Right to work")</f>
        <v/>
      </c>
      <c r="D114" s="43">
        <f>IF(_calc!$E$116="","",IF(ISNUMBER(INDEX('Checks'!$F$4:$F$503,_calc!$E$116)),TEXT(INDEX('Checks'!$F$4:$F$503,_calc!$E$116),"yyyy-mm-dd"),""))</f>
        <v/>
      </c>
      <c r="E114" s="43">
        <f>IF(_calc!$E$116="","","High")</f>
        <v/>
      </c>
      <c r="F114" s="43">
        <f>IF(_calc!$E$116="","",TRIM(IF(LEN(IF(LEN(INDEX('Checks'!$B$4:$B$503,_calc!$E$116))=0,"",INDEX('Checks'!$B$4:$B$503,_calc!$E$116)))=0,"","Role: "&amp;IF(LEN(INDEX('Checks'!$B$4:$B$503,_calc!$E$116))=0,"",INDEX('Checks'!$B$4:$B$503,_calc!$E$116))&amp;". ")&amp;IF(LEN(IF(LEN(INDEX('Checks'!$D$4:$D$503,_calc!$E$116))=0,"",INDEX('Checks'!$D$4:$D$503,_calc!$E$116)))=0,"","Check type: "&amp;IF(LEN(INDEX('Checks'!$D$4:$D$503,_calc!$E$116))=0,"",INDEX('Checks'!$D$4:$D$503,_calc!$E$116))&amp;". ")&amp;IF(LEN(IF(LEN(INDEX('Checks'!$E$4:$E$503,_calc!$E$116))=0,"",INDEX('Checks'!$E$4:$E$503,_calc!$E$116)))=0,"","Evidence: "&amp;IF(LEN(INDEX('Checks'!$E$4:$E$503,_calc!$E$116))=0,"",INDEX('Checks'!$E$4:$E$503,_calc!$E$116))&amp;". ")&amp;IF(LEN(IF(LEN(INDEX('Checks'!$G$4:$G$503,_calc!$E$116))=0,"",INDEX('Checks'!$G$4:$G$503,_calc!$E$116)))=0,"","Checked by: "&amp;IF(LEN(INDEX('Checks'!$G$4:$G$503,_calc!$E$116))=0,"",INDEX('Checks'!$G$4:$G$503,_calc!$E$116))&amp;". ")&amp;IF(LEN(IF(LEN(INDEX('Checks'!$Q$4:$Q$503,_calc!$E$116))=0,"",INDEX('Checks'!$Q$4:$Q$503,_calc!$E$116)))=0,"",IF(LEN(INDEX('Checks'!$Q$4:$Q$503,_calc!$E$116))=0,"",INDEX('Checks'!$Q$4:$Q$503,_calc!$E$116)))))</f>
        <v/>
      </c>
      <c r="G114" s="43">
        <f>IF(_calc!$E$116="","",IF(LEN(INDEX('Checks'!$P$4:$P$503,_calc!$E$116))=0,"",INDEX('Checks'!$P$4:$P$503,_calc!$E$116)))</f>
        <v/>
      </c>
      <c r="K114" s="43">
        <f>IF(_calc!$E$116="","",IF(LEN(INDEX('Checks'!$O$4:$O$503,_calc!$E$116))=0,"",INDEX('Checks'!$O$4:$O$503,_calc!$E$116)))</f>
        <v/>
      </c>
    </row>
    <row r="115">
      <c r="A115" s="43">
        <f>IF(_calc!$E$117="","","Right to work follow-up – "&amp;IF(LEN(INDEX('Checks'!$A$4:$A$503,_calc!$E$117))=0,"",INDEX('Checks'!$A$4:$A$503,_calc!$E$117)))</f>
        <v/>
      </c>
      <c r="B115" s="43">
        <f>IF(_calc!$E$117="","",IF(ISNUMBER(INDEX('Checks'!$H$4:$H$503,_calc!$E$117)),TEXT(INDEX('Checks'!$H$4:$H$503,_calc!$E$117),"yyyy-mm-dd"),""))</f>
        <v/>
      </c>
      <c r="C115" s="43">
        <f>IF(_calc!$E$117="","","Right to work")</f>
        <v/>
      </c>
      <c r="D115" s="43">
        <f>IF(_calc!$E$117="","",IF(ISNUMBER(INDEX('Checks'!$F$4:$F$503,_calc!$E$117)),TEXT(INDEX('Checks'!$F$4:$F$503,_calc!$E$117),"yyyy-mm-dd"),""))</f>
        <v/>
      </c>
      <c r="E115" s="43">
        <f>IF(_calc!$E$117="","","High")</f>
        <v/>
      </c>
      <c r="F115" s="43">
        <f>IF(_calc!$E$117="","",TRIM(IF(LEN(IF(LEN(INDEX('Checks'!$B$4:$B$503,_calc!$E$117))=0,"",INDEX('Checks'!$B$4:$B$503,_calc!$E$117)))=0,"","Role: "&amp;IF(LEN(INDEX('Checks'!$B$4:$B$503,_calc!$E$117))=0,"",INDEX('Checks'!$B$4:$B$503,_calc!$E$117))&amp;". ")&amp;IF(LEN(IF(LEN(INDEX('Checks'!$D$4:$D$503,_calc!$E$117))=0,"",INDEX('Checks'!$D$4:$D$503,_calc!$E$117)))=0,"","Check type: "&amp;IF(LEN(INDEX('Checks'!$D$4:$D$503,_calc!$E$117))=0,"",INDEX('Checks'!$D$4:$D$503,_calc!$E$117))&amp;". ")&amp;IF(LEN(IF(LEN(INDEX('Checks'!$E$4:$E$503,_calc!$E$117))=0,"",INDEX('Checks'!$E$4:$E$503,_calc!$E$117)))=0,"","Evidence: "&amp;IF(LEN(INDEX('Checks'!$E$4:$E$503,_calc!$E$117))=0,"",INDEX('Checks'!$E$4:$E$503,_calc!$E$117))&amp;". ")&amp;IF(LEN(IF(LEN(INDEX('Checks'!$G$4:$G$503,_calc!$E$117))=0,"",INDEX('Checks'!$G$4:$G$503,_calc!$E$117)))=0,"","Checked by: "&amp;IF(LEN(INDEX('Checks'!$G$4:$G$503,_calc!$E$117))=0,"",INDEX('Checks'!$G$4:$G$503,_calc!$E$117))&amp;". ")&amp;IF(LEN(IF(LEN(INDEX('Checks'!$Q$4:$Q$503,_calc!$E$117))=0,"",INDEX('Checks'!$Q$4:$Q$503,_calc!$E$117)))=0,"",IF(LEN(INDEX('Checks'!$Q$4:$Q$503,_calc!$E$117))=0,"",INDEX('Checks'!$Q$4:$Q$503,_calc!$E$117)))))</f>
        <v/>
      </c>
      <c r="G115" s="43">
        <f>IF(_calc!$E$117="","",IF(LEN(INDEX('Checks'!$P$4:$P$503,_calc!$E$117))=0,"",INDEX('Checks'!$P$4:$P$503,_calc!$E$117)))</f>
        <v/>
      </c>
      <c r="K115" s="43">
        <f>IF(_calc!$E$117="","",IF(LEN(INDEX('Checks'!$O$4:$O$503,_calc!$E$117))=0,"",INDEX('Checks'!$O$4:$O$503,_calc!$E$117)))</f>
        <v/>
      </c>
    </row>
    <row r="116">
      <c r="A116" s="43">
        <f>IF(_calc!$E$118="","","Right to work follow-up – "&amp;IF(LEN(INDEX('Checks'!$A$4:$A$503,_calc!$E$118))=0,"",INDEX('Checks'!$A$4:$A$503,_calc!$E$118)))</f>
        <v/>
      </c>
      <c r="B116" s="43">
        <f>IF(_calc!$E$118="","",IF(ISNUMBER(INDEX('Checks'!$H$4:$H$503,_calc!$E$118)),TEXT(INDEX('Checks'!$H$4:$H$503,_calc!$E$118),"yyyy-mm-dd"),""))</f>
        <v/>
      </c>
      <c r="C116" s="43">
        <f>IF(_calc!$E$118="","","Right to work")</f>
        <v/>
      </c>
      <c r="D116" s="43">
        <f>IF(_calc!$E$118="","",IF(ISNUMBER(INDEX('Checks'!$F$4:$F$503,_calc!$E$118)),TEXT(INDEX('Checks'!$F$4:$F$503,_calc!$E$118),"yyyy-mm-dd"),""))</f>
        <v/>
      </c>
      <c r="E116" s="43">
        <f>IF(_calc!$E$118="","","High")</f>
        <v/>
      </c>
      <c r="F116" s="43">
        <f>IF(_calc!$E$118="","",TRIM(IF(LEN(IF(LEN(INDEX('Checks'!$B$4:$B$503,_calc!$E$118))=0,"",INDEX('Checks'!$B$4:$B$503,_calc!$E$118)))=0,"","Role: "&amp;IF(LEN(INDEX('Checks'!$B$4:$B$503,_calc!$E$118))=0,"",INDEX('Checks'!$B$4:$B$503,_calc!$E$118))&amp;". ")&amp;IF(LEN(IF(LEN(INDEX('Checks'!$D$4:$D$503,_calc!$E$118))=0,"",INDEX('Checks'!$D$4:$D$503,_calc!$E$118)))=0,"","Check type: "&amp;IF(LEN(INDEX('Checks'!$D$4:$D$503,_calc!$E$118))=0,"",INDEX('Checks'!$D$4:$D$503,_calc!$E$118))&amp;". ")&amp;IF(LEN(IF(LEN(INDEX('Checks'!$E$4:$E$503,_calc!$E$118))=0,"",INDEX('Checks'!$E$4:$E$503,_calc!$E$118)))=0,"","Evidence: "&amp;IF(LEN(INDEX('Checks'!$E$4:$E$503,_calc!$E$118))=0,"",INDEX('Checks'!$E$4:$E$503,_calc!$E$118))&amp;". ")&amp;IF(LEN(IF(LEN(INDEX('Checks'!$G$4:$G$503,_calc!$E$118))=0,"",INDEX('Checks'!$G$4:$G$503,_calc!$E$118)))=0,"","Checked by: "&amp;IF(LEN(INDEX('Checks'!$G$4:$G$503,_calc!$E$118))=0,"",INDEX('Checks'!$G$4:$G$503,_calc!$E$118))&amp;". ")&amp;IF(LEN(IF(LEN(INDEX('Checks'!$Q$4:$Q$503,_calc!$E$118))=0,"",INDEX('Checks'!$Q$4:$Q$503,_calc!$E$118)))=0,"",IF(LEN(INDEX('Checks'!$Q$4:$Q$503,_calc!$E$118))=0,"",INDEX('Checks'!$Q$4:$Q$503,_calc!$E$118)))))</f>
        <v/>
      </c>
      <c r="G116" s="43">
        <f>IF(_calc!$E$118="","",IF(LEN(INDEX('Checks'!$P$4:$P$503,_calc!$E$118))=0,"",INDEX('Checks'!$P$4:$P$503,_calc!$E$118)))</f>
        <v/>
      </c>
      <c r="K116" s="43">
        <f>IF(_calc!$E$118="","",IF(LEN(INDEX('Checks'!$O$4:$O$503,_calc!$E$118))=0,"",INDEX('Checks'!$O$4:$O$503,_calc!$E$118)))</f>
        <v/>
      </c>
    </row>
    <row r="117">
      <c r="A117" s="43">
        <f>IF(_calc!$E$119="","","Right to work follow-up – "&amp;IF(LEN(INDEX('Checks'!$A$4:$A$503,_calc!$E$119))=0,"",INDEX('Checks'!$A$4:$A$503,_calc!$E$119)))</f>
        <v/>
      </c>
      <c r="B117" s="43">
        <f>IF(_calc!$E$119="","",IF(ISNUMBER(INDEX('Checks'!$H$4:$H$503,_calc!$E$119)),TEXT(INDEX('Checks'!$H$4:$H$503,_calc!$E$119),"yyyy-mm-dd"),""))</f>
        <v/>
      </c>
      <c r="C117" s="43">
        <f>IF(_calc!$E$119="","","Right to work")</f>
        <v/>
      </c>
      <c r="D117" s="43">
        <f>IF(_calc!$E$119="","",IF(ISNUMBER(INDEX('Checks'!$F$4:$F$503,_calc!$E$119)),TEXT(INDEX('Checks'!$F$4:$F$503,_calc!$E$119),"yyyy-mm-dd"),""))</f>
        <v/>
      </c>
      <c r="E117" s="43">
        <f>IF(_calc!$E$119="","","High")</f>
        <v/>
      </c>
      <c r="F117" s="43">
        <f>IF(_calc!$E$119="","",TRIM(IF(LEN(IF(LEN(INDEX('Checks'!$B$4:$B$503,_calc!$E$119))=0,"",INDEX('Checks'!$B$4:$B$503,_calc!$E$119)))=0,"","Role: "&amp;IF(LEN(INDEX('Checks'!$B$4:$B$503,_calc!$E$119))=0,"",INDEX('Checks'!$B$4:$B$503,_calc!$E$119))&amp;". ")&amp;IF(LEN(IF(LEN(INDEX('Checks'!$D$4:$D$503,_calc!$E$119))=0,"",INDEX('Checks'!$D$4:$D$503,_calc!$E$119)))=0,"","Check type: "&amp;IF(LEN(INDEX('Checks'!$D$4:$D$503,_calc!$E$119))=0,"",INDEX('Checks'!$D$4:$D$503,_calc!$E$119))&amp;". ")&amp;IF(LEN(IF(LEN(INDEX('Checks'!$E$4:$E$503,_calc!$E$119))=0,"",INDEX('Checks'!$E$4:$E$503,_calc!$E$119)))=0,"","Evidence: "&amp;IF(LEN(INDEX('Checks'!$E$4:$E$503,_calc!$E$119))=0,"",INDEX('Checks'!$E$4:$E$503,_calc!$E$119))&amp;". ")&amp;IF(LEN(IF(LEN(INDEX('Checks'!$G$4:$G$503,_calc!$E$119))=0,"",INDEX('Checks'!$G$4:$G$503,_calc!$E$119)))=0,"","Checked by: "&amp;IF(LEN(INDEX('Checks'!$G$4:$G$503,_calc!$E$119))=0,"",INDEX('Checks'!$G$4:$G$503,_calc!$E$119))&amp;". ")&amp;IF(LEN(IF(LEN(INDEX('Checks'!$Q$4:$Q$503,_calc!$E$119))=0,"",INDEX('Checks'!$Q$4:$Q$503,_calc!$E$119)))=0,"",IF(LEN(INDEX('Checks'!$Q$4:$Q$503,_calc!$E$119))=0,"",INDEX('Checks'!$Q$4:$Q$503,_calc!$E$119)))))</f>
        <v/>
      </c>
      <c r="G117" s="43">
        <f>IF(_calc!$E$119="","",IF(LEN(INDEX('Checks'!$P$4:$P$503,_calc!$E$119))=0,"",INDEX('Checks'!$P$4:$P$503,_calc!$E$119)))</f>
        <v/>
      </c>
      <c r="K117" s="43">
        <f>IF(_calc!$E$119="","",IF(LEN(INDEX('Checks'!$O$4:$O$503,_calc!$E$119))=0,"",INDEX('Checks'!$O$4:$O$503,_calc!$E$119)))</f>
        <v/>
      </c>
    </row>
    <row r="118">
      <c r="A118" s="43">
        <f>IF(_calc!$E$120="","","Right to work follow-up – "&amp;IF(LEN(INDEX('Checks'!$A$4:$A$503,_calc!$E$120))=0,"",INDEX('Checks'!$A$4:$A$503,_calc!$E$120)))</f>
        <v/>
      </c>
      <c r="B118" s="43">
        <f>IF(_calc!$E$120="","",IF(ISNUMBER(INDEX('Checks'!$H$4:$H$503,_calc!$E$120)),TEXT(INDEX('Checks'!$H$4:$H$503,_calc!$E$120),"yyyy-mm-dd"),""))</f>
        <v/>
      </c>
      <c r="C118" s="43">
        <f>IF(_calc!$E$120="","","Right to work")</f>
        <v/>
      </c>
      <c r="D118" s="43">
        <f>IF(_calc!$E$120="","",IF(ISNUMBER(INDEX('Checks'!$F$4:$F$503,_calc!$E$120)),TEXT(INDEX('Checks'!$F$4:$F$503,_calc!$E$120),"yyyy-mm-dd"),""))</f>
        <v/>
      </c>
      <c r="E118" s="43">
        <f>IF(_calc!$E$120="","","High")</f>
        <v/>
      </c>
      <c r="F118" s="43">
        <f>IF(_calc!$E$120="","",TRIM(IF(LEN(IF(LEN(INDEX('Checks'!$B$4:$B$503,_calc!$E$120))=0,"",INDEX('Checks'!$B$4:$B$503,_calc!$E$120)))=0,"","Role: "&amp;IF(LEN(INDEX('Checks'!$B$4:$B$503,_calc!$E$120))=0,"",INDEX('Checks'!$B$4:$B$503,_calc!$E$120))&amp;". ")&amp;IF(LEN(IF(LEN(INDEX('Checks'!$D$4:$D$503,_calc!$E$120))=0,"",INDEX('Checks'!$D$4:$D$503,_calc!$E$120)))=0,"","Check type: "&amp;IF(LEN(INDEX('Checks'!$D$4:$D$503,_calc!$E$120))=0,"",INDEX('Checks'!$D$4:$D$503,_calc!$E$120))&amp;". ")&amp;IF(LEN(IF(LEN(INDEX('Checks'!$E$4:$E$503,_calc!$E$120))=0,"",INDEX('Checks'!$E$4:$E$503,_calc!$E$120)))=0,"","Evidence: "&amp;IF(LEN(INDEX('Checks'!$E$4:$E$503,_calc!$E$120))=0,"",INDEX('Checks'!$E$4:$E$503,_calc!$E$120))&amp;". ")&amp;IF(LEN(IF(LEN(INDEX('Checks'!$G$4:$G$503,_calc!$E$120))=0,"",INDEX('Checks'!$G$4:$G$503,_calc!$E$120)))=0,"","Checked by: "&amp;IF(LEN(INDEX('Checks'!$G$4:$G$503,_calc!$E$120))=0,"",INDEX('Checks'!$G$4:$G$503,_calc!$E$120))&amp;". ")&amp;IF(LEN(IF(LEN(INDEX('Checks'!$Q$4:$Q$503,_calc!$E$120))=0,"",INDEX('Checks'!$Q$4:$Q$503,_calc!$E$120)))=0,"",IF(LEN(INDEX('Checks'!$Q$4:$Q$503,_calc!$E$120))=0,"",INDEX('Checks'!$Q$4:$Q$503,_calc!$E$120)))))</f>
        <v/>
      </c>
      <c r="G118" s="43">
        <f>IF(_calc!$E$120="","",IF(LEN(INDEX('Checks'!$P$4:$P$503,_calc!$E$120))=0,"",INDEX('Checks'!$P$4:$P$503,_calc!$E$120)))</f>
        <v/>
      </c>
      <c r="K118" s="43">
        <f>IF(_calc!$E$120="","",IF(LEN(INDEX('Checks'!$O$4:$O$503,_calc!$E$120))=0,"",INDEX('Checks'!$O$4:$O$503,_calc!$E$120)))</f>
        <v/>
      </c>
    </row>
    <row r="119">
      <c r="A119" s="43">
        <f>IF(_calc!$E$121="","","Right to work follow-up – "&amp;IF(LEN(INDEX('Checks'!$A$4:$A$503,_calc!$E$121))=0,"",INDEX('Checks'!$A$4:$A$503,_calc!$E$121)))</f>
        <v/>
      </c>
      <c r="B119" s="43">
        <f>IF(_calc!$E$121="","",IF(ISNUMBER(INDEX('Checks'!$H$4:$H$503,_calc!$E$121)),TEXT(INDEX('Checks'!$H$4:$H$503,_calc!$E$121),"yyyy-mm-dd"),""))</f>
        <v/>
      </c>
      <c r="C119" s="43">
        <f>IF(_calc!$E$121="","","Right to work")</f>
        <v/>
      </c>
      <c r="D119" s="43">
        <f>IF(_calc!$E$121="","",IF(ISNUMBER(INDEX('Checks'!$F$4:$F$503,_calc!$E$121)),TEXT(INDEX('Checks'!$F$4:$F$503,_calc!$E$121),"yyyy-mm-dd"),""))</f>
        <v/>
      </c>
      <c r="E119" s="43">
        <f>IF(_calc!$E$121="","","High")</f>
        <v/>
      </c>
      <c r="F119" s="43">
        <f>IF(_calc!$E$121="","",TRIM(IF(LEN(IF(LEN(INDEX('Checks'!$B$4:$B$503,_calc!$E$121))=0,"",INDEX('Checks'!$B$4:$B$503,_calc!$E$121)))=0,"","Role: "&amp;IF(LEN(INDEX('Checks'!$B$4:$B$503,_calc!$E$121))=0,"",INDEX('Checks'!$B$4:$B$503,_calc!$E$121))&amp;". ")&amp;IF(LEN(IF(LEN(INDEX('Checks'!$D$4:$D$503,_calc!$E$121))=0,"",INDEX('Checks'!$D$4:$D$503,_calc!$E$121)))=0,"","Check type: "&amp;IF(LEN(INDEX('Checks'!$D$4:$D$503,_calc!$E$121))=0,"",INDEX('Checks'!$D$4:$D$503,_calc!$E$121))&amp;". ")&amp;IF(LEN(IF(LEN(INDEX('Checks'!$E$4:$E$503,_calc!$E$121))=0,"",INDEX('Checks'!$E$4:$E$503,_calc!$E$121)))=0,"","Evidence: "&amp;IF(LEN(INDEX('Checks'!$E$4:$E$503,_calc!$E$121))=0,"",INDEX('Checks'!$E$4:$E$503,_calc!$E$121))&amp;". ")&amp;IF(LEN(IF(LEN(INDEX('Checks'!$G$4:$G$503,_calc!$E$121))=0,"",INDEX('Checks'!$G$4:$G$503,_calc!$E$121)))=0,"","Checked by: "&amp;IF(LEN(INDEX('Checks'!$G$4:$G$503,_calc!$E$121))=0,"",INDEX('Checks'!$G$4:$G$503,_calc!$E$121))&amp;". ")&amp;IF(LEN(IF(LEN(INDEX('Checks'!$Q$4:$Q$503,_calc!$E$121))=0,"",INDEX('Checks'!$Q$4:$Q$503,_calc!$E$121)))=0,"",IF(LEN(INDEX('Checks'!$Q$4:$Q$503,_calc!$E$121))=0,"",INDEX('Checks'!$Q$4:$Q$503,_calc!$E$121)))))</f>
        <v/>
      </c>
      <c r="G119" s="43">
        <f>IF(_calc!$E$121="","",IF(LEN(INDEX('Checks'!$P$4:$P$503,_calc!$E$121))=0,"",INDEX('Checks'!$P$4:$P$503,_calc!$E$121)))</f>
        <v/>
      </c>
      <c r="K119" s="43">
        <f>IF(_calc!$E$121="","",IF(LEN(INDEX('Checks'!$O$4:$O$503,_calc!$E$121))=0,"",INDEX('Checks'!$O$4:$O$503,_calc!$E$121)))</f>
        <v/>
      </c>
    </row>
    <row r="120">
      <c r="A120" s="43">
        <f>IF(_calc!$E$122="","","Right to work follow-up – "&amp;IF(LEN(INDEX('Checks'!$A$4:$A$503,_calc!$E$122))=0,"",INDEX('Checks'!$A$4:$A$503,_calc!$E$122)))</f>
        <v/>
      </c>
      <c r="B120" s="43">
        <f>IF(_calc!$E$122="","",IF(ISNUMBER(INDEX('Checks'!$H$4:$H$503,_calc!$E$122)),TEXT(INDEX('Checks'!$H$4:$H$503,_calc!$E$122),"yyyy-mm-dd"),""))</f>
        <v/>
      </c>
      <c r="C120" s="43">
        <f>IF(_calc!$E$122="","","Right to work")</f>
        <v/>
      </c>
      <c r="D120" s="43">
        <f>IF(_calc!$E$122="","",IF(ISNUMBER(INDEX('Checks'!$F$4:$F$503,_calc!$E$122)),TEXT(INDEX('Checks'!$F$4:$F$503,_calc!$E$122),"yyyy-mm-dd"),""))</f>
        <v/>
      </c>
      <c r="E120" s="43">
        <f>IF(_calc!$E$122="","","High")</f>
        <v/>
      </c>
      <c r="F120" s="43">
        <f>IF(_calc!$E$122="","",TRIM(IF(LEN(IF(LEN(INDEX('Checks'!$B$4:$B$503,_calc!$E$122))=0,"",INDEX('Checks'!$B$4:$B$503,_calc!$E$122)))=0,"","Role: "&amp;IF(LEN(INDEX('Checks'!$B$4:$B$503,_calc!$E$122))=0,"",INDEX('Checks'!$B$4:$B$503,_calc!$E$122))&amp;". ")&amp;IF(LEN(IF(LEN(INDEX('Checks'!$D$4:$D$503,_calc!$E$122))=0,"",INDEX('Checks'!$D$4:$D$503,_calc!$E$122)))=0,"","Check type: "&amp;IF(LEN(INDEX('Checks'!$D$4:$D$503,_calc!$E$122))=0,"",INDEX('Checks'!$D$4:$D$503,_calc!$E$122))&amp;". ")&amp;IF(LEN(IF(LEN(INDEX('Checks'!$E$4:$E$503,_calc!$E$122))=0,"",INDEX('Checks'!$E$4:$E$503,_calc!$E$122)))=0,"","Evidence: "&amp;IF(LEN(INDEX('Checks'!$E$4:$E$503,_calc!$E$122))=0,"",INDEX('Checks'!$E$4:$E$503,_calc!$E$122))&amp;". ")&amp;IF(LEN(IF(LEN(INDEX('Checks'!$G$4:$G$503,_calc!$E$122))=0,"",INDEX('Checks'!$G$4:$G$503,_calc!$E$122)))=0,"","Checked by: "&amp;IF(LEN(INDEX('Checks'!$G$4:$G$503,_calc!$E$122))=0,"",INDEX('Checks'!$G$4:$G$503,_calc!$E$122))&amp;". ")&amp;IF(LEN(IF(LEN(INDEX('Checks'!$Q$4:$Q$503,_calc!$E$122))=0,"",INDEX('Checks'!$Q$4:$Q$503,_calc!$E$122)))=0,"",IF(LEN(INDEX('Checks'!$Q$4:$Q$503,_calc!$E$122))=0,"",INDEX('Checks'!$Q$4:$Q$503,_calc!$E$122)))))</f>
        <v/>
      </c>
      <c r="G120" s="43">
        <f>IF(_calc!$E$122="","",IF(LEN(INDEX('Checks'!$P$4:$P$503,_calc!$E$122))=0,"",INDEX('Checks'!$P$4:$P$503,_calc!$E$122)))</f>
        <v/>
      </c>
      <c r="K120" s="43">
        <f>IF(_calc!$E$122="","",IF(LEN(INDEX('Checks'!$O$4:$O$503,_calc!$E$122))=0,"",INDEX('Checks'!$O$4:$O$503,_calc!$E$122)))</f>
        <v/>
      </c>
    </row>
    <row r="121">
      <c r="A121" s="43">
        <f>IF(_calc!$E$123="","","Right to work follow-up – "&amp;IF(LEN(INDEX('Checks'!$A$4:$A$503,_calc!$E$123))=0,"",INDEX('Checks'!$A$4:$A$503,_calc!$E$123)))</f>
        <v/>
      </c>
      <c r="B121" s="43">
        <f>IF(_calc!$E$123="","",IF(ISNUMBER(INDEX('Checks'!$H$4:$H$503,_calc!$E$123)),TEXT(INDEX('Checks'!$H$4:$H$503,_calc!$E$123),"yyyy-mm-dd"),""))</f>
        <v/>
      </c>
      <c r="C121" s="43">
        <f>IF(_calc!$E$123="","","Right to work")</f>
        <v/>
      </c>
      <c r="D121" s="43">
        <f>IF(_calc!$E$123="","",IF(ISNUMBER(INDEX('Checks'!$F$4:$F$503,_calc!$E$123)),TEXT(INDEX('Checks'!$F$4:$F$503,_calc!$E$123),"yyyy-mm-dd"),""))</f>
        <v/>
      </c>
      <c r="E121" s="43">
        <f>IF(_calc!$E$123="","","High")</f>
        <v/>
      </c>
      <c r="F121" s="43">
        <f>IF(_calc!$E$123="","",TRIM(IF(LEN(IF(LEN(INDEX('Checks'!$B$4:$B$503,_calc!$E$123))=0,"",INDEX('Checks'!$B$4:$B$503,_calc!$E$123)))=0,"","Role: "&amp;IF(LEN(INDEX('Checks'!$B$4:$B$503,_calc!$E$123))=0,"",INDEX('Checks'!$B$4:$B$503,_calc!$E$123))&amp;". ")&amp;IF(LEN(IF(LEN(INDEX('Checks'!$D$4:$D$503,_calc!$E$123))=0,"",INDEX('Checks'!$D$4:$D$503,_calc!$E$123)))=0,"","Check type: "&amp;IF(LEN(INDEX('Checks'!$D$4:$D$503,_calc!$E$123))=0,"",INDEX('Checks'!$D$4:$D$503,_calc!$E$123))&amp;". ")&amp;IF(LEN(IF(LEN(INDEX('Checks'!$E$4:$E$503,_calc!$E$123))=0,"",INDEX('Checks'!$E$4:$E$503,_calc!$E$123)))=0,"","Evidence: "&amp;IF(LEN(INDEX('Checks'!$E$4:$E$503,_calc!$E$123))=0,"",INDEX('Checks'!$E$4:$E$503,_calc!$E$123))&amp;". ")&amp;IF(LEN(IF(LEN(INDEX('Checks'!$G$4:$G$503,_calc!$E$123))=0,"",INDEX('Checks'!$G$4:$G$503,_calc!$E$123)))=0,"","Checked by: "&amp;IF(LEN(INDEX('Checks'!$G$4:$G$503,_calc!$E$123))=0,"",INDEX('Checks'!$G$4:$G$503,_calc!$E$123))&amp;". ")&amp;IF(LEN(IF(LEN(INDEX('Checks'!$Q$4:$Q$503,_calc!$E$123))=0,"",INDEX('Checks'!$Q$4:$Q$503,_calc!$E$123)))=0,"",IF(LEN(INDEX('Checks'!$Q$4:$Q$503,_calc!$E$123))=0,"",INDEX('Checks'!$Q$4:$Q$503,_calc!$E$123)))))</f>
        <v/>
      </c>
      <c r="G121" s="43">
        <f>IF(_calc!$E$123="","",IF(LEN(INDEX('Checks'!$P$4:$P$503,_calc!$E$123))=0,"",INDEX('Checks'!$P$4:$P$503,_calc!$E$123)))</f>
        <v/>
      </c>
      <c r="K121" s="43">
        <f>IF(_calc!$E$123="","",IF(LEN(INDEX('Checks'!$O$4:$O$503,_calc!$E$123))=0,"",INDEX('Checks'!$O$4:$O$503,_calc!$E$123)))</f>
        <v/>
      </c>
    </row>
    <row r="122">
      <c r="A122" s="43">
        <f>IF(_calc!$E$124="","","Right to work follow-up – "&amp;IF(LEN(INDEX('Checks'!$A$4:$A$503,_calc!$E$124))=0,"",INDEX('Checks'!$A$4:$A$503,_calc!$E$124)))</f>
        <v/>
      </c>
      <c r="B122" s="43">
        <f>IF(_calc!$E$124="","",IF(ISNUMBER(INDEX('Checks'!$H$4:$H$503,_calc!$E$124)),TEXT(INDEX('Checks'!$H$4:$H$503,_calc!$E$124),"yyyy-mm-dd"),""))</f>
        <v/>
      </c>
      <c r="C122" s="43">
        <f>IF(_calc!$E$124="","","Right to work")</f>
        <v/>
      </c>
      <c r="D122" s="43">
        <f>IF(_calc!$E$124="","",IF(ISNUMBER(INDEX('Checks'!$F$4:$F$503,_calc!$E$124)),TEXT(INDEX('Checks'!$F$4:$F$503,_calc!$E$124),"yyyy-mm-dd"),""))</f>
        <v/>
      </c>
      <c r="E122" s="43">
        <f>IF(_calc!$E$124="","","High")</f>
        <v/>
      </c>
      <c r="F122" s="43">
        <f>IF(_calc!$E$124="","",TRIM(IF(LEN(IF(LEN(INDEX('Checks'!$B$4:$B$503,_calc!$E$124))=0,"",INDEX('Checks'!$B$4:$B$503,_calc!$E$124)))=0,"","Role: "&amp;IF(LEN(INDEX('Checks'!$B$4:$B$503,_calc!$E$124))=0,"",INDEX('Checks'!$B$4:$B$503,_calc!$E$124))&amp;". ")&amp;IF(LEN(IF(LEN(INDEX('Checks'!$D$4:$D$503,_calc!$E$124))=0,"",INDEX('Checks'!$D$4:$D$503,_calc!$E$124)))=0,"","Check type: "&amp;IF(LEN(INDEX('Checks'!$D$4:$D$503,_calc!$E$124))=0,"",INDEX('Checks'!$D$4:$D$503,_calc!$E$124))&amp;". ")&amp;IF(LEN(IF(LEN(INDEX('Checks'!$E$4:$E$503,_calc!$E$124))=0,"",INDEX('Checks'!$E$4:$E$503,_calc!$E$124)))=0,"","Evidence: "&amp;IF(LEN(INDEX('Checks'!$E$4:$E$503,_calc!$E$124))=0,"",INDEX('Checks'!$E$4:$E$503,_calc!$E$124))&amp;". ")&amp;IF(LEN(IF(LEN(INDEX('Checks'!$G$4:$G$503,_calc!$E$124))=0,"",INDEX('Checks'!$G$4:$G$503,_calc!$E$124)))=0,"","Checked by: "&amp;IF(LEN(INDEX('Checks'!$G$4:$G$503,_calc!$E$124))=0,"",INDEX('Checks'!$G$4:$G$503,_calc!$E$124))&amp;". ")&amp;IF(LEN(IF(LEN(INDEX('Checks'!$Q$4:$Q$503,_calc!$E$124))=0,"",INDEX('Checks'!$Q$4:$Q$503,_calc!$E$124)))=0,"",IF(LEN(INDEX('Checks'!$Q$4:$Q$503,_calc!$E$124))=0,"",INDEX('Checks'!$Q$4:$Q$503,_calc!$E$124)))))</f>
        <v/>
      </c>
      <c r="G122" s="43">
        <f>IF(_calc!$E$124="","",IF(LEN(INDEX('Checks'!$P$4:$P$503,_calc!$E$124))=0,"",INDEX('Checks'!$P$4:$P$503,_calc!$E$124)))</f>
        <v/>
      </c>
      <c r="K122" s="43">
        <f>IF(_calc!$E$124="","",IF(LEN(INDEX('Checks'!$O$4:$O$503,_calc!$E$124))=0,"",INDEX('Checks'!$O$4:$O$503,_calc!$E$124)))</f>
        <v/>
      </c>
    </row>
    <row r="123">
      <c r="A123" s="43">
        <f>IF(_calc!$E$125="","","Right to work follow-up – "&amp;IF(LEN(INDEX('Checks'!$A$4:$A$503,_calc!$E$125))=0,"",INDEX('Checks'!$A$4:$A$503,_calc!$E$125)))</f>
        <v/>
      </c>
      <c r="B123" s="43">
        <f>IF(_calc!$E$125="","",IF(ISNUMBER(INDEX('Checks'!$H$4:$H$503,_calc!$E$125)),TEXT(INDEX('Checks'!$H$4:$H$503,_calc!$E$125),"yyyy-mm-dd"),""))</f>
        <v/>
      </c>
      <c r="C123" s="43">
        <f>IF(_calc!$E$125="","","Right to work")</f>
        <v/>
      </c>
      <c r="D123" s="43">
        <f>IF(_calc!$E$125="","",IF(ISNUMBER(INDEX('Checks'!$F$4:$F$503,_calc!$E$125)),TEXT(INDEX('Checks'!$F$4:$F$503,_calc!$E$125),"yyyy-mm-dd"),""))</f>
        <v/>
      </c>
      <c r="E123" s="43">
        <f>IF(_calc!$E$125="","","High")</f>
        <v/>
      </c>
      <c r="F123" s="43">
        <f>IF(_calc!$E$125="","",TRIM(IF(LEN(IF(LEN(INDEX('Checks'!$B$4:$B$503,_calc!$E$125))=0,"",INDEX('Checks'!$B$4:$B$503,_calc!$E$125)))=0,"","Role: "&amp;IF(LEN(INDEX('Checks'!$B$4:$B$503,_calc!$E$125))=0,"",INDEX('Checks'!$B$4:$B$503,_calc!$E$125))&amp;". ")&amp;IF(LEN(IF(LEN(INDEX('Checks'!$D$4:$D$503,_calc!$E$125))=0,"",INDEX('Checks'!$D$4:$D$503,_calc!$E$125)))=0,"","Check type: "&amp;IF(LEN(INDEX('Checks'!$D$4:$D$503,_calc!$E$125))=0,"",INDEX('Checks'!$D$4:$D$503,_calc!$E$125))&amp;". ")&amp;IF(LEN(IF(LEN(INDEX('Checks'!$E$4:$E$503,_calc!$E$125))=0,"",INDEX('Checks'!$E$4:$E$503,_calc!$E$125)))=0,"","Evidence: "&amp;IF(LEN(INDEX('Checks'!$E$4:$E$503,_calc!$E$125))=0,"",INDEX('Checks'!$E$4:$E$503,_calc!$E$125))&amp;". ")&amp;IF(LEN(IF(LEN(INDEX('Checks'!$G$4:$G$503,_calc!$E$125))=0,"",INDEX('Checks'!$G$4:$G$503,_calc!$E$125)))=0,"","Checked by: "&amp;IF(LEN(INDEX('Checks'!$G$4:$G$503,_calc!$E$125))=0,"",INDEX('Checks'!$G$4:$G$503,_calc!$E$125))&amp;". ")&amp;IF(LEN(IF(LEN(INDEX('Checks'!$Q$4:$Q$503,_calc!$E$125))=0,"",INDEX('Checks'!$Q$4:$Q$503,_calc!$E$125)))=0,"",IF(LEN(INDEX('Checks'!$Q$4:$Q$503,_calc!$E$125))=0,"",INDEX('Checks'!$Q$4:$Q$503,_calc!$E$125)))))</f>
        <v/>
      </c>
      <c r="G123" s="43">
        <f>IF(_calc!$E$125="","",IF(LEN(INDEX('Checks'!$P$4:$P$503,_calc!$E$125))=0,"",INDEX('Checks'!$P$4:$P$503,_calc!$E$125)))</f>
        <v/>
      </c>
      <c r="K123" s="43">
        <f>IF(_calc!$E$125="","",IF(LEN(INDEX('Checks'!$O$4:$O$503,_calc!$E$125))=0,"",INDEX('Checks'!$O$4:$O$503,_calc!$E$125)))</f>
        <v/>
      </c>
    </row>
    <row r="124">
      <c r="A124" s="43">
        <f>IF(_calc!$E$126="","","Right to work follow-up – "&amp;IF(LEN(INDEX('Checks'!$A$4:$A$503,_calc!$E$126))=0,"",INDEX('Checks'!$A$4:$A$503,_calc!$E$126)))</f>
        <v/>
      </c>
      <c r="B124" s="43">
        <f>IF(_calc!$E$126="","",IF(ISNUMBER(INDEX('Checks'!$H$4:$H$503,_calc!$E$126)),TEXT(INDEX('Checks'!$H$4:$H$503,_calc!$E$126),"yyyy-mm-dd"),""))</f>
        <v/>
      </c>
      <c r="C124" s="43">
        <f>IF(_calc!$E$126="","","Right to work")</f>
        <v/>
      </c>
      <c r="D124" s="43">
        <f>IF(_calc!$E$126="","",IF(ISNUMBER(INDEX('Checks'!$F$4:$F$503,_calc!$E$126)),TEXT(INDEX('Checks'!$F$4:$F$503,_calc!$E$126),"yyyy-mm-dd"),""))</f>
        <v/>
      </c>
      <c r="E124" s="43">
        <f>IF(_calc!$E$126="","","High")</f>
        <v/>
      </c>
      <c r="F124" s="43">
        <f>IF(_calc!$E$126="","",TRIM(IF(LEN(IF(LEN(INDEX('Checks'!$B$4:$B$503,_calc!$E$126))=0,"",INDEX('Checks'!$B$4:$B$503,_calc!$E$126)))=0,"","Role: "&amp;IF(LEN(INDEX('Checks'!$B$4:$B$503,_calc!$E$126))=0,"",INDEX('Checks'!$B$4:$B$503,_calc!$E$126))&amp;". ")&amp;IF(LEN(IF(LEN(INDEX('Checks'!$D$4:$D$503,_calc!$E$126))=0,"",INDEX('Checks'!$D$4:$D$503,_calc!$E$126)))=0,"","Check type: "&amp;IF(LEN(INDEX('Checks'!$D$4:$D$503,_calc!$E$126))=0,"",INDEX('Checks'!$D$4:$D$503,_calc!$E$126))&amp;". ")&amp;IF(LEN(IF(LEN(INDEX('Checks'!$E$4:$E$503,_calc!$E$126))=0,"",INDEX('Checks'!$E$4:$E$503,_calc!$E$126)))=0,"","Evidence: "&amp;IF(LEN(INDEX('Checks'!$E$4:$E$503,_calc!$E$126))=0,"",INDEX('Checks'!$E$4:$E$503,_calc!$E$126))&amp;". ")&amp;IF(LEN(IF(LEN(INDEX('Checks'!$G$4:$G$503,_calc!$E$126))=0,"",INDEX('Checks'!$G$4:$G$503,_calc!$E$126)))=0,"","Checked by: "&amp;IF(LEN(INDEX('Checks'!$G$4:$G$503,_calc!$E$126))=0,"",INDEX('Checks'!$G$4:$G$503,_calc!$E$126))&amp;". ")&amp;IF(LEN(IF(LEN(INDEX('Checks'!$Q$4:$Q$503,_calc!$E$126))=0,"",INDEX('Checks'!$Q$4:$Q$503,_calc!$E$126)))=0,"",IF(LEN(INDEX('Checks'!$Q$4:$Q$503,_calc!$E$126))=0,"",INDEX('Checks'!$Q$4:$Q$503,_calc!$E$126)))))</f>
        <v/>
      </c>
      <c r="G124" s="43">
        <f>IF(_calc!$E$126="","",IF(LEN(INDEX('Checks'!$P$4:$P$503,_calc!$E$126))=0,"",INDEX('Checks'!$P$4:$P$503,_calc!$E$126)))</f>
        <v/>
      </c>
      <c r="K124" s="43">
        <f>IF(_calc!$E$126="","",IF(LEN(INDEX('Checks'!$O$4:$O$503,_calc!$E$126))=0,"",INDEX('Checks'!$O$4:$O$503,_calc!$E$126)))</f>
        <v/>
      </c>
    </row>
    <row r="125">
      <c r="A125" s="43">
        <f>IF(_calc!$E$127="","","Right to work follow-up – "&amp;IF(LEN(INDEX('Checks'!$A$4:$A$503,_calc!$E$127))=0,"",INDEX('Checks'!$A$4:$A$503,_calc!$E$127)))</f>
        <v/>
      </c>
      <c r="B125" s="43">
        <f>IF(_calc!$E$127="","",IF(ISNUMBER(INDEX('Checks'!$H$4:$H$503,_calc!$E$127)),TEXT(INDEX('Checks'!$H$4:$H$503,_calc!$E$127),"yyyy-mm-dd"),""))</f>
        <v/>
      </c>
      <c r="C125" s="43">
        <f>IF(_calc!$E$127="","","Right to work")</f>
        <v/>
      </c>
      <c r="D125" s="43">
        <f>IF(_calc!$E$127="","",IF(ISNUMBER(INDEX('Checks'!$F$4:$F$503,_calc!$E$127)),TEXT(INDEX('Checks'!$F$4:$F$503,_calc!$E$127),"yyyy-mm-dd"),""))</f>
        <v/>
      </c>
      <c r="E125" s="43">
        <f>IF(_calc!$E$127="","","High")</f>
        <v/>
      </c>
      <c r="F125" s="43">
        <f>IF(_calc!$E$127="","",TRIM(IF(LEN(IF(LEN(INDEX('Checks'!$B$4:$B$503,_calc!$E$127))=0,"",INDEX('Checks'!$B$4:$B$503,_calc!$E$127)))=0,"","Role: "&amp;IF(LEN(INDEX('Checks'!$B$4:$B$503,_calc!$E$127))=0,"",INDEX('Checks'!$B$4:$B$503,_calc!$E$127))&amp;". ")&amp;IF(LEN(IF(LEN(INDEX('Checks'!$D$4:$D$503,_calc!$E$127))=0,"",INDEX('Checks'!$D$4:$D$503,_calc!$E$127)))=0,"","Check type: "&amp;IF(LEN(INDEX('Checks'!$D$4:$D$503,_calc!$E$127))=0,"",INDEX('Checks'!$D$4:$D$503,_calc!$E$127))&amp;". ")&amp;IF(LEN(IF(LEN(INDEX('Checks'!$E$4:$E$503,_calc!$E$127))=0,"",INDEX('Checks'!$E$4:$E$503,_calc!$E$127)))=0,"","Evidence: "&amp;IF(LEN(INDEX('Checks'!$E$4:$E$503,_calc!$E$127))=0,"",INDEX('Checks'!$E$4:$E$503,_calc!$E$127))&amp;". ")&amp;IF(LEN(IF(LEN(INDEX('Checks'!$G$4:$G$503,_calc!$E$127))=0,"",INDEX('Checks'!$G$4:$G$503,_calc!$E$127)))=0,"","Checked by: "&amp;IF(LEN(INDEX('Checks'!$G$4:$G$503,_calc!$E$127))=0,"",INDEX('Checks'!$G$4:$G$503,_calc!$E$127))&amp;". ")&amp;IF(LEN(IF(LEN(INDEX('Checks'!$Q$4:$Q$503,_calc!$E$127))=0,"",INDEX('Checks'!$Q$4:$Q$503,_calc!$E$127)))=0,"",IF(LEN(INDEX('Checks'!$Q$4:$Q$503,_calc!$E$127))=0,"",INDEX('Checks'!$Q$4:$Q$503,_calc!$E$127)))))</f>
        <v/>
      </c>
      <c r="G125" s="43">
        <f>IF(_calc!$E$127="","",IF(LEN(INDEX('Checks'!$P$4:$P$503,_calc!$E$127))=0,"",INDEX('Checks'!$P$4:$P$503,_calc!$E$127)))</f>
        <v/>
      </c>
      <c r="K125" s="43">
        <f>IF(_calc!$E$127="","",IF(LEN(INDEX('Checks'!$O$4:$O$503,_calc!$E$127))=0,"",INDEX('Checks'!$O$4:$O$503,_calc!$E$127)))</f>
        <v/>
      </c>
    </row>
    <row r="126">
      <c r="A126" s="43">
        <f>IF(_calc!$E$128="","","Right to work follow-up – "&amp;IF(LEN(INDEX('Checks'!$A$4:$A$503,_calc!$E$128))=0,"",INDEX('Checks'!$A$4:$A$503,_calc!$E$128)))</f>
        <v/>
      </c>
      <c r="B126" s="43">
        <f>IF(_calc!$E$128="","",IF(ISNUMBER(INDEX('Checks'!$H$4:$H$503,_calc!$E$128)),TEXT(INDEX('Checks'!$H$4:$H$503,_calc!$E$128),"yyyy-mm-dd"),""))</f>
        <v/>
      </c>
      <c r="C126" s="43">
        <f>IF(_calc!$E$128="","","Right to work")</f>
        <v/>
      </c>
      <c r="D126" s="43">
        <f>IF(_calc!$E$128="","",IF(ISNUMBER(INDEX('Checks'!$F$4:$F$503,_calc!$E$128)),TEXT(INDEX('Checks'!$F$4:$F$503,_calc!$E$128),"yyyy-mm-dd"),""))</f>
        <v/>
      </c>
      <c r="E126" s="43">
        <f>IF(_calc!$E$128="","","High")</f>
        <v/>
      </c>
      <c r="F126" s="43">
        <f>IF(_calc!$E$128="","",TRIM(IF(LEN(IF(LEN(INDEX('Checks'!$B$4:$B$503,_calc!$E$128))=0,"",INDEX('Checks'!$B$4:$B$503,_calc!$E$128)))=0,"","Role: "&amp;IF(LEN(INDEX('Checks'!$B$4:$B$503,_calc!$E$128))=0,"",INDEX('Checks'!$B$4:$B$503,_calc!$E$128))&amp;". ")&amp;IF(LEN(IF(LEN(INDEX('Checks'!$D$4:$D$503,_calc!$E$128))=0,"",INDEX('Checks'!$D$4:$D$503,_calc!$E$128)))=0,"","Check type: "&amp;IF(LEN(INDEX('Checks'!$D$4:$D$503,_calc!$E$128))=0,"",INDEX('Checks'!$D$4:$D$503,_calc!$E$128))&amp;". ")&amp;IF(LEN(IF(LEN(INDEX('Checks'!$E$4:$E$503,_calc!$E$128))=0,"",INDEX('Checks'!$E$4:$E$503,_calc!$E$128)))=0,"","Evidence: "&amp;IF(LEN(INDEX('Checks'!$E$4:$E$503,_calc!$E$128))=0,"",INDEX('Checks'!$E$4:$E$503,_calc!$E$128))&amp;". ")&amp;IF(LEN(IF(LEN(INDEX('Checks'!$G$4:$G$503,_calc!$E$128))=0,"",INDEX('Checks'!$G$4:$G$503,_calc!$E$128)))=0,"","Checked by: "&amp;IF(LEN(INDEX('Checks'!$G$4:$G$503,_calc!$E$128))=0,"",INDEX('Checks'!$G$4:$G$503,_calc!$E$128))&amp;". ")&amp;IF(LEN(IF(LEN(INDEX('Checks'!$Q$4:$Q$503,_calc!$E$128))=0,"",INDEX('Checks'!$Q$4:$Q$503,_calc!$E$128)))=0,"",IF(LEN(INDEX('Checks'!$Q$4:$Q$503,_calc!$E$128))=0,"",INDEX('Checks'!$Q$4:$Q$503,_calc!$E$128)))))</f>
        <v/>
      </c>
      <c r="G126" s="43">
        <f>IF(_calc!$E$128="","",IF(LEN(INDEX('Checks'!$P$4:$P$503,_calc!$E$128))=0,"",INDEX('Checks'!$P$4:$P$503,_calc!$E$128)))</f>
        <v/>
      </c>
      <c r="K126" s="43">
        <f>IF(_calc!$E$128="","",IF(LEN(INDEX('Checks'!$O$4:$O$503,_calc!$E$128))=0,"",INDEX('Checks'!$O$4:$O$503,_calc!$E$128)))</f>
        <v/>
      </c>
    </row>
    <row r="127">
      <c r="A127" s="43">
        <f>IF(_calc!$E$129="","","Right to work follow-up – "&amp;IF(LEN(INDEX('Checks'!$A$4:$A$503,_calc!$E$129))=0,"",INDEX('Checks'!$A$4:$A$503,_calc!$E$129)))</f>
        <v/>
      </c>
      <c r="B127" s="43">
        <f>IF(_calc!$E$129="","",IF(ISNUMBER(INDEX('Checks'!$H$4:$H$503,_calc!$E$129)),TEXT(INDEX('Checks'!$H$4:$H$503,_calc!$E$129),"yyyy-mm-dd"),""))</f>
        <v/>
      </c>
      <c r="C127" s="43">
        <f>IF(_calc!$E$129="","","Right to work")</f>
        <v/>
      </c>
      <c r="D127" s="43">
        <f>IF(_calc!$E$129="","",IF(ISNUMBER(INDEX('Checks'!$F$4:$F$503,_calc!$E$129)),TEXT(INDEX('Checks'!$F$4:$F$503,_calc!$E$129),"yyyy-mm-dd"),""))</f>
        <v/>
      </c>
      <c r="E127" s="43">
        <f>IF(_calc!$E$129="","","High")</f>
        <v/>
      </c>
      <c r="F127" s="43">
        <f>IF(_calc!$E$129="","",TRIM(IF(LEN(IF(LEN(INDEX('Checks'!$B$4:$B$503,_calc!$E$129))=0,"",INDEX('Checks'!$B$4:$B$503,_calc!$E$129)))=0,"","Role: "&amp;IF(LEN(INDEX('Checks'!$B$4:$B$503,_calc!$E$129))=0,"",INDEX('Checks'!$B$4:$B$503,_calc!$E$129))&amp;". ")&amp;IF(LEN(IF(LEN(INDEX('Checks'!$D$4:$D$503,_calc!$E$129))=0,"",INDEX('Checks'!$D$4:$D$503,_calc!$E$129)))=0,"","Check type: "&amp;IF(LEN(INDEX('Checks'!$D$4:$D$503,_calc!$E$129))=0,"",INDEX('Checks'!$D$4:$D$503,_calc!$E$129))&amp;". ")&amp;IF(LEN(IF(LEN(INDEX('Checks'!$E$4:$E$503,_calc!$E$129))=0,"",INDEX('Checks'!$E$4:$E$503,_calc!$E$129)))=0,"","Evidence: "&amp;IF(LEN(INDEX('Checks'!$E$4:$E$503,_calc!$E$129))=0,"",INDEX('Checks'!$E$4:$E$503,_calc!$E$129))&amp;". ")&amp;IF(LEN(IF(LEN(INDEX('Checks'!$G$4:$G$503,_calc!$E$129))=0,"",INDEX('Checks'!$G$4:$G$503,_calc!$E$129)))=0,"","Checked by: "&amp;IF(LEN(INDEX('Checks'!$G$4:$G$503,_calc!$E$129))=0,"",INDEX('Checks'!$G$4:$G$503,_calc!$E$129))&amp;". ")&amp;IF(LEN(IF(LEN(INDEX('Checks'!$Q$4:$Q$503,_calc!$E$129))=0,"",INDEX('Checks'!$Q$4:$Q$503,_calc!$E$129)))=0,"",IF(LEN(INDEX('Checks'!$Q$4:$Q$503,_calc!$E$129))=0,"",INDEX('Checks'!$Q$4:$Q$503,_calc!$E$129)))))</f>
        <v/>
      </c>
      <c r="G127" s="43">
        <f>IF(_calc!$E$129="","",IF(LEN(INDEX('Checks'!$P$4:$P$503,_calc!$E$129))=0,"",INDEX('Checks'!$P$4:$P$503,_calc!$E$129)))</f>
        <v/>
      </c>
      <c r="K127" s="43">
        <f>IF(_calc!$E$129="","",IF(LEN(INDEX('Checks'!$O$4:$O$503,_calc!$E$129))=0,"",INDEX('Checks'!$O$4:$O$503,_calc!$E$129)))</f>
        <v/>
      </c>
    </row>
    <row r="128">
      <c r="A128" s="43">
        <f>IF(_calc!$E$130="","","Right to work follow-up – "&amp;IF(LEN(INDEX('Checks'!$A$4:$A$503,_calc!$E$130))=0,"",INDEX('Checks'!$A$4:$A$503,_calc!$E$130)))</f>
        <v/>
      </c>
      <c r="B128" s="43">
        <f>IF(_calc!$E$130="","",IF(ISNUMBER(INDEX('Checks'!$H$4:$H$503,_calc!$E$130)),TEXT(INDEX('Checks'!$H$4:$H$503,_calc!$E$130),"yyyy-mm-dd"),""))</f>
        <v/>
      </c>
      <c r="C128" s="43">
        <f>IF(_calc!$E$130="","","Right to work")</f>
        <v/>
      </c>
      <c r="D128" s="43">
        <f>IF(_calc!$E$130="","",IF(ISNUMBER(INDEX('Checks'!$F$4:$F$503,_calc!$E$130)),TEXT(INDEX('Checks'!$F$4:$F$503,_calc!$E$130),"yyyy-mm-dd"),""))</f>
        <v/>
      </c>
      <c r="E128" s="43">
        <f>IF(_calc!$E$130="","","High")</f>
        <v/>
      </c>
      <c r="F128" s="43">
        <f>IF(_calc!$E$130="","",TRIM(IF(LEN(IF(LEN(INDEX('Checks'!$B$4:$B$503,_calc!$E$130))=0,"",INDEX('Checks'!$B$4:$B$503,_calc!$E$130)))=0,"","Role: "&amp;IF(LEN(INDEX('Checks'!$B$4:$B$503,_calc!$E$130))=0,"",INDEX('Checks'!$B$4:$B$503,_calc!$E$130))&amp;". ")&amp;IF(LEN(IF(LEN(INDEX('Checks'!$D$4:$D$503,_calc!$E$130))=0,"",INDEX('Checks'!$D$4:$D$503,_calc!$E$130)))=0,"","Check type: "&amp;IF(LEN(INDEX('Checks'!$D$4:$D$503,_calc!$E$130))=0,"",INDEX('Checks'!$D$4:$D$503,_calc!$E$130))&amp;". ")&amp;IF(LEN(IF(LEN(INDEX('Checks'!$E$4:$E$503,_calc!$E$130))=0,"",INDEX('Checks'!$E$4:$E$503,_calc!$E$130)))=0,"","Evidence: "&amp;IF(LEN(INDEX('Checks'!$E$4:$E$503,_calc!$E$130))=0,"",INDEX('Checks'!$E$4:$E$503,_calc!$E$130))&amp;". ")&amp;IF(LEN(IF(LEN(INDEX('Checks'!$G$4:$G$503,_calc!$E$130))=0,"",INDEX('Checks'!$G$4:$G$503,_calc!$E$130)))=0,"","Checked by: "&amp;IF(LEN(INDEX('Checks'!$G$4:$G$503,_calc!$E$130))=0,"",INDEX('Checks'!$G$4:$G$503,_calc!$E$130))&amp;". ")&amp;IF(LEN(IF(LEN(INDEX('Checks'!$Q$4:$Q$503,_calc!$E$130))=0,"",INDEX('Checks'!$Q$4:$Q$503,_calc!$E$130)))=0,"",IF(LEN(INDEX('Checks'!$Q$4:$Q$503,_calc!$E$130))=0,"",INDEX('Checks'!$Q$4:$Q$503,_calc!$E$130)))))</f>
        <v/>
      </c>
      <c r="G128" s="43">
        <f>IF(_calc!$E$130="","",IF(LEN(INDEX('Checks'!$P$4:$P$503,_calc!$E$130))=0,"",INDEX('Checks'!$P$4:$P$503,_calc!$E$130)))</f>
        <v/>
      </c>
      <c r="K128" s="43">
        <f>IF(_calc!$E$130="","",IF(LEN(INDEX('Checks'!$O$4:$O$503,_calc!$E$130))=0,"",INDEX('Checks'!$O$4:$O$503,_calc!$E$130)))</f>
        <v/>
      </c>
    </row>
    <row r="129">
      <c r="A129" s="43">
        <f>IF(_calc!$E$131="","","Right to work follow-up – "&amp;IF(LEN(INDEX('Checks'!$A$4:$A$503,_calc!$E$131))=0,"",INDEX('Checks'!$A$4:$A$503,_calc!$E$131)))</f>
        <v/>
      </c>
      <c r="B129" s="43">
        <f>IF(_calc!$E$131="","",IF(ISNUMBER(INDEX('Checks'!$H$4:$H$503,_calc!$E$131)),TEXT(INDEX('Checks'!$H$4:$H$503,_calc!$E$131),"yyyy-mm-dd"),""))</f>
        <v/>
      </c>
      <c r="C129" s="43">
        <f>IF(_calc!$E$131="","","Right to work")</f>
        <v/>
      </c>
      <c r="D129" s="43">
        <f>IF(_calc!$E$131="","",IF(ISNUMBER(INDEX('Checks'!$F$4:$F$503,_calc!$E$131)),TEXT(INDEX('Checks'!$F$4:$F$503,_calc!$E$131),"yyyy-mm-dd"),""))</f>
        <v/>
      </c>
      <c r="E129" s="43">
        <f>IF(_calc!$E$131="","","High")</f>
        <v/>
      </c>
      <c r="F129" s="43">
        <f>IF(_calc!$E$131="","",TRIM(IF(LEN(IF(LEN(INDEX('Checks'!$B$4:$B$503,_calc!$E$131))=0,"",INDEX('Checks'!$B$4:$B$503,_calc!$E$131)))=0,"","Role: "&amp;IF(LEN(INDEX('Checks'!$B$4:$B$503,_calc!$E$131))=0,"",INDEX('Checks'!$B$4:$B$503,_calc!$E$131))&amp;". ")&amp;IF(LEN(IF(LEN(INDEX('Checks'!$D$4:$D$503,_calc!$E$131))=0,"",INDEX('Checks'!$D$4:$D$503,_calc!$E$131)))=0,"","Check type: "&amp;IF(LEN(INDEX('Checks'!$D$4:$D$503,_calc!$E$131))=0,"",INDEX('Checks'!$D$4:$D$503,_calc!$E$131))&amp;". ")&amp;IF(LEN(IF(LEN(INDEX('Checks'!$E$4:$E$503,_calc!$E$131))=0,"",INDEX('Checks'!$E$4:$E$503,_calc!$E$131)))=0,"","Evidence: "&amp;IF(LEN(INDEX('Checks'!$E$4:$E$503,_calc!$E$131))=0,"",INDEX('Checks'!$E$4:$E$503,_calc!$E$131))&amp;". ")&amp;IF(LEN(IF(LEN(INDEX('Checks'!$G$4:$G$503,_calc!$E$131))=0,"",INDEX('Checks'!$G$4:$G$503,_calc!$E$131)))=0,"","Checked by: "&amp;IF(LEN(INDEX('Checks'!$G$4:$G$503,_calc!$E$131))=0,"",INDEX('Checks'!$G$4:$G$503,_calc!$E$131))&amp;". ")&amp;IF(LEN(IF(LEN(INDEX('Checks'!$Q$4:$Q$503,_calc!$E$131))=0,"",INDEX('Checks'!$Q$4:$Q$503,_calc!$E$131)))=0,"",IF(LEN(INDEX('Checks'!$Q$4:$Q$503,_calc!$E$131))=0,"",INDEX('Checks'!$Q$4:$Q$503,_calc!$E$131)))))</f>
        <v/>
      </c>
      <c r="G129" s="43">
        <f>IF(_calc!$E$131="","",IF(LEN(INDEX('Checks'!$P$4:$P$503,_calc!$E$131))=0,"",INDEX('Checks'!$P$4:$P$503,_calc!$E$131)))</f>
        <v/>
      </c>
      <c r="K129" s="43">
        <f>IF(_calc!$E$131="","",IF(LEN(INDEX('Checks'!$O$4:$O$503,_calc!$E$131))=0,"",INDEX('Checks'!$O$4:$O$503,_calc!$E$131)))</f>
        <v/>
      </c>
    </row>
    <row r="130">
      <c r="A130" s="43">
        <f>IF(_calc!$E$132="","","Right to work follow-up – "&amp;IF(LEN(INDEX('Checks'!$A$4:$A$503,_calc!$E$132))=0,"",INDEX('Checks'!$A$4:$A$503,_calc!$E$132)))</f>
        <v/>
      </c>
      <c r="B130" s="43">
        <f>IF(_calc!$E$132="","",IF(ISNUMBER(INDEX('Checks'!$H$4:$H$503,_calc!$E$132)),TEXT(INDEX('Checks'!$H$4:$H$503,_calc!$E$132),"yyyy-mm-dd"),""))</f>
        <v/>
      </c>
      <c r="C130" s="43">
        <f>IF(_calc!$E$132="","","Right to work")</f>
        <v/>
      </c>
      <c r="D130" s="43">
        <f>IF(_calc!$E$132="","",IF(ISNUMBER(INDEX('Checks'!$F$4:$F$503,_calc!$E$132)),TEXT(INDEX('Checks'!$F$4:$F$503,_calc!$E$132),"yyyy-mm-dd"),""))</f>
        <v/>
      </c>
      <c r="E130" s="43">
        <f>IF(_calc!$E$132="","","High")</f>
        <v/>
      </c>
      <c r="F130" s="43">
        <f>IF(_calc!$E$132="","",TRIM(IF(LEN(IF(LEN(INDEX('Checks'!$B$4:$B$503,_calc!$E$132))=0,"",INDEX('Checks'!$B$4:$B$503,_calc!$E$132)))=0,"","Role: "&amp;IF(LEN(INDEX('Checks'!$B$4:$B$503,_calc!$E$132))=0,"",INDEX('Checks'!$B$4:$B$503,_calc!$E$132))&amp;". ")&amp;IF(LEN(IF(LEN(INDEX('Checks'!$D$4:$D$503,_calc!$E$132))=0,"",INDEX('Checks'!$D$4:$D$503,_calc!$E$132)))=0,"","Check type: "&amp;IF(LEN(INDEX('Checks'!$D$4:$D$503,_calc!$E$132))=0,"",INDEX('Checks'!$D$4:$D$503,_calc!$E$132))&amp;". ")&amp;IF(LEN(IF(LEN(INDEX('Checks'!$E$4:$E$503,_calc!$E$132))=0,"",INDEX('Checks'!$E$4:$E$503,_calc!$E$132)))=0,"","Evidence: "&amp;IF(LEN(INDEX('Checks'!$E$4:$E$503,_calc!$E$132))=0,"",INDEX('Checks'!$E$4:$E$503,_calc!$E$132))&amp;". ")&amp;IF(LEN(IF(LEN(INDEX('Checks'!$G$4:$G$503,_calc!$E$132))=0,"",INDEX('Checks'!$G$4:$G$503,_calc!$E$132)))=0,"","Checked by: "&amp;IF(LEN(INDEX('Checks'!$G$4:$G$503,_calc!$E$132))=0,"",INDEX('Checks'!$G$4:$G$503,_calc!$E$132))&amp;". ")&amp;IF(LEN(IF(LEN(INDEX('Checks'!$Q$4:$Q$503,_calc!$E$132))=0,"",INDEX('Checks'!$Q$4:$Q$503,_calc!$E$132)))=0,"",IF(LEN(INDEX('Checks'!$Q$4:$Q$503,_calc!$E$132))=0,"",INDEX('Checks'!$Q$4:$Q$503,_calc!$E$132)))))</f>
        <v/>
      </c>
      <c r="G130" s="43">
        <f>IF(_calc!$E$132="","",IF(LEN(INDEX('Checks'!$P$4:$P$503,_calc!$E$132))=0,"",INDEX('Checks'!$P$4:$P$503,_calc!$E$132)))</f>
        <v/>
      </c>
      <c r="K130" s="43">
        <f>IF(_calc!$E$132="","",IF(LEN(INDEX('Checks'!$O$4:$O$503,_calc!$E$132))=0,"",INDEX('Checks'!$O$4:$O$503,_calc!$E$132)))</f>
        <v/>
      </c>
    </row>
    <row r="131">
      <c r="A131" s="43">
        <f>IF(_calc!$E$133="","","Right to work follow-up – "&amp;IF(LEN(INDEX('Checks'!$A$4:$A$503,_calc!$E$133))=0,"",INDEX('Checks'!$A$4:$A$503,_calc!$E$133)))</f>
        <v/>
      </c>
      <c r="B131" s="43">
        <f>IF(_calc!$E$133="","",IF(ISNUMBER(INDEX('Checks'!$H$4:$H$503,_calc!$E$133)),TEXT(INDEX('Checks'!$H$4:$H$503,_calc!$E$133),"yyyy-mm-dd"),""))</f>
        <v/>
      </c>
      <c r="C131" s="43">
        <f>IF(_calc!$E$133="","","Right to work")</f>
        <v/>
      </c>
      <c r="D131" s="43">
        <f>IF(_calc!$E$133="","",IF(ISNUMBER(INDEX('Checks'!$F$4:$F$503,_calc!$E$133)),TEXT(INDEX('Checks'!$F$4:$F$503,_calc!$E$133),"yyyy-mm-dd"),""))</f>
        <v/>
      </c>
      <c r="E131" s="43">
        <f>IF(_calc!$E$133="","","High")</f>
        <v/>
      </c>
      <c r="F131" s="43">
        <f>IF(_calc!$E$133="","",TRIM(IF(LEN(IF(LEN(INDEX('Checks'!$B$4:$B$503,_calc!$E$133))=0,"",INDEX('Checks'!$B$4:$B$503,_calc!$E$133)))=0,"","Role: "&amp;IF(LEN(INDEX('Checks'!$B$4:$B$503,_calc!$E$133))=0,"",INDEX('Checks'!$B$4:$B$503,_calc!$E$133))&amp;". ")&amp;IF(LEN(IF(LEN(INDEX('Checks'!$D$4:$D$503,_calc!$E$133))=0,"",INDEX('Checks'!$D$4:$D$503,_calc!$E$133)))=0,"","Check type: "&amp;IF(LEN(INDEX('Checks'!$D$4:$D$503,_calc!$E$133))=0,"",INDEX('Checks'!$D$4:$D$503,_calc!$E$133))&amp;". ")&amp;IF(LEN(IF(LEN(INDEX('Checks'!$E$4:$E$503,_calc!$E$133))=0,"",INDEX('Checks'!$E$4:$E$503,_calc!$E$133)))=0,"","Evidence: "&amp;IF(LEN(INDEX('Checks'!$E$4:$E$503,_calc!$E$133))=0,"",INDEX('Checks'!$E$4:$E$503,_calc!$E$133))&amp;". ")&amp;IF(LEN(IF(LEN(INDEX('Checks'!$G$4:$G$503,_calc!$E$133))=0,"",INDEX('Checks'!$G$4:$G$503,_calc!$E$133)))=0,"","Checked by: "&amp;IF(LEN(INDEX('Checks'!$G$4:$G$503,_calc!$E$133))=0,"",INDEX('Checks'!$G$4:$G$503,_calc!$E$133))&amp;". ")&amp;IF(LEN(IF(LEN(INDEX('Checks'!$Q$4:$Q$503,_calc!$E$133))=0,"",INDEX('Checks'!$Q$4:$Q$503,_calc!$E$133)))=0,"",IF(LEN(INDEX('Checks'!$Q$4:$Q$503,_calc!$E$133))=0,"",INDEX('Checks'!$Q$4:$Q$503,_calc!$E$133)))))</f>
        <v/>
      </c>
      <c r="G131" s="43">
        <f>IF(_calc!$E$133="","",IF(LEN(INDEX('Checks'!$P$4:$P$503,_calc!$E$133))=0,"",INDEX('Checks'!$P$4:$P$503,_calc!$E$133)))</f>
        <v/>
      </c>
      <c r="K131" s="43">
        <f>IF(_calc!$E$133="","",IF(LEN(INDEX('Checks'!$O$4:$O$503,_calc!$E$133))=0,"",INDEX('Checks'!$O$4:$O$503,_calc!$E$133)))</f>
        <v/>
      </c>
    </row>
    <row r="132">
      <c r="A132" s="43">
        <f>IF(_calc!$E$134="","","Right to work follow-up – "&amp;IF(LEN(INDEX('Checks'!$A$4:$A$503,_calc!$E$134))=0,"",INDEX('Checks'!$A$4:$A$503,_calc!$E$134)))</f>
        <v/>
      </c>
      <c r="B132" s="43">
        <f>IF(_calc!$E$134="","",IF(ISNUMBER(INDEX('Checks'!$H$4:$H$503,_calc!$E$134)),TEXT(INDEX('Checks'!$H$4:$H$503,_calc!$E$134),"yyyy-mm-dd"),""))</f>
        <v/>
      </c>
      <c r="C132" s="43">
        <f>IF(_calc!$E$134="","","Right to work")</f>
        <v/>
      </c>
      <c r="D132" s="43">
        <f>IF(_calc!$E$134="","",IF(ISNUMBER(INDEX('Checks'!$F$4:$F$503,_calc!$E$134)),TEXT(INDEX('Checks'!$F$4:$F$503,_calc!$E$134),"yyyy-mm-dd"),""))</f>
        <v/>
      </c>
      <c r="E132" s="43">
        <f>IF(_calc!$E$134="","","High")</f>
        <v/>
      </c>
      <c r="F132" s="43">
        <f>IF(_calc!$E$134="","",TRIM(IF(LEN(IF(LEN(INDEX('Checks'!$B$4:$B$503,_calc!$E$134))=0,"",INDEX('Checks'!$B$4:$B$503,_calc!$E$134)))=0,"","Role: "&amp;IF(LEN(INDEX('Checks'!$B$4:$B$503,_calc!$E$134))=0,"",INDEX('Checks'!$B$4:$B$503,_calc!$E$134))&amp;". ")&amp;IF(LEN(IF(LEN(INDEX('Checks'!$D$4:$D$503,_calc!$E$134))=0,"",INDEX('Checks'!$D$4:$D$503,_calc!$E$134)))=0,"","Check type: "&amp;IF(LEN(INDEX('Checks'!$D$4:$D$503,_calc!$E$134))=0,"",INDEX('Checks'!$D$4:$D$503,_calc!$E$134))&amp;". ")&amp;IF(LEN(IF(LEN(INDEX('Checks'!$E$4:$E$503,_calc!$E$134))=0,"",INDEX('Checks'!$E$4:$E$503,_calc!$E$134)))=0,"","Evidence: "&amp;IF(LEN(INDEX('Checks'!$E$4:$E$503,_calc!$E$134))=0,"",INDEX('Checks'!$E$4:$E$503,_calc!$E$134))&amp;". ")&amp;IF(LEN(IF(LEN(INDEX('Checks'!$G$4:$G$503,_calc!$E$134))=0,"",INDEX('Checks'!$G$4:$G$503,_calc!$E$134)))=0,"","Checked by: "&amp;IF(LEN(INDEX('Checks'!$G$4:$G$503,_calc!$E$134))=0,"",INDEX('Checks'!$G$4:$G$503,_calc!$E$134))&amp;". ")&amp;IF(LEN(IF(LEN(INDEX('Checks'!$Q$4:$Q$503,_calc!$E$134))=0,"",INDEX('Checks'!$Q$4:$Q$503,_calc!$E$134)))=0,"",IF(LEN(INDEX('Checks'!$Q$4:$Q$503,_calc!$E$134))=0,"",INDEX('Checks'!$Q$4:$Q$503,_calc!$E$134)))))</f>
        <v/>
      </c>
      <c r="G132" s="43">
        <f>IF(_calc!$E$134="","",IF(LEN(INDEX('Checks'!$P$4:$P$503,_calc!$E$134))=0,"",INDEX('Checks'!$P$4:$P$503,_calc!$E$134)))</f>
        <v/>
      </c>
      <c r="K132" s="43">
        <f>IF(_calc!$E$134="","",IF(LEN(INDEX('Checks'!$O$4:$O$503,_calc!$E$134))=0,"",INDEX('Checks'!$O$4:$O$503,_calc!$E$134)))</f>
        <v/>
      </c>
    </row>
    <row r="133">
      <c r="A133" s="43">
        <f>IF(_calc!$E$135="","","Right to work follow-up – "&amp;IF(LEN(INDEX('Checks'!$A$4:$A$503,_calc!$E$135))=0,"",INDEX('Checks'!$A$4:$A$503,_calc!$E$135)))</f>
        <v/>
      </c>
      <c r="B133" s="43">
        <f>IF(_calc!$E$135="","",IF(ISNUMBER(INDEX('Checks'!$H$4:$H$503,_calc!$E$135)),TEXT(INDEX('Checks'!$H$4:$H$503,_calc!$E$135),"yyyy-mm-dd"),""))</f>
        <v/>
      </c>
      <c r="C133" s="43">
        <f>IF(_calc!$E$135="","","Right to work")</f>
        <v/>
      </c>
      <c r="D133" s="43">
        <f>IF(_calc!$E$135="","",IF(ISNUMBER(INDEX('Checks'!$F$4:$F$503,_calc!$E$135)),TEXT(INDEX('Checks'!$F$4:$F$503,_calc!$E$135),"yyyy-mm-dd"),""))</f>
        <v/>
      </c>
      <c r="E133" s="43">
        <f>IF(_calc!$E$135="","","High")</f>
        <v/>
      </c>
      <c r="F133" s="43">
        <f>IF(_calc!$E$135="","",TRIM(IF(LEN(IF(LEN(INDEX('Checks'!$B$4:$B$503,_calc!$E$135))=0,"",INDEX('Checks'!$B$4:$B$503,_calc!$E$135)))=0,"","Role: "&amp;IF(LEN(INDEX('Checks'!$B$4:$B$503,_calc!$E$135))=0,"",INDEX('Checks'!$B$4:$B$503,_calc!$E$135))&amp;". ")&amp;IF(LEN(IF(LEN(INDEX('Checks'!$D$4:$D$503,_calc!$E$135))=0,"",INDEX('Checks'!$D$4:$D$503,_calc!$E$135)))=0,"","Check type: "&amp;IF(LEN(INDEX('Checks'!$D$4:$D$503,_calc!$E$135))=0,"",INDEX('Checks'!$D$4:$D$503,_calc!$E$135))&amp;". ")&amp;IF(LEN(IF(LEN(INDEX('Checks'!$E$4:$E$503,_calc!$E$135))=0,"",INDEX('Checks'!$E$4:$E$503,_calc!$E$135)))=0,"","Evidence: "&amp;IF(LEN(INDEX('Checks'!$E$4:$E$503,_calc!$E$135))=0,"",INDEX('Checks'!$E$4:$E$503,_calc!$E$135))&amp;". ")&amp;IF(LEN(IF(LEN(INDEX('Checks'!$G$4:$G$503,_calc!$E$135))=0,"",INDEX('Checks'!$G$4:$G$503,_calc!$E$135)))=0,"","Checked by: "&amp;IF(LEN(INDEX('Checks'!$G$4:$G$503,_calc!$E$135))=0,"",INDEX('Checks'!$G$4:$G$503,_calc!$E$135))&amp;". ")&amp;IF(LEN(IF(LEN(INDEX('Checks'!$Q$4:$Q$503,_calc!$E$135))=0,"",INDEX('Checks'!$Q$4:$Q$503,_calc!$E$135)))=0,"",IF(LEN(INDEX('Checks'!$Q$4:$Q$503,_calc!$E$135))=0,"",INDEX('Checks'!$Q$4:$Q$503,_calc!$E$135)))))</f>
        <v/>
      </c>
      <c r="G133" s="43">
        <f>IF(_calc!$E$135="","",IF(LEN(INDEX('Checks'!$P$4:$P$503,_calc!$E$135))=0,"",INDEX('Checks'!$P$4:$P$503,_calc!$E$135)))</f>
        <v/>
      </c>
      <c r="K133" s="43">
        <f>IF(_calc!$E$135="","",IF(LEN(INDEX('Checks'!$O$4:$O$503,_calc!$E$135))=0,"",INDEX('Checks'!$O$4:$O$503,_calc!$E$135)))</f>
        <v/>
      </c>
    </row>
    <row r="134">
      <c r="A134" s="43">
        <f>IF(_calc!$E$136="","","Right to work follow-up – "&amp;IF(LEN(INDEX('Checks'!$A$4:$A$503,_calc!$E$136))=0,"",INDEX('Checks'!$A$4:$A$503,_calc!$E$136)))</f>
        <v/>
      </c>
      <c r="B134" s="43">
        <f>IF(_calc!$E$136="","",IF(ISNUMBER(INDEX('Checks'!$H$4:$H$503,_calc!$E$136)),TEXT(INDEX('Checks'!$H$4:$H$503,_calc!$E$136),"yyyy-mm-dd"),""))</f>
        <v/>
      </c>
      <c r="C134" s="43">
        <f>IF(_calc!$E$136="","","Right to work")</f>
        <v/>
      </c>
      <c r="D134" s="43">
        <f>IF(_calc!$E$136="","",IF(ISNUMBER(INDEX('Checks'!$F$4:$F$503,_calc!$E$136)),TEXT(INDEX('Checks'!$F$4:$F$503,_calc!$E$136),"yyyy-mm-dd"),""))</f>
        <v/>
      </c>
      <c r="E134" s="43">
        <f>IF(_calc!$E$136="","","High")</f>
        <v/>
      </c>
      <c r="F134" s="43">
        <f>IF(_calc!$E$136="","",TRIM(IF(LEN(IF(LEN(INDEX('Checks'!$B$4:$B$503,_calc!$E$136))=0,"",INDEX('Checks'!$B$4:$B$503,_calc!$E$136)))=0,"","Role: "&amp;IF(LEN(INDEX('Checks'!$B$4:$B$503,_calc!$E$136))=0,"",INDEX('Checks'!$B$4:$B$503,_calc!$E$136))&amp;". ")&amp;IF(LEN(IF(LEN(INDEX('Checks'!$D$4:$D$503,_calc!$E$136))=0,"",INDEX('Checks'!$D$4:$D$503,_calc!$E$136)))=0,"","Check type: "&amp;IF(LEN(INDEX('Checks'!$D$4:$D$503,_calc!$E$136))=0,"",INDEX('Checks'!$D$4:$D$503,_calc!$E$136))&amp;". ")&amp;IF(LEN(IF(LEN(INDEX('Checks'!$E$4:$E$503,_calc!$E$136))=0,"",INDEX('Checks'!$E$4:$E$503,_calc!$E$136)))=0,"","Evidence: "&amp;IF(LEN(INDEX('Checks'!$E$4:$E$503,_calc!$E$136))=0,"",INDEX('Checks'!$E$4:$E$503,_calc!$E$136))&amp;". ")&amp;IF(LEN(IF(LEN(INDEX('Checks'!$G$4:$G$503,_calc!$E$136))=0,"",INDEX('Checks'!$G$4:$G$503,_calc!$E$136)))=0,"","Checked by: "&amp;IF(LEN(INDEX('Checks'!$G$4:$G$503,_calc!$E$136))=0,"",INDEX('Checks'!$G$4:$G$503,_calc!$E$136))&amp;". ")&amp;IF(LEN(IF(LEN(INDEX('Checks'!$Q$4:$Q$503,_calc!$E$136))=0,"",INDEX('Checks'!$Q$4:$Q$503,_calc!$E$136)))=0,"",IF(LEN(INDEX('Checks'!$Q$4:$Q$503,_calc!$E$136))=0,"",INDEX('Checks'!$Q$4:$Q$503,_calc!$E$136)))))</f>
        <v/>
      </c>
      <c r="G134" s="43">
        <f>IF(_calc!$E$136="","",IF(LEN(INDEX('Checks'!$P$4:$P$503,_calc!$E$136))=0,"",INDEX('Checks'!$P$4:$P$503,_calc!$E$136)))</f>
        <v/>
      </c>
      <c r="K134" s="43">
        <f>IF(_calc!$E$136="","",IF(LEN(INDEX('Checks'!$O$4:$O$503,_calc!$E$136))=0,"",INDEX('Checks'!$O$4:$O$503,_calc!$E$136)))</f>
        <v/>
      </c>
    </row>
    <row r="135">
      <c r="A135" s="43">
        <f>IF(_calc!$E$137="","","Right to work follow-up – "&amp;IF(LEN(INDEX('Checks'!$A$4:$A$503,_calc!$E$137))=0,"",INDEX('Checks'!$A$4:$A$503,_calc!$E$137)))</f>
        <v/>
      </c>
      <c r="B135" s="43">
        <f>IF(_calc!$E$137="","",IF(ISNUMBER(INDEX('Checks'!$H$4:$H$503,_calc!$E$137)),TEXT(INDEX('Checks'!$H$4:$H$503,_calc!$E$137),"yyyy-mm-dd"),""))</f>
        <v/>
      </c>
      <c r="C135" s="43">
        <f>IF(_calc!$E$137="","","Right to work")</f>
        <v/>
      </c>
      <c r="D135" s="43">
        <f>IF(_calc!$E$137="","",IF(ISNUMBER(INDEX('Checks'!$F$4:$F$503,_calc!$E$137)),TEXT(INDEX('Checks'!$F$4:$F$503,_calc!$E$137),"yyyy-mm-dd"),""))</f>
        <v/>
      </c>
      <c r="E135" s="43">
        <f>IF(_calc!$E$137="","","High")</f>
        <v/>
      </c>
      <c r="F135" s="43">
        <f>IF(_calc!$E$137="","",TRIM(IF(LEN(IF(LEN(INDEX('Checks'!$B$4:$B$503,_calc!$E$137))=0,"",INDEX('Checks'!$B$4:$B$503,_calc!$E$137)))=0,"","Role: "&amp;IF(LEN(INDEX('Checks'!$B$4:$B$503,_calc!$E$137))=0,"",INDEX('Checks'!$B$4:$B$503,_calc!$E$137))&amp;". ")&amp;IF(LEN(IF(LEN(INDEX('Checks'!$D$4:$D$503,_calc!$E$137))=0,"",INDEX('Checks'!$D$4:$D$503,_calc!$E$137)))=0,"","Check type: "&amp;IF(LEN(INDEX('Checks'!$D$4:$D$503,_calc!$E$137))=0,"",INDEX('Checks'!$D$4:$D$503,_calc!$E$137))&amp;". ")&amp;IF(LEN(IF(LEN(INDEX('Checks'!$E$4:$E$503,_calc!$E$137))=0,"",INDEX('Checks'!$E$4:$E$503,_calc!$E$137)))=0,"","Evidence: "&amp;IF(LEN(INDEX('Checks'!$E$4:$E$503,_calc!$E$137))=0,"",INDEX('Checks'!$E$4:$E$503,_calc!$E$137))&amp;". ")&amp;IF(LEN(IF(LEN(INDEX('Checks'!$G$4:$G$503,_calc!$E$137))=0,"",INDEX('Checks'!$G$4:$G$503,_calc!$E$137)))=0,"","Checked by: "&amp;IF(LEN(INDEX('Checks'!$G$4:$G$503,_calc!$E$137))=0,"",INDEX('Checks'!$G$4:$G$503,_calc!$E$137))&amp;". ")&amp;IF(LEN(IF(LEN(INDEX('Checks'!$Q$4:$Q$503,_calc!$E$137))=0,"",INDEX('Checks'!$Q$4:$Q$503,_calc!$E$137)))=0,"",IF(LEN(INDEX('Checks'!$Q$4:$Q$503,_calc!$E$137))=0,"",INDEX('Checks'!$Q$4:$Q$503,_calc!$E$137)))))</f>
        <v/>
      </c>
      <c r="G135" s="43">
        <f>IF(_calc!$E$137="","",IF(LEN(INDEX('Checks'!$P$4:$P$503,_calc!$E$137))=0,"",INDEX('Checks'!$P$4:$P$503,_calc!$E$137)))</f>
        <v/>
      </c>
      <c r="K135" s="43">
        <f>IF(_calc!$E$137="","",IF(LEN(INDEX('Checks'!$O$4:$O$503,_calc!$E$137))=0,"",INDEX('Checks'!$O$4:$O$503,_calc!$E$137)))</f>
        <v/>
      </c>
    </row>
    <row r="136">
      <c r="A136" s="43">
        <f>IF(_calc!$E$138="","","Right to work follow-up – "&amp;IF(LEN(INDEX('Checks'!$A$4:$A$503,_calc!$E$138))=0,"",INDEX('Checks'!$A$4:$A$503,_calc!$E$138)))</f>
        <v/>
      </c>
      <c r="B136" s="43">
        <f>IF(_calc!$E$138="","",IF(ISNUMBER(INDEX('Checks'!$H$4:$H$503,_calc!$E$138)),TEXT(INDEX('Checks'!$H$4:$H$503,_calc!$E$138),"yyyy-mm-dd"),""))</f>
        <v/>
      </c>
      <c r="C136" s="43">
        <f>IF(_calc!$E$138="","","Right to work")</f>
        <v/>
      </c>
      <c r="D136" s="43">
        <f>IF(_calc!$E$138="","",IF(ISNUMBER(INDEX('Checks'!$F$4:$F$503,_calc!$E$138)),TEXT(INDEX('Checks'!$F$4:$F$503,_calc!$E$138),"yyyy-mm-dd"),""))</f>
        <v/>
      </c>
      <c r="E136" s="43">
        <f>IF(_calc!$E$138="","","High")</f>
        <v/>
      </c>
      <c r="F136" s="43">
        <f>IF(_calc!$E$138="","",TRIM(IF(LEN(IF(LEN(INDEX('Checks'!$B$4:$B$503,_calc!$E$138))=0,"",INDEX('Checks'!$B$4:$B$503,_calc!$E$138)))=0,"","Role: "&amp;IF(LEN(INDEX('Checks'!$B$4:$B$503,_calc!$E$138))=0,"",INDEX('Checks'!$B$4:$B$503,_calc!$E$138))&amp;". ")&amp;IF(LEN(IF(LEN(INDEX('Checks'!$D$4:$D$503,_calc!$E$138))=0,"",INDEX('Checks'!$D$4:$D$503,_calc!$E$138)))=0,"","Check type: "&amp;IF(LEN(INDEX('Checks'!$D$4:$D$503,_calc!$E$138))=0,"",INDEX('Checks'!$D$4:$D$503,_calc!$E$138))&amp;". ")&amp;IF(LEN(IF(LEN(INDEX('Checks'!$E$4:$E$503,_calc!$E$138))=0,"",INDEX('Checks'!$E$4:$E$503,_calc!$E$138)))=0,"","Evidence: "&amp;IF(LEN(INDEX('Checks'!$E$4:$E$503,_calc!$E$138))=0,"",INDEX('Checks'!$E$4:$E$503,_calc!$E$138))&amp;". ")&amp;IF(LEN(IF(LEN(INDEX('Checks'!$G$4:$G$503,_calc!$E$138))=0,"",INDEX('Checks'!$G$4:$G$503,_calc!$E$138)))=0,"","Checked by: "&amp;IF(LEN(INDEX('Checks'!$G$4:$G$503,_calc!$E$138))=0,"",INDEX('Checks'!$G$4:$G$503,_calc!$E$138))&amp;". ")&amp;IF(LEN(IF(LEN(INDEX('Checks'!$Q$4:$Q$503,_calc!$E$138))=0,"",INDEX('Checks'!$Q$4:$Q$503,_calc!$E$138)))=0,"",IF(LEN(INDEX('Checks'!$Q$4:$Q$503,_calc!$E$138))=0,"",INDEX('Checks'!$Q$4:$Q$503,_calc!$E$138)))))</f>
        <v/>
      </c>
      <c r="G136" s="43">
        <f>IF(_calc!$E$138="","",IF(LEN(INDEX('Checks'!$P$4:$P$503,_calc!$E$138))=0,"",INDEX('Checks'!$P$4:$P$503,_calc!$E$138)))</f>
        <v/>
      </c>
      <c r="K136" s="43">
        <f>IF(_calc!$E$138="","",IF(LEN(INDEX('Checks'!$O$4:$O$503,_calc!$E$138))=0,"",INDEX('Checks'!$O$4:$O$503,_calc!$E$138)))</f>
        <v/>
      </c>
    </row>
    <row r="137">
      <c r="A137" s="43">
        <f>IF(_calc!$E$139="","","Right to work follow-up – "&amp;IF(LEN(INDEX('Checks'!$A$4:$A$503,_calc!$E$139))=0,"",INDEX('Checks'!$A$4:$A$503,_calc!$E$139)))</f>
        <v/>
      </c>
      <c r="B137" s="43">
        <f>IF(_calc!$E$139="","",IF(ISNUMBER(INDEX('Checks'!$H$4:$H$503,_calc!$E$139)),TEXT(INDEX('Checks'!$H$4:$H$503,_calc!$E$139),"yyyy-mm-dd"),""))</f>
        <v/>
      </c>
      <c r="C137" s="43">
        <f>IF(_calc!$E$139="","","Right to work")</f>
        <v/>
      </c>
      <c r="D137" s="43">
        <f>IF(_calc!$E$139="","",IF(ISNUMBER(INDEX('Checks'!$F$4:$F$503,_calc!$E$139)),TEXT(INDEX('Checks'!$F$4:$F$503,_calc!$E$139),"yyyy-mm-dd"),""))</f>
        <v/>
      </c>
      <c r="E137" s="43">
        <f>IF(_calc!$E$139="","","High")</f>
        <v/>
      </c>
      <c r="F137" s="43">
        <f>IF(_calc!$E$139="","",TRIM(IF(LEN(IF(LEN(INDEX('Checks'!$B$4:$B$503,_calc!$E$139))=0,"",INDEX('Checks'!$B$4:$B$503,_calc!$E$139)))=0,"","Role: "&amp;IF(LEN(INDEX('Checks'!$B$4:$B$503,_calc!$E$139))=0,"",INDEX('Checks'!$B$4:$B$503,_calc!$E$139))&amp;". ")&amp;IF(LEN(IF(LEN(INDEX('Checks'!$D$4:$D$503,_calc!$E$139))=0,"",INDEX('Checks'!$D$4:$D$503,_calc!$E$139)))=0,"","Check type: "&amp;IF(LEN(INDEX('Checks'!$D$4:$D$503,_calc!$E$139))=0,"",INDEX('Checks'!$D$4:$D$503,_calc!$E$139))&amp;". ")&amp;IF(LEN(IF(LEN(INDEX('Checks'!$E$4:$E$503,_calc!$E$139))=0,"",INDEX('Checks'!$E$4:$E$503,_calc!$E$139)))=0,"","Evidence: "&amp;IF(LEN(INDEX('Checks'!$E$4:$E$503,_calc!$E$139))=0,"",INDEX('Checks'!$E$4:$E$503,_calc!$E$139))&amp;". ")&amp;IF(LEN(IF(LEN(INDEX('Checks'!$G$4:$G$503,_calc!$E$139))=0,"",INDEX('Checks'!$G$4:$G$503,_calc!$E$139)))=0,"","Checked by: "&amp;IF(LEN(INDEX('Checks'!$G$4:$G$503,_calc!$E$139))=0,"",INDEX('Checks'!$G$4:$G$503,_calc!$E$139))&amp;". ")&amp;IF(LEN(IF(LEN(INDEX('Checks'!$Q$4:$Q$503,_calc!$E$139))=0,"",INDEX('Checks'!$Q$4:$Q$503,_calc!$E$139)))=0,"",IF(LEN(INDEX('Checks'!$Q$4:$Q$503,_calc!$E$139))=0,"",INDEX('Checks'!$Q$4:$Q$503,_calc!$E$139)))))</f>
        <v/>
      </c>
      <c r="G137" s="43">
        <f>IF(_calc!$E$139="","",IF(LEN(INDEX('Checks'!$P$4:$P$503,_calc!$E$139))=0,"",INDEX('Checks'!$P$4:$P$503,_calc!$E$139)))</f>
        <v/>
      </c>
      <c r="K137" s="43">
        <f>IF(_calc!$E$139="","",IF(LEN(INDEX('Checks'!$O$4:$O$503,_calc!$E$139))=0,"",INDEX('Checks'!$O$4:$O$503,_calc!$E$139)))</f>
        <v/>
      </c>
    </row>
    <row r="138">
      <c r="A138" s="43">
        <f>IF(_calc!$E$140="","","Right to work follow-up – "&amp;IF(LEN(INDEX('Checks'!$A$4:$A$503,_calc!$E$140))=0,"",INDEX('Checks'!$A$4:$A$503,_calc!$E$140)))</f>
        <v/>
      </c>
      <c r="B138" s="43">
        <f>IF(_calc!$E$140="","",IF(ISNUMBER(INDEX('Checks'!$H$4:$H$503,_calc!$E$140)),TEXT(INDEX('Checks'!$H$4:$H$503,_calc!$E$140),"yyyy-mm-dd"),""))</f>
        <v/>
      </c>
      <c r="C138" s="43">
        <f>IF(_calc!$E$140="","","Right to work")</f>
        <v/>
      </c>
      <c r="D138" s="43">
        <f>IF(_calc!$E$140="","",IF(ISNUMBER(INDEX('Checks'!$F$4:$F$503,_calc!$E$140)),TEXT(INDEX('Checks'!$F$4:$F$503,_calc!$E$140),"yyyy-mm-dd"),""))</f>
        <v/>
      </c>
      <c r="E138" s="43">
        <f>IF(_calc!$E$140="","","High")</f>
        <v/>
      </c>
      <c r="F138" s="43">
        <f>IF(_calc!$E$140="","",TRIM(IF(LEN(IF(LEN(INDEX('Checks'!$B$4:$B$503,_calc!$E$140))=0,"",INDEX('Checks'!$B$4:$B$503,_calc!$E$140)))=0,"","Role: "&amp;IF(LEN(INDEX('Checks'!$B$4:$B$503,_calc!$E$140))=0,"",INDEX('Checks'!$B$4:$B$503,_calc!$E$140))&amp;". ")&amp;IF(LEN(IF(LEN(INDEX('Checks'!$D$4:$D$503,_calc!$E$140))=0,"",INDEX('Checks'!$D$4:$D$503,_calc!$E$140)))=0,"","Check type: "&amp;IF(LEN(INDEX('Checks'!$D$4:$D$503,_calc!$E$140))=0,"",INDEX('Checks'!$D$4:$D$503,_calc!$E$140))&amp;". ")&amp;IF(LEN(IF(LEN(INDEX('Checks'!$E$4:$E$503,_calc!$E$140))=0,"",INDEX('Checks'!$E$4:$E$503,_calc!$E$140)))=0,"","Evidence: "&amp;IF(LEN(INDEX('Checks'!$E$4:$E$503,_calc!$E$140))=0,"",INDEX('Checks'!$E$4:$E$503,_calc!$E$140))&amp;". ")&amp;IF(LEN(IF(LEN(INDEX('Checks'!$G$4:$G$503,_calc!$E$140))=0,"",INDEX('Checks'!$G$4:$G$503,_calc!$E$140)))=0,"","Checked by: "&amp;IF(LEN(INDEX('Checks'!$G$4:$G$503,_calc!$E$140))=0,"",INDEX('Checks'!$G$4:$G$503,_calc!$E$140))&amp;". ")&amp;IF(LEN(IF(LEN(INDEX('Checks'!$Q$4:$Q$503,_calc!$E$140))=0,"",INDEX('Checks'!$Q$4:$Q$503,_calc!$E$140)))=0,"",IF(LEN(INDEX('Checks'!$Q$4:$Q$503,_calc!$E$140))=0,"",INDEX('Checks'!$Q$4:$Q$503,_calc!$E$140)))))</f>
        <v/>
      </c>
      <c r="G138" s="43">
        <f>IF(_calc!$E$140="","",IF(LEN(INDEX('Checks'!$P$4:$P$503,_calc!$E$140))=0,"",INDEX('Checks'!$P$4:$P$503,_calc!$E$140)))</f>
        <v/>
      </c>
      <c r="K138" s="43">
        <f>IF(_calc!$E$140="","",IF(LEN(INDEX('Checks'!$O$4:$O$503,_calc!$E$140))=0,"",INDEX('Checks'!$O$4:$O$503,_calc!$E$140)))</f>
        <v/>
      </c>
    </row>
    <row r="139">
      <c r="A139" s="43">
        <f>IF(_calc!$E$141="","","Right to work follow-up – "&amp;IF(LEN(INDEX('Checks'!$A$4:$A$503,_calc!$E$141))=0,"",INDEX('Checks'!$A$4:$A$503,_calc!$E$141)))</f>
        <v/>
      </c>
      <c r="B139" s="43">
        <f>IF(_calc!$E$141="","",IF(ISNUMBER(INDEX('Checks'!$H$4:$H$503,_calc!$E$141)),TEXT(INDEX('Checks'!$H$4:$H$503,_calc!$E$141),"yyyy-mm-dd"),""))</f>
        <v/>
      </c>
      <c r="C139" s="43">
        <f>IF(_calc!$E$141="","","Right to work")</f>
        <v/>
      </c>
      <c r="D139" s="43">
        <f>IF(_calc!$E$141="","",IF(ISNUMBER(INDEX('Checks'!$F$4:$F$503,_calc!$E$141)),TEXT(INDEX('Checks'!$F$4:$F$503,_calc!$E$141),"yyyy-mm-dd"),""))</f>
        <v/>
      </c>
      <c r="E139" s="43">
        <f>IF(_calc!$E$141="","","High")</f>
        <v/>
      </c>
      <c r="F139" s="43">
        <f>IF(_calc!$E$141="","",TRIM(IF(LEN(IF(LEN(INDEX('Checks'!$B$4:$B$503,_calc!$E$141))=0,"",INDEX('Checks'!$B$4:$B$503,_calc!$E$141)))=0,"","Role: "&amp;IF(LEN(INDEX('Checks'!$B$4:$B$503,_calc!$E$141))=0,"",INDEX('Checks'!$B$4:$B$503,_calc!$E$141))&amp;". ")&amp;IF(LEN(IF(LEN(INDEX('Checks'!$D$4:$D$503,_calc!$E$141))=0,"",INDEX('Checks'!$D$4:$D$503,_calc!$E$141)))=0,"","Check type: "&amp;IF(LEN(INDEX('Checks'!$D$4:$D$503,_calc!$E$141))=0,"",INDEX('Checks'!$D$4:$D$503,_calc!$E$141))&amp;". ")&amp;IF(LEN(IF(LEN(INDEX('Checks'!$E$4:$E$503,_calc!$E$141))=0,"",INDEX('Checks'!$E$4:$E$503,_calc!$E$141)))=0,"","Evidence: "&amp;IF(LEN(INDEX('Checks'!$E$4:$E$503,_calc!$E$141))=0,"",INDEX('Checks'!$E$4:$E$503,_calc!$E$141))&amp;". ")&amp;IF(LEN(IF(LEN(INDEX('Checks'!$G$4:$G$503,_calc!$E$141))=0,"",INDEX('Checks'!$G$4:$G$503,_calc!$E$141)))=0,"","Checked by: "&amp;IF(LEN(INDEX('Checks'!$G$4:$G$503,_calc!$E$141))=0,"",INDEX('Checks'!$G$4:$G$503,_calc!$E$141))&amp;". ")&amp;IF(LEN(IF(LEN(INDEX('Checks'!$Q$4:$Q$503,_calc!$E$141))=0,"",INDEX('Checks'!$Q$4:$Q$503,_calc!$E$141)))=0,"",IF(LEN(INDEX('Checks'!$Q$4:$Q$503,_calc!$E$141))=0,"",INDEX('Checks'!$Q$4:$Q$503,_calc!$E$141)))))</f>
        <v/>
      </c>
      <c r="G139" s="43">
        <f>IF(_calc!$E$141="","",IF(LEN(INDEX('Checks'!$P$4:$P$503,_calc!$E$141))=0,"",INDEX('Checks'!$P$4:$P$503,_calc!$E$141)))</f>
        <v/>
      </c>
      <c r="K139" s="43">
        <f>IF(_calc!$E$141="","",IF(LEN(INDEX('Checks'!$O$4:$O$503,_calc!$E$141))=0,"",INDEX('Checks'!$O$4:$O$503,_calc!$E$141)))</f>
        <v/>
      </c>
    </row>
    <row r="140">
      <c r="A140" s="43">
        <f>IF(_calc!$E$142="","","Right to work follow-up – "&amp;IF(LEN(INDEX('Checks'!$A$4:$A$503,_calc!$E$142))=0,"",INDEX('Checks'!$A$4:$A$503,_calc!$E$142)))</f>
        <v/>
      </c>
      <c r="B140" s="43">
        <f>IF(_calc!$E$142="","",IF(ISNUMBER(INDEX('Checks'!$H$4:$H$503,_calc!$E$142)),TEXT(INDEX('Checks'!$H$4:$H$503,_calc!$E$142),"yyyy-mm-dd"),""))</f>
        <v/>
      </c>
      <c r="C140" s="43">
        <f>IF(_calc!$E$142="","","Right to work")</f>
        <v/>
      </c>
      <c r="D140" s="43">
        <f>IF(_calc!$E$142="","",IF(ISNUMBER(INDEX('Checks'!$F$4:$F$503,_calc!$E$142)),TEXT(INDEX('Checks'!$F$4:$F$503,_calc!$E$142),"yyyy-mm-dd"),""))</f>
        <v/>
      </c>
      <c r="E140" s="43">
        <f>IF(_calc!$E$142="","","High")</f>
        <v/>
      </c>
      <c r="F140" s="43">
        <f>IF(_calc!$E$142="","",TRIM(IF(LEN(IF(LEN(INDEX('Checks'!$B$4:$B$503,_calc!$E$142))=0,"",INDEX('Checks'!$B$4:$B$503,_calc!$E$142)))=0,"","Role: "&amp;IF(LEN(INDEX('Checks'!$B$4:$B$503,_calc!$E$142))=0,"",INDEX('Checks'!$B$4:$B$503,_calc!$E$142))&amp;". ")&amp;IF(LEN(IF(LEN(INDEX('Checks'!$D$4:$D$503,_calc!$E$142))=0,"",INDEX('Checks'!$D$4:$D$503,_calc!$E$142)))=0,"","Check type: "&amp;IF(LEN(INDEX('Checks'!$D$4:$D$503,_calc!$E$142))=0,"",INDEX('Checks'!$D$4:$D$503,_calc!$E$142))&amp;". ")&amp;IF(LEN(IF(LEN(INDEX('Checks'!$E$4:$E$503,_calc!$E$142))=0,"",INDEX('Checks'!$E$4:$E$503,_calc!$E$142)))=0,"","Evidence: "&amp;IF(LEN(INDEX('Checks'!$E$4:$E$503,_calc!$E$142))=0,"",INDEX('Checks'!$E$4:$E$503,_calc!$E$142))&amp;". ")&amp;IF(LEN(IF(LEN(INDEX('Checks'!$G$4:$G$503,_calc!$E$142))=0,"",INDEX('Checks'!$G$4:$G$503,_calc!$E$142)))=0,"","Checked by: "&amp;IF(LEN(INDEX('Checks'!$G$4:$G$503,_calc!$E$142))=0,"",INDEX('Checks'!$G$4:$G$503,_calc!$E$142))&amp;". ")&amp;IF(LEN(IF(LEN(INDEX('Checks'!$Q$4:$Q$503,_calc!$E$142))=0,"",INDEX('Checks'!$Q$4:$Q$503,_calc!$E$142)))=0,"",IF(LEN(INDEX('Checks'!$Q$4:$Q$503,_calc!$E$142))=0,"",INDEX('Checks'!$Q$4:$Q$503,_calc!$E$142)))))</f>
        <v/>
      </c>
      <c r="G140" s="43">
        <f>IF(_calc!$E$142="","",IF(LEN(INDEX('Checks'!$P$4:$P$503,_calc!$E$142))=0,"",INDEX('Checks'!$P$4:$P$503,_calc!$E$142)))</f>
        <v/>
      </c>
      <c r="K140" s="43">
        <f>IF(_calc!$E$142="","",IF(LEN(INDEX('Checks'!$O$4:$O$503,_calc!$E$142))=0,"",INDEX('Checks'!$O$4:$O$503,_calc!$E$142)))</f>
        <v/>
      </c>
    </row>
    <row r="141">
      <c r="A141" s="43">
        <f>IF(_calc!$E$143="","","Right to work follow-up – "&amp;IF(LEN(INDEX('Checks'!$A$4:$A$503,_calc!$E$143))=0,"",INDEX('Checks'!$A$4:$A$503,_calc!$E$143)))</f>
        <v/>
      </c>
      <c r="B141" s="43">
        <f>IF(_calc!$E$143="","",IF(ISNUMBER(INDEX('Checks'!$H$4:$H$503,_calc!$E$143)),TEXT(INDEX('Checks'!$H$4:$H$503,_calc!$E$143),"yyyy-mm-dd"),""))</f>
        <v/>
      </c>
      <c r="C141" s="43">
        <f>IF(_calc!$E$143="","","Right to work")</f>
        <v/>
      </c>
      <c r="D141" s="43">
        <f>IF(_calc!$E$143="","",IF(ISNUMBER(INDEX('Checks'!$F$4:$F$503,_calc!$E$143)),TEXT(INDEX('Checks'!$F$4:$F$503,_calc!$E$143),"yyyy-mm-dd"),""))</f>
        <v/>
      </c>
      <c r="E141" s="43">
        <f>IF(_calc!$E$143="","","High")</f>
        <v/>
      </c>
      <c r="F141" s="43">
        <f>IF(_calc!$E$143="","",TRIM(IF(LEN(IF(LEN(INDEX('Checks'!$B$4:$B$503,_calc!$E$143))=0,"",INDEX('Checks'!$B$4:$B$503,_calc!$E$143)))=0,"","Role: "&amp;IF(LEN(INDEX('Checks'!$B$4:$B$503,_calc!$E$143))=0,"",INDEX('Checks'!$B$4:$B$503,_calc!$E$143))&amp;". ")&amp;IF(LEN(IF(LEN(INDEX('Checks'!$D$4:$D$503,_calc!$E$143))=0,"",INDEX('Checks'!$D$4:$D$503,_calc!$E$143)))=0,"","Check type: "&amp;IF(LEN(INDEX('Checks'!$D$4:$D$503,_calc!$E$143))=0,"",INDEX('Checks'!$D$4:$D$503,_calc!$E$143))&amp;". ")&amp;IF(LEN(IF(LEN(INDEX('Checks'!$E$4:$E$503,_calc!$E$143))=0,"",INDEX('Checks'!$E$4:$E$503,_calc!$E$143)))=0,"","Evidence: "&amp;IF(LEN(INDEX('Checks'!$E$4:$E$503,_calc!$E$143))=0,"",INDEX('Checks'!$E$4:$E$503,_calc!$E$143))&amp;". ")&amp;IF(LEN(IF(LEN(INDEX('Checks'!$G$4:$G$503,_calc!$E$143))=0,"",INDEX('Checks'!$G$4:$G$503,_calc!$E$143)))=0,"","Checked by: "&amp;IF(LEN(INDEX('Checks'!$G$4:$G$503,_calc!$E$143))=0,"",INDEX('Checks'!$G$4:$G$503,_calc!$E$143))&amp;". ")&amp;IF(LEN(IF(LEN(INDEX('Checks'!$Q$4:$Q$503,_calc!$E$143))=0,"",INDEX('Checks'!$Q$4:$Q$503,_calc!$E$143)))=0,"",IF(LEN(INDEX('Checks'!$Q$4:$Q$503,_calc!$E$143))=0,"",INDEX('Checks'!$Q$4:$Q$503,_calc!$E$143)))))</f>
        <v/>
      </c>
      <c r="G141" s="43">
        <f>IF(_calc!$E$143="","",IF(LEN(INDEX('Checks'!$P$4:$P$503,_calc!$E$143))=0,"",INDEX('Checks'!$P$4:$P$503,_calc!$E$143)))</f>
        <v/>
      </c>
      <c r="K141" s="43">
        <f>IF(_calc!$E$143="","",IF(LEN(INDEX('Checks'!$O$4:$O$503,_calc!$E$143))=0,"",INDEX('Checks'!$O$4:$O$503,_calc!$E$143)))</f>
        <v/>
      </c>
    </row>
    <row r="142">
      <c r="A142" s="43">
        <f>IF(_calc!$E$144="","","Right to work follow-up – "&amp;IF(LEN(INDEX('Checks'!$A$4:$A$503,_calc!$E$144))=0,"",INDEX('Checks'!$A$4:$A$503,_calc!$E$144)))</f>
        <v/>
      </c>
      <c r="B142" s="43">
        <f>IF(_calc!$E$144="","",IF(ISNUMBER(INDEX('Checks'!$H$4:$H$503,_calc!$E$144)),TEXT(INDEX('Checks'!$H$4:$H$503,_calc!$E$144),"yyyy-mm-dd"),""))</f>
        <v/>
      </c>
      <c r="C142" s="43">
        <f>IF(_calc!$E$144="","","Right to work")</f>
        <v/>
      </c>
      <c r="D142" s="43">
        <f>IF(_calc!$E$144="","",IF(ISNUMBER(INDEX('Checks'!$F$4:$F$503,_calc!$E$144)),TEXT(INDEX('Checks'!$F$4:$F$503,_calc!$E$144),"yyyy-mm-dd"),""))</f>
        <v/>
      </c>
      <c r="E142" s="43">
        <f>IF(_calc!$E$144="","","High")</f>
        <v/>
      </c>
      <c r="F142" s="43">
        <f>IF(_calc!$E$144="","",TRIM(IF(LEN(IF(LEN(INDEX('Checks'!$B$4:$B$503,_calc!$E$144))=0,"",INDEX('Checks'!$B$4:$B$503,_calc!$E$144)))=0,"","Role: "&amp;IF(LEN(INDEX('Checks'!$B$4:$B$503,_calc!$E$144))=0,"",INDEX('Checks'!$B$4:$B$503,_calc!$E$144))&amp;". ")&amp;IF(LEN(IF(LEN(INDEX('Checks'!$D$4:$D$503,_calc!$E$144))=0,"",INDEX('Checks'!$D$4:$D$503,_calc!$E$144)))=0,"","Check type: "&amp;IF(LEN(INDEX('Checks'!$D$4:$D$503,_calc!$E$144))=0,"",INDEX('Checks'!$D$4:$D$503,_calc!$E$144))&amp;". ")&amp;IF(LEN(IF(LEN(INDEX('Checks'!$E$4:$E$503,_calc!$E$144))=0,"",INDEX('Checks'!$E$4:$E$503,_calc!$E$144)))=0,"","Evidence: "&amp;IF(LEN(INDEX('Checks'!$E$4:$E$503,_calc!$E$144))=0,"",INDEX('Checks'!$E$4:$E$503,_calc!$E$144))&amp;". ")&amp;IF(LEN(IF(LEN(INDEX('Checks'!$G$4:$G$503,_calc!$E$144))=0,"",INDEX('Checks'!$G$4:$G$503,_calc!$E$144)))=0,"","Checked by: "&amp;IF(LEN(INDEX('Checks'!$G$4:$G$503,_calc!$E$144))=0,"",INDEX('Checks'!$G$4:$G$503,_calc!$E$144))&amp;". ")&amp;IF(LEN(IF(LEN(INDEX('Checks'!$Q$4:$Q$503,_calc!$E$144))=0,"",INDEX('Checks'!$Q$4:$Q$503,_calc!$E$144)))=0,"",IF(LEN(INDEX('Checks'!$Q$4:$Q$503,_calc!$E$144))=0,"",INDEX('Checks'!$Q$4:$Q$503,_calc!$E$144)))))</f>
        <v/>
      </c>
      <c r="G142" s="43">
        <f>IF(_calc!$E$144="","",IF(LEN(INDEX('Checks'!$P$4:$P$503,_calc!$E$144))=0,"",INDEX('Checks'!$P$4:$P$503,_calc!$E$144)))</f>
        <v/>
      </c>
      <c r="K142" s="43">
        <f>IF(_calc!$E$144="","",IF(LEN(INDEX('Checks'!$O$4:$O$503,_calc!$E$144))=0,"",INDEX('Checks'!$O$4:$O$503,_calc!$E$144)))</f>
        <v/>
      </c>
    </row>
    <row r="143">
      <c r="A143" s="43">
        <f>IF(_calc!$E$145="","","Right to work follow-up – "&amp;IF(LEN(INDEX('Checks'!$A$4:$A$503,_calc!$E$145))=0,"",INDEX('Checks'!$A$4:$A$503,_calc!$E$145)))</f>
        <v/>
      </c>
      <c r="B143" s="43">
        <f>IF(_calc!$E$145="","",IF(ISNUMBER(INDEX('Checks'!$H$4:$H$503,_calc!$E$145)),TEXT(INDEX('Checks'!$H$4:$H$503,_calc!$E$145),"yyyy-mm-dd"),""))</f>
        <v/>
      </c>
      <c r="C143" s="43">
        <f>IF(_calc!$E$145="","","Right to work")</f>
        <v/>
      </c>
      <c r="D143" s="43">
        <f>IF(_calc!$E$145="","",IF(ISNUMBER(INDEX('Checks'!$F$4:$F$503,_calc!$E$145)),TEXT(INDEX('Checks'!$F$4:$F$503,_calc!$E$145),"yyyy-mm-dd"),""))</f>
        <v/>
      </c>
      <c r="E143" s="43">
        <f>IF(_calc!$E$145="","","High")</f>
        <v/>
      </c>
      <c r="F143" s="43">
        <f>IF(_calc!$E$145="","",TRIM(IF(LEN(IF(LEN(INDEX('Checks'!$B$4:$B$503,_calc!$E$145))=0,"",INDEX('Checks'!$B$4:$B$503,_calc!$E$145)))=0,"","Role: "&amp;IF(LEN(INDEX('Checks'!$B$4:$B$503,_calc!$E$145))=0,"",INDEX('Checks'!$B$4:$B$503,_calc!$E$145))&amp;". ")&amp;IF(LEN(IF(LEN(INDEX('Checks'!$D$4:$D$503,_calc!$E$145))=0,"",INDEX('Checks'!$D$4:$D$503,_calc!$E$145)))=0,"","Check type: "&amp;IF(LEN(INDEX('Checks'!$D$4:$D$503,_calc!$E$145))=0,"",INDEX('Checks'!$D$4:$D$503,_calc!$E$145))&amp;". ")&amp;IF(LEN(IF(LEN(INDEX('Checks'!$E$4:$E$503,_calc!$E$145))=0,"",INDEX('Checks'!$E$4:$E$503,_calc!$E$145)))=0,"","Evidence: "&amp;IF(LEN(INDEX('Checks'!$E$4:$E$503,_calc!$E$145))=0,"",INDEX('Checks'!$E$4:$E$503,_calc!$E$145))&amp;". ")&amp;IF(LEN(IF(LEN(INDEX('Checks'!$G$4:$G$503,_calc!$E$145))=0,"",INDEX('Checks'!$G$4:$G$503,_calc!$E$145)))=0,"","Checked by: "&amp;IF(LEN(INDEX('Checks'!$G$4:$G$503,_calc!$E$145))=0,"",INDEX('Checks'!$G$4:$G$503,_calc!$E$145))&amp;". ")&amp;IF(LEN(IF(LEN(INDEX('Checks'!$Q$4:$Q$503,_calc!$E$145))=0,"",INDEX('Checks'!$Q$4:$Q$503,_calc!$E$145)))=0,"",IF(LEN(INDEX('Checks'!$Q$4:$Q$503,_calc!$E$145))=0,"",INDEX('Checks'!$Q$4:$Q$503,_calc!$E$145)))))</f>
        <v/>
      </c>
      <c r="G143" s="43">
        <f>IF(_calc!$E$145="","",IF(LEN(INDEX('Checks'!$P$4:$P$503,_calc!$E$145))=0,"",INDEX('Checks'!$P$4:$P$503,_calc!$E$145)))</f>
        <v/>
      </c>
      <c r="K143" s="43">
        <f>IF(_calc!$E$145="","",IF(LEN(INDEX('Checks'!$O$4:$O$503,_calc!$E$145))=0,"",INDEX('Checks'!$O$4:$O$503,_calc!$E$145)))</f>
        <v/>
      </c>
    </row>
    <row r="144">
      <c r="A144" s="43">
        <f>IF(_calc!$E$146="","","Right to work follow-up – "&amp;IF(LEN(INDEX('Checks'!$A$4:$A$503,_calc!$E$146))=0,"",INDEX('Checks'!$A$4:$A$503,_calc!$E$146)))</f>
        <v/>
      </c>
      <c r="B144" s="43">
        <f>IF(_calc!$E$146="","",IF(ISNUMBER(INDEX('Checks'!$H$4:$H$503,_calc!$E$146)),TEXT(INDEX('Checks'!$H$4:$H$503,_calc!$E$146),"yyyy-mm-dd"),""))</f>
        <v/>
      </c>
      <c r="C144" s="43">
        <f>IF(_calc!$E$146="","","Right to work")</f>
        <v/>
      </c>
      <c r="D144" s="43">
        <f>IF(_calc!$E$146="","",IF(ISNUMBER(INDEX('Checks'!$F$4:$F$503,_calc!$E$146)),TEXT(INDEX('Checks'!$F$4:$F$503,_calc!$E$146),"yyyy-mm-dd"),""))</f>
        <v/>
      </c>
      <c r="E144" s="43">
        <f>IF(_calc!$E$146="","","High")</f>
        <v/>
      </c>
      <c r="F144" s="43">
        <f>IF(_calc!$E$146="","",TRIM(IF(LEN(IF(LEN(INDEX('Checks'!$B$4:$B$503,_calc!$E$146))=0,"",INDEX('Checks'!$B$4:$B$503,_calc!$E$146)))=0,"","Role: "&amp;IF(LEN(INDEX('Checks'!$B$4:$B$503,_calc!$E$146))=0,"",INDEX('Checks'!$B$4:$B$503,_calc!$E$146))&amp;". ")&amp;IF(LEN(IF(LEN(INDEX('Checks'!$D$4:$D$503,_calc!$E$146))=0,"",INDEX('Checks'!$D$4:$D$503,_calc!$E$146)))=0,"","Check type: "&amp;IF(LEN(INDEX('Checks'!$D$4:$D$503,_calc!$E$146))=0,"",INDEX('Checks'!$D$4:$D$503,_calc!$E$146))&amp;". ")&amp;IF(LEN(IF(LEN(INDEX('Checks'!$E$4:$E$503,_calc!$E$146))=0,"",INDEX('Checks'!$E$4:$E$503,_calc!$E$146)))=0,"","Evidence: "&amp;IF(LEN(INDEX('Checks'!$E$4:$E$503,_calc!$E$146))=0,"",INDEX('Checks'!$E$4:$E$503,_calc!$E$146))&amp;". ")&amp;IF(LEN(IF(LEN(INDEX('Checks'!$G$4:$G$503,_calc!$E$146))=0,"",INDEX('Checks'!$G$4:$G$503,_calc!$E$146)))=0,"","Checked by: "&amp;IF(LEN(INDEX('Checks'!$G$4:$G$503,_calc!$E$146))=0,"",INDEX('Checks'!$G$4:$G$503,_calc!$E$146))&amp;". ")&amp;IF(LEN(IF(LEN(INDEX('Checks'!$Q$4:$Q$503,_calc!$E$146))=0,"",INDEX('Checks'!$Q$4:$Q$503,_calc!$E$146)))=0,"",IF(LEN(INDEX('Checks'!$Q$4:$Q$503,_calc!$E$146))=0,"",INDEX('Checks'!$Q$4:$Q$503,_calc!$E$146)))))</f>
        <v/>
      </c>
      <c r="G144" s="43">
        <f>IF(_calc!$E$146="","",IF(LEN(INDEX('Checks'!$P$4:$P$503,_calc!$E$146))=0,"",INDEX('Checks'!$P$4:$P$503,_calc!$E$146)))</f>
        <v/>
      </c>
      <c r="K144" s="43">
        <f>IF(_calc!$E$146="","",IF(LEN(INDEX('Checks'!$O$4:$O$503,_calc!$E$146))=0,"",INDEX('Checks'!$O$4:$O$503,_calc!$E$146)))</f>
        <v/>
      </c>
    </row>
    <row r="145">
      <c r="A145" s="43">
        <f>IF(_calc!$E$147="","","Right to work follow-up – "&amp;IF(LEN(INDEX('Checks'!$A$4:$A$503,_calc!$E$147))=0,"",INDEX('Checks'!$A$4:$A$503,_calc!$E$147)))</f>
        <v/>
      </c>
      <c r="B145" s="43">
        <f>IF(_calc!$E$147="","",IF(ISNUMBER(INDEX('Checks'!$H$4:$H$503,_calc!$E$147)),TEXT(INDEX('Checks'!$H$4:$H$503,_calc!$E$147),"yyyy-mm-dd"),""))</f>
        <v/>
      </c>
      <c r="C145" s="43">
        <f>IF(_calc!$E$147="","","Right to work")</f>
        <v/>
      </c>
      <c r="D145" s="43">
        <f>IF(_calc!$E$147="","",IF(ISNUMBER(INDEX('Checks'!$F$4:$F$503,_calc!$E$147)),TEXT(INDEX('Checks'!$F$4:$F$503,_calc!$E$147),"yyyy-mm-dd"),""))</f>
        <v/>
      </c>
      <c r="E145" s="43">
        <f>IF(_calc!$E$147="","","High")</f>
        <v/>
      </c>
      <c r="F145" s="43">
        <f>IF(_calc!$E$147="","",TRIM(IF(LEN(IF(LEN(INDEX('Checks'!$B$4:$B$503,_calc!$E$147))=0,"",INDEX('Checks'!$B$4:$B$503,_calc!$E$147)))=0,"","Role: "&amp;IF(LEN(INDEX('Checks'!$B$4:$B$503,_calc!$E$147))=0,"",INDEX('Checks'!$B$4:$B$503,_calc!$E$147))&amp;". ")&amp;IF(LEN(IF(LEN(INDEX('Checks'!$D$4:$D$503,_calc!$E$147))=0,"",INDEX('Checks'!$D$4:$D$503,_calc!$E$147)))=0,"","Check type: "&amp;IF(LEN(INDEX('Checks'!$D$4:$D$503,_calc!$E$147))=0,"",INDEX('Checks'!$D$4:$D$503,_calc!$E$147))&amp;". ")&amp;IF(LEN(IF(LEN(INDEX('Checks'!$E$4:$E$503,_calc!$E$147))=0,"",INDEX('Checks'!$E$4:$E$503,_calc!$E$147)))=0,"","Evidence: "&amp;IF(LEN(INDEX('Checks'!$E$4:$E$503,_calc!$E$147))=0,"",INDEX('Checks'!$E$4:$E$503,_calc!$E$147))&amp;". ")&amp;IF(LEN(IF(LEN(INDEX('Checks'!$G$4:$G$503,_calc!$E$147))=0,"",INDEX('Checks'!$G$4:$G$503,_calc!$E$147)))=0,"","Checked by: "&amp;IF(LEN(INDEX('Checks'!$G$4:$G$503,_calc!$E$147))=0,"",INDEX('Checks'!$G$4:$G$503,_calc!$E$147))&amp;". ")&amp;IF(LEN(IF(LEN(INDEX('Checks'!$Q$4:$Q$503,_calc!$E$147))=0,"",INDEX('Checks'!$Q$4:$Q$503,_calc!$E$147)))=0,"",IF(LEN(INDEX('Checks'!$Q$4:$Q$503,_calc!$E$147))=0,"",INDEX('Checks'!$Q$4:$Q$503,_calc!$E$147)))))</f>
        <v/>
      </c>
      <c r="G145" s="43">
        <f>IF(_calc!$E$147="","",IF(LEN(INDEX('Checks'!$P$4:$P$503,_calc!$E$147))=0,"",INDEX('Checks'!$P$4:$P$503,_calc!$E$147)))</f>
        <v/>
      </c>
      <c r="K145" s="43">
        <f>IF(_calc!$E$147="","",IF(LEN(INDEX('Checks'!$O$4:$O$503,_calc!$E$147))=0,"",INDEX('Checks'!$O$4:$O$503,_calc!$E$147)))</f>
        <v/>
      </c>
    </row>
    <row r="146">
      <c r="A146" s="43">
        <f>IF(_calc!$E$148="","","Right to work follow-up – "&amp;IF(LEN(INDEX('Checks'!$A$4:$A$503,_calc!$E$148))=0,"",INDEX('Checks'!$A$4:$A$503,_calc!$E$148)))</f>
        <v/>
      </c>
      <c r="B146" s="43">
        <f>IF(_calc!$E$148="","",IF(ISNUMBER(INDEX('Checks'!$H$4:$H$503,_calc!$E$148)),TEXT(INDEX('Checks'!$H$4:$H$503,_calc!$E$148),"yyyy-mm-dd"),""))</f>
        <v/>
      </c>
      <c r="C146" s="43">
        <f>IF(_calc!$E$148="","","Right to work")</f>
        <v/>
      </c>
      <c r="D146" s="43">
        <f>IF(_calc!$E$148="","",IF(ISNUMBER(INDEX('Checks'!$F$4:$F$503,_calc!$E$148)),TEXT(INDEX('Checks'!$F$4:$F$503,_calc!$E$148),"yyyy-mm-dd"),""))</f>
        <v/>
      </c>
      <c r="E146" s="43">
        <f>IF(_calc!$E$148="","","High")</f>
        <v/>
      </c>
      <c r="F146" s="43">
        <f>IF(_calc!$E$148="","",TRIM(IF(LEN(IF(LEN(INDEX('Checks'!$B$4:$B$503,_calc!$E$148))=0,"",INDEX('Checks'!$B$4:$B$503,_calc!$E$148)))=0,"","Role: "&amp;IF(LEN(INDEX('Checks'!$B$4:$B$503,_calc!$E$148))=0,"",INDEX('Checks'!$B$4:$B$503,_calc!$E$148))&amp;". ")&amp;IF(LEN(IF(LEN(INDEX('Checks'!$D$4:$D$503,_calc!$E$148))=0,"",INDEX('Checks'!$D$4:$D$503,_calc!$E$148)))=0,"","Check type: "&amp;IF(LEN(INDEX('Checks'!$D$4:$D$503,_calc!$E$148))=0,"",INDEX('Checks'!$D$4:$D$503,_calc!$E$148))&amp;". ")&amp;IF(LEN(IF(LEN(INDEX('Checks'!$E$4:$E$503,_calc!$E$148))=0,"",INDEX('Checks'!$E$4:$E$503,_calc!$E$148)))=0,"","Evidence: "&amp;IF(LEN(INDEX('Checks'!$E$4:$E$503,_calc!$E$148))=0,"",INDEX('Checks'!$E$4:$E$503,_calc!$E$148))&amp;". ")&amp;IF(LEN(IF(LEN(INDEX('Checks'!$G$4:$G$503,_calc!$E$148))=0,"",INDEX('Checks'!$G$4:$G$503,_calc!$E$148)))=0,"","Checked by: "&amp;IF(LEN(INDEX('Checks'!$G$4:$G$503,_calc!$E$148))=0,"",INDEX('Checks'!$G$4:$G$503,_calc!$E$148))&amp;". ")&amp;IF(LEN(IF(LEN(INDEX('Checks'!$Q$4:$Q$503,_calc!$E$148))=0,"",INDEX('Checks'!$Q$4:$Q$503,_calc!$E$148)))=0,"",IF(LEN(INDEX('Checks'!$Q$4:$Q$503,_calc!$E$148))=0,"",INDEX('Checks'!$Q$4:$Q$503,_calc!$E$148)))))</f>
        <v/>
      </c>
      <c r="G146" s="43">
        <f>IF(_calc!$E$148="","",IF(LEN(INDEX('Checks'!$P$4:$P$503,_calc!$E$148))=0,"",INDEX('Checks'!$P$4:$P$503,_calc!$E$148)))</f>
        <v/>
      </c>
      <c r="K146" s="43">
        <f>IF(_calc!$E$148="","",IF(LEN(INDEX('Checks'!$O$4:$O$503,_calc!$E$148))=0,"",INDEX('Checks'!$O$4:$O$503,_calc!$E$148)))</f>
        <v/>
      </c>
    </row>
    <row r="147">
      <c r="A147" s="43">
        <f>IF(_calc!$E$149="","","Right to work follow-up – "&amp;IF(LEN(INDEX('Checks'!$A$4:$A$503,_calc!$E$149))=0,"",INDEX('Checks'!$A$4:$A$503,_calc!$E$149)))</f>
        <v/>
      </c>
      <c r="B147" s="43">
        <f>IF(_calc!$E$149="","",IF(ISNUMBER(INDEX('Checks'!$H$4:$H$503,_calc!$E$149)),TEXT(INDEX('Checks'!$H$4:$H$503,_calc!$E$149),"yyyy-mm-dd"),""))</f>
        <v/>
      </c>
      <c r="C147" s="43">
        <f>IF(_calc!$E$149="","","Right to work")</f>
        <v/>
      </c>
      <c r="D147" s="43">
        <f>IF(_calc!$E$149="","",IF(ISNUMBER(INDEX('Checks'!$F$4:$F$503,_calc!$E$149)),TEXT(INDEX('Checks'!$F$4:$F$503,_calc!$E$149),"yyyy-mm-dd"),""))</f>
        <v/>
      </c>
      <c r="E147" s="43">
        <f>IF(_calc!$E$149="","","High")</f>
        <v/>
      </c>
      <c r="F147" s="43">
        <f>IF(_calc!$E$149="","",TRIM(IF(LEN(IF(LEN(INDEX('Checks'!$B$4:$B$503,_calc!$E$149))=0,"",INDEX('Checks'!$B$4:$B$503,_calc!$E$149)))=0,"","Role: "&amp;IF(LEN(INDEX('Checks'!$B$4:$B$503,_calc!$E$149))=0,"",INDEX('Checks'!$B$4:$B$503,_calc!$E$149))&amp;". ")&amp;IF(LEN(IF(LEN(INDEX('Checks'!$D$4:$D$503,_calc!$E$149))=0,"",INDEX('Checks'!$D$4:$D$503,_calc!$E$149)))=0,"","Check type: "&amp;IF(LEN(INDEX('Checks'!$D$4:$D$503,_calc!$E$149))=0,"",INDEX('Checks'!$D$4:$D$503,_calc!$E$149))&amp;". ")&amp;IF(LEN(IF(LEN(INDEX('Checks'!$E$4:$E$503,_calc!$E$149))=0,"",INDEX('Checks'!$E$4:$E$503,_calc!$E$149)))=0,"","Evidence: "&amp;IF(LEN(INDEX('Checks'!$E$4:$E$503,_calc!$E$149))=0,"",INDEX('Checks'!$E$4:$E$503,_calc!$E$149))&amp;". ")&amp;IF(LEN(IF(LEN(INDEX('Checks'!$G$4:$G$503,_calc!$E$149))=0,"",INDEX('Checks'!$G$4:$G$503,_calc!$E$149)))=0,"","Checked by: "&amp;IF(LEN(INDEX('Checks'!$G$4:$G$503,_calc!$E$149))=0,"",INDEX('Checks'!$G$4:$G$503,_calc!$E$149))&amp;". ")&amp;IF(LEN(IF(LEN(INDEX('Checks'!$Q$4:$Q$503,_calc!$E$149))=0,"",INDEX('Checks'!$Q$4:$Q$503,_calc!$E$149)))=0,"",IF(LEN(INDEX('Checks'!$Q$4:$Q$503,_calc!$E$149))=0,"",INDEX('Checks'!$Q$4:$Q$503,_calc!$E$149)))))</f>
        <v/>
      </c>
      <c r="G147" s="43">
        <f>IF(_calc!$E$149="","",IF(LEN(INDEX('Checks'!$P$4:$P$503,_calc!$E$149))=0,"",INDEX('Checks'!$P$4:$P$503,_calc!$E$149)))</f>
        <v/>
      </c>
      <c r="K147" s="43">
        <f>IF(_calc!$E$149="","",IF(LEN(INDEX('Checks'!$O$4:$O$503,_calc!$E$149))=0,"",INDEX('Checks'!$O$4:$O$503,_calc!$E$149)))</f>
        <v/>
      </c>
    </row>
    <row r="148">
      <c r="A148" s="43">
        <f>IF(_calc!$E$150="","","Right to work follow-up – "&amp;IF(LEN(INDEX('Checks'!$A$4:$A$503,_calc!$E$150))=0,"",INDEX('Checks'!$A$4:$A$503,_calc!$E$150)))</f>
        <v/>
      </c>
      <c r="B148" s="43">
        <f>IF(_calc!$E$150="","",IF(ISNUMBER(INDEX('Checks'!$H$4:$H$503,_calc!$E$150)),TEXT(INDEX('Checks'!$H$4:$H$503,_calc!$E$150),"yyyy-mm-dd"),""))</f>
        <v/>
      </c>
      <c r="C148" s="43">
        <f>IF(_calc!$E$150="","","Right to work")</f>
        <v/>
      </c>
      <c r="D148" s="43">
        <f>IF(_calc!$E$150="","",IF(ISNUMBER(INDEX('Checks'!$F$4:$F$503,_calc!$E$150)),TEXT(INDEX('Checks'!$F$4:$F$503,_calc!$E$150),"yyyy-mm-dd"),""))</f>
        <v/>
      </c>
      <c r="E148" s="43">
        <f>IF(_calc!$E$150="","","High")</f>
        <v/>
      </c>
      <c r="F148" s="43">
        <f>IF(_calc!$E$150="","",TRIM(IF(LEN(IF(LEN(INDEX('Checks'!$B$4:$B$503,_calc!$E$150))=0,"",INDEX('Checks'!$B$4:$B$503,_calc!$E$150)))=0,"","Role: "&amp;IF(LEN(INDEX('Checks'!$B$4:$B$503,_calc!$E$150))=0,"",INDEX('Checks'!$B$4:$B$503,_calc!$E$150))&amp;". ")&amp;IF(LEN(IF(LEN(INDEX('Checks'!$D$4:$D$503,_calc!$E$150))=0,"",INDEX('Checks'!$D$4:$D$503,_calc!$E$150)))=0,"","Check type: "&amp;IF(LEN(INDEX('Checks'!$D$4:$D$503,_calc!$E$150))=0,"",INDEX('Checks'!$D$4:$D$503,_calc!$E$150))&amp;". ")&amp;IF(LEN(IF(LEN(INDEX('Checks'!$E$4:$E$503,_calc!$E$150))=0,"",INDEX('Checks'!$E$4:$E$503,_calc!$E$150)))=0,"","Evidence: "&amp;IF(LEN(INDEX('Checks'!$E$4:$E$503,_calc!$E$150))=0,"",INDEX('Checks'!$E$4:$E$503,_calc!$E$150))&amp;". ")&amp;IF(LEN(IF(LEN(INDEX('Checks'!$G$4:$G$503,_calc!$E$150))=0,"",INDEX('Checks'!$G$4:$G$503,_calc!$E$150)))=0,"","Checked by: "&amp;IF(LEN(INDEX('Checks'!$G$4:$G$503,_calc!$E$150))=0,"",INDEX('Checks'!$G$4:$G$503,_calc!$E$150))&amp;". ")&amp;IF(LEN(IF(LEN(INDEX('Checks'!$Q$4:$Q$503,_calc!$E$150))=0,"",INDEX('Checks'!$Q$4:$Q$503,_calc!$E$150)))=0,"",IF(LEN(INDEX('Checks'!$Q$4:$Q$503,_calc!$E$150))=0,"",INDEX('Checks'!$Q$4:$Q$503,_calc!$E$150)))))</f>
        <v/>
      </c>
      <c r="G148" s="43">
        <f>IF(_calc!$E$150="","",IF(LEN(INDEX('Checks'!$P$4:$P$503,_calc!$E$150))=0,"",INDEX('Checks'!$P$4:$P$503,_calc!$E$150)))</f>
        <v/>
      </c>
      <c r="K148" s="43">
        <f>IF(_calc!$E$150="","",IF(LEN(INDEX('Checks'!$O$4:$O$503,_calc!$E$150))=0,"",INDEX('Checks'!$O$4:$O$503,_calc!$E$150)))</f>
        <v/>
      </c>
    </row>
    <row r="149">
      <c r="A149" s="43">
        <f>IF(_calc!$E$151="","","Right to work follow-up – "&amp;IF(LEN(INDEX('Checks'!$A$4:$A$503,_calc!$E$151))=0,"",INDEX('Checks'!$A$4:$A$503,_calc!$E$151)))</f>
        <v/>
      </c>
      <c r="B149" s="43">
        <f>IF(_calc!$E$151="","",IF(ISNUMBER(INDEX('Checks'!$H$4:$H$503,_calc!$E$151)),TEXT(INDEX('Checks'!$H$4:$H$503,_calc!$E$151),"yyyy-mm-dd"),""))</f>
        <v/>
      </c>
      <c r="C149" s="43">
        <f>IF(_calc!$E$151="","","Right to work")</f>
        <v/>
      </c>
      <c r="D149" s="43">
        <f>IF(_calc!$E$151="","",IF(ISNUMBER(INDEX('Checks'!$F$4:$F$503,_calc!$E$151)),TEXT(INDEX('Checks'!$F$4:$F$503,_calc!$E$151),"yyyy-mm-dd"),""))</f>
        <v/>
      </c>
      <c r="E149" s="43">
        <f>IF(_calc!$E$151="","","High")</f>
        <v/>
      </c>
      <c r="F149" s="43">
        <f>IF(_calc!$E$151="","",TRIM(IF(LEN(IF(LEN(INDEX('Checks'!$B$4:$B$503,_calc!$E$151))=0,"",INDEX('Checks'!$B$4:$B$503,_calc!$E$151)))=0,"","Role: "&amp;IF(LEN(INDEX('Checks'!$B$4:$B$503,_calc!$E$151))=0,"",INDEX('Checks'!$B$4:$B$503,_calc!$E$151))&amp;". ")&amp;IF(LEN(IF(LEN(INDEX('Checks'!$D$4:$D$503,_calc!$E$151))=0,"",INDEX('Checks'!$D$4:$D$503,_calc!$E$151)))=0,"","Check type: "&amp;IF(LEN(INDEX('Checks'!$D$4:$D$503,_calc!$E$151))=0,"",INDEX('Checks'!$D$4:$D$503,_calc!$E$151))&amp;". ")&amp;IF(LEN(IF(LEN(INDEX('Checks'!$E$4:$E$503,_calc!$E$151))=0,"",INDEX('Checks'!$E$4:$E$503,_calc!$E$151)))=0,"","Evidence: "&amp;IF(LEN(INDEX('Checks'!$E$4:$E$503,_calc!$E$151))=0,"",INDEX('Checks'!$E$4:$E$503,_calc!$E$151))&amp;". ")&amp;IF(LEN(IF(LEN(INDEX('Checks'!$G$4:$G$503,_calc!$E$151))=0,"",INDEX('Checks'!$G$4:$G$503,_calc!$E$151)))=0,"","Checked by: "&amp;IF(LEN(INDEX('Checks'!$G$4:$G$503,_calc!$E$151))=0,"",INDEX('Checks'!$G$4:$G$503,_calc!$E$151))&amp;". ")&amp;IF(LEN(IF(LEN(INDEX('Checks'!$Q$4:$Q$503,_calc!$E$151))=0,"",INDEX('Checks'!$Q$4:$Q$503,_calc!$E$151)))=0,"",IF(LEN(INDEX('Checks'!$Q$4:$Q$503,_calc!$E$151))=0,"",INDEX('Checks'!$Q$4:$Q$503,_calc!$E$151)))))</f>
        <v/>
      </c>
      <c r="G149" s="43">
        <f>IF(_calc!$E$151="","",IF(LEN(INDEX('Checks'!$P$4:$P$503,_calc!$E$151))=0,"",INDEX('Checks'!$P$4:$P$503,_calc!$E$151)))</f>
        <v/>
      </c>
      <c r="K149" s="43">
        <f>IF(_calc!$E$151="","",IF(LEN(INDEX('Checks'!$O$4:$O$503,_calc!$E$151))=0,"",INDEX('Checks'!$O$4:$O$503,_calc!$E$151)))</f>
        <v/>
      </c>
    </row>
    <row r="150">
      <c r="A150" s="43">
        <f>IF(_calc!$E$152="","","Right to work follow-up – "&amp;IF(LEN(INDEX('Checks'!$A$4:$A$503,_calc!$E$152))=0,"",INDEX('Checks'!$A$4:$A$503,_calc!$E$152)))</f>
        <v/>
      </c>
      <c r="B150" s="43">
        <f>IF(_calc!$E$152="","",IF(ISNUMBER(INDEX('Checks'!$H$4:$H$503,_calc!$E$152)),TEXT(INDEX('Checks'!$H$4:$H$503,_calc!$E$152),"yyyy-mm-dd"),""))</f>
        <v/>
      </c>
      <c r="C150" s="43">
        <f>IF(_calc!$E$152="","","Right to work")</f>
        <v/>
      </c>
      <c r="D150" s="43">
        <f>IF(_calc!$E$152="","",IF(ISNUMBER(INDEX('Checks'!$F$4:$F$503,_calc!$E$152)),TEXT(INDEX('Checks'!$F$4:$F$503,_calc!$E$152),"yyyy-mm-dd"),""))</f>
        <v/>
      </c>
      <c r="E150" s="43">
        <f>IF(_calc!$E$152="","","High")</f>
        <v/>
      </c>
      <c r="F150" s="43">
        <f>IF(_calc!$E$152="","",TRIM(IF(LEN(IF(LEN(INDEX('Checks'!$B$4:$B$503,_calc!$E$152))=0,"",INDEX('Checks'!$B$4:$B$503,_calc!$E$152)))=0,"","Role: "&amp;IF(LEN(INDEX('Checks'!$B$4:$B$503,_calc!$E$152))=0,"",INDEX('Checks'!$B$4:$B$503,_calc!$E$152))&amp;". ")&amp;IF(LEN(IF(LEN(INDEX('Checks'!$D$4:$D$503,_calc!$E$152))=0,"",INDEX('Checks'!$D$4:$D$503,_calc!$E$152)))=0,"","Check type: "&amp;IF(LEN(INDEX('Checks'!$D$4:$D$503,_calc!$E$152))=0,"",INDEX('Checks'!$D$4:$D$503,_calc!$E$152))&amp;". ")&amp;IF(LEN(IF(LEN(INDEX('Checks'!$E$4:$E$503,_calc!$E$152))=0,"",INDEX('Checks'!$E$4:$E$503,_calc!$E$152)))=0,"","Evidence: "&amp;IF(LEN(INDEX('Checks'!$E$4:$E$503,_calc!$E$152))=0,"",INDEX('Checks'!$E$4:$E$503,_calc!$E$152))&amp;". ")&amp;IF(LEN(IF(LEN(INDEX('Checks'!$G$4:$G$503,_calc!$E$152))=0,"",INDEX('Checks'!$G$4:$G$503,_calc!$E$152)))=0,"","Checked by: "&amp;IF(LEN(INDEX('Checks'!$G$4:$G$503,_calc!$E$152))=0,"",INDEX('Checks'!$G$4:$G$503,_calc!$E$152))&amp;". ")&amp;IF(LEN(IF(LEN(INDEX('Checks'!$Q$4:$Q$503,_calc!$E$152))=0,"",INDEX('Checks'!$Q$4:$Q$503,_calc!$E$152)))=0,"",IF(LEN(INDEX('Checks'!$Q$4:$Q$503,_calc!$E$152))=0,"",INDEX('Checks'!$Q$4:$Q$503,_calc!$E$152)))))</f>
        <v/>
      </c>
      <c r="G150" s="43">
        <f>IF(_calc!$E$152="","",IF(LEN(INDEX('Checks'!$P$4:$P$503,_calc!$E$152))=0,"",INDEX('Checks'!$P$4:$P$503,_calc!$E$152)))</f>
        <v/>
      </c>
      <c r="K150" s="43">
        <f>IF(_calc!$E$152="","",IF(LEN(INDEX('Checks'!$O$4:$O$503,_calc!$E$152))=0,"",INDEX('Checks'!$O$4:$O$503,_calc!$E$152)))</f>
        <v/>
      </c>
    </row>
    <row r="151">
      <c r="A151" s="43">
        <f>IF(_calc!$E$153="","","Right to work follow-up – "&amp;IF(LEN(INDEX('Checks'!$A$4:$A$503,_calc!$E$153))=0,"",INDEX('Checks'!$A$4:$A$503,_calc!$E$153)))</f>
        <v/>
      </c>
      <c r="B151" s="43">
        <f>IF(_calc!$E$153="","",IF(ISNUMBER(INDEX('Checks'!$H$4:$H$503,_calc!$E$153)),TEXT(INDEX('Checks'!$H$4:$H$503,_calc!$E$153),"yyyy-mm-dd"),""))</f>
        <v/>
      </c>
      <c r="C151" s="43">
        <f>IF(_calc!$E$153="","","Right to work")</f>
        <v/>
      </c>
      <c r="D151" s="43">
        <f>IF(_calc!$E$153="","",IF(ISNUMBER(INDEX('Checks'!$F$4:$F$503,_calc!$E$153)),TEXT(INDEX('Checks'!$F$4:$F$503,_calc!$E$153),"yyyy-mm-dd"),""))</f>
        <v/>
      </c>
      <c r="E151" s="43">
        <f>IF(_calc!$E$153="","","High")</f>
        <v/>
      </c>
      <c r="F151" s="43">
        <f>IF(_calc!$E$153="","",TRIM(IF(LEN(IF(LEN(INDEX('Checks'!$B$4:$B$503,_calc!$E$153))=0,"",INDEX('Checks'!$B$4:$B$503,_calc!$E$153)))=0,"","Role: "&amp;IF(LEN(INDEX('Checks'!$B$4:$B$503,_calc!$E$153))=0,"",INDEX('Checks'!$B$4:$B$503,_calc!$E$153))&amp;". ")&amp;IF(LEN(IF(LEN(INDEX('Checks'!$D$4:$D$503,_calc!$E$153))=0,"",INDEX('Checks'!$D$4:$D$503,_calc!$E$153)))=0,"","Check type: "&amp;IF(LEN(INDEX('Checks'!$D$4:$D$503,_calc!$E$153))=0,"",INDEX('Checks'!$D$4:$D$503,_calc!$E$153))&amp;". ")&amp;IF(LEN(IF(LEN(INDEX('Checks'!$E$4:$E$503,_calc!$E$153))=0,"",INDEX('Checks'!$E$4:$E$503,_calc!$E$153)))=0,"","Evidence: "&amp;IF(LEN(INDEX('Checks'!$E$4:$E$503,_calc!$E$153))=0,"",INDEX('Checks'!$E$4:$E$503,_calc!$E$153))&amp;". ")&amp;IF(LEN(IF(LEN(INDEX('Checks'!$G$4:$G$503,_calc!$E$153))=0,"",INDEX('Checks'!$G$4:$G$503,_calc!$E$153)))=0,"","Checked by: "&amp;IF(LEN(INDEX('Checks'!$G$4:$G$503,_calc!$E$153))=0,"",INDEX('Checks'!$G$4:$G$503,_calc!$E$153))&amp;". ")&amp;IF(LEN(IF(LEN(INDEX('Checks'!$Q$4:$Q$503,_calc!$E$153))=0,"",INDEX('Checks'!$Q$4:$Q$503,_calc!$E$153)))=0,"",IF(LEN(INDEX('Checks'!$Q$4:$Q$503,_calc!$E$153))=0,"",INDEX('Checks'!$Q$4:$Q$503,_calc!$E$153)))))</f>
        <v/>
      </c>
      <c r="G151" s="43">
        <f>IF(_calc!$E$153="","",IF(LEN(INDEX('Checks'!$P$4:$P$503,_calc!$E$153))=0,"",INDEX('Checks'!$P$4:$P$503,_calc!$E$153)))</f>
        <v/>
      </c>
      <c r="K151" s="43">
        <f>IF(_calc!$E$153="","",IF(LEN(INDEX('Checks'!$O$4:$O$503,_calc!$E$153))=0,"",INDEX('Checks'!$O$4:$O$503,_calc!$E$153)))</f>
        <v/>
      </c>
    </row>
    <row r="152">
      <c r="A152" s="43">
        <f>IF(_calc!$E$154="","","Right to work follow-up – "&amp;IF(LEN(INDEX('Checks'!$A$4:$A$503,_calc!$E$154))=0,"",INDEX('Checks'!$A$4:$A$503,_calc!$E$154)))</f>
        <v/>
      </c>
      <c r="B152" s="43">
        <f>IF(_calc!$E$154="","",IF(ISNUMBER(INDEX('Checks'!$H$4:$H$503,_calc!$E$154)),TEXT(INDEX('Checks'!$H$4:$H$503,_calc!$E$154),"yyyy-mm-dd"),""))</f>
        <v/>
      </c>
      <c r="C152" s="43">
        <f>IF(_calc!$E$154="","","Right to work")</f>
        <v/>
      </c>
      <c r="D152" s="43">
        <f>IF(_calc!$E$154="","",IF(ISNUMBER(INDEX('Checks'!$F$4:$F$503,_calc!$E$154)),TEXT(INDEX('Checks'!$F$4:$F$503,_calc!$E$154),"yyyy-mm-dd"),""))</f>
        <v/>
      </c>
      <c r="E152" s="43">
        <f>IF(_calc!$E$154="","","High")</f>
        <v/>
      </c>
      <c r="F152" s="43">
        <f>IF(_calc!$E$154="","",TRIM(IF(LEN(IF(LEN(INDEX('Checks'!$B$4:$B$503,_calc!$E$154))=0,"",INDEX('Checks'!$B$4:$B$503,_calc!$E$154)))=0,"","Role: "&amp;IF(LEN(INDEX('Checks'!$B$4:$B$503,_calc!$E$154))=0,"",INDEX('Checks'!$B$4:$B$503,_calc!$E$154))&amp;". ")&amp;IF(LEN(IF(LEN(INDEX('Checks'!$D$4:$D$503,_calc!$E$154))=0,"",INDEX('Checks'!$D$4:$D$503,_calc!$E$154)))=0,"","Check type: "&amp;IF(LEN(INDEX('Checks'!$D$4:$D$503,_calc!$E$154))=0,"",INDEX('Checks'!$D$4:$D$503,_calc!$E$154))&amp;". ")&amp;IF(LEN(IF(LEN(INDEX('Checks'!$E$4:$E$503,_calc!$E$154))=0,"",INDEX('Checks'!$E$4:$E$503,_calc!$E$154)))=0,"","Evidence: "&amp;IF(LEN(INDEX('Checks'!$E$4:$E$503,_calc!$E$154))=0,"",INDEX('Checks'!$E$4:$E$503,_calc!$E$154))&amp;". ")&amp;IF(LEN(IF(LEN(INDEX('Checks'!$G$4:$G$503,_calc!$E$154))=0,"",INDEX('Checks'!$G$4:$G$503,_calc!$E$154)))=0,"","Checked by: "&amp;IF(LEN(INDEX('Checks'!$G$4:$G$503,_calc!$E$154))=0,"",INDEX('Checks'!$G$4:$G$503,_calc!$E$154))&amp;". ")&amp;IF(LEN(IF(LEN(INDEX('Checks'!$Q$4:$Q$503,_calc!$E$154))=0,"",INDEX('Checks'!$Q$4:$Q$503,_calc!$E$154)))=0,"",IF(LEN(INDEX('Checks'!$Q$4:$Q$503,_calc!$E$154))=0,"",INDEX('Checks'!$Q$4:$Q$503,_calc!$E$154)))))</f>
        <v/>
      </c>
      <c r="G152" s="43">
        <f>IF(_calc!$E$154="","",IF(LEN(INDEX('Checks'!$P$4:$P$503,_calc!$E$154))=0,"",INDEX('Checks'!$P$4:$P$503,_calc!$E$154)))</f>
        <v/>
      </c>
      <c r="K152" s="43">
        <f>IF(_calc!$E$154="","",IF(LEN(INDEX('Checks'!$O$4:$O$503,_calc!$E$154))=0,"",INDEX('Checks'!$O$4:$O$503,_calc!$E$154)))</f>
        <v/>
      </c>
    </row>
    <row r="153">
      <c r="A153" s="43">
        <f>IF(_calc!$E$155="","","Right to work follow-up – "&amp;IF(LEN(INDEX('Checks'!$A$4:$A$503,_calc!$E$155))=0,"",INDEX('Checks'!$A$4:$A$503,_calc!$E$155)))</f>
        <v/>
      </c>
      <c r="B153" s="43">
        <f>IF(_calc!$E$155="","",IF(ISNUMBER(INDEX('Checks'!$H$4:$H$503,_calc!$E$155)),TEXT(INDEX('Checks'!$H$4:$H$503,_calc!$E$155),"yyyy-mm-dd"),""))</f>
        <v/>
      </c>
      <c r="C153" s="43">
        <f>IF(_calc!$E$155="","","Right to work")</f>
        <v/>
      </c>
      <c r="D153" s="43">
        <f>IF(_calc!$E$155="","",IF(ISNUMBER(INDEX('Checks'!$F$4:$F$503,_calc!$E$155)),TEXT(INDEX('Checks'!$F$4:$F$503,_calc!$E$155),"yyyy-mm-dd"),""))</f>
        <v/>
      </c>
      <c r="E153" s="43">
        <f>IF(_calc!$E$155="","","High")</f>
        <v/>
      </c>
      <c r="F153" s="43">
        <f>IF(_calc!$E$155="","",TRIM(IF(LEN(IF(LEN(INDEX('Checks'!$B$4:$B$503,_calc!$E$155))=0,"",INDEX('Checks'!$B$4:$B$503,_calc!$E$155)))=0,"","Role: "&amp;IF(LEN(INDEX('Checks'!$B$4:$B$503,_calc!$E$155))=0,"",INDEX('Checks'!$B$4:$B$503,_calc!$E$155))&amp;". ")&amp;IF(LEN(IF(LEN(INDEX('Checks'!$D$4:$D$503,_calc!$E$155))=0,"",INDEX('Checks'!$D$4:$D$503,_calc!$E$155)))=0,"","Check type: "&amp;IF(LEN(INDEX('Checks'!$D$4:$D$503,_calc!$E$155))=0,"",INDEX('Checks'!$D$4:$D$503,_calc!$E$155))&amp;". ")&amp;IF(LEN(IF(LEN(INDEX('Checks'!$E$4:$E$503,_calc!$E$155))=0,"",INDEX('Checks'!$E$4:$E$503,_calc!$E$155)))=0,"","Evidence: "&amp;IF(LEN(INDEX('Checks'!$E$4:$E$503,_calc!$E$155))=0,"",INDEX('Checks'!$E$4:$E$503,_calc!$E$155))&amp;". ")&amp;IF(LEN(IF(LEN(INDEX('Checks'!$G$4:$G$503,_calc!$E$155))=0,"",INDEX('Checks'!$G$4:$G$503,_calc!$E$155)))=0,"","Checked by: "&amp;IF(LEN(INDEX('Checks'!$G$4:$G$503,_calc!$E$155))=0,"",INDEX('Checks'!$G$4:$G$503,_calc!$E$155))&amp;". ")&amp;IF(LEN(IF(LEN(INDEX('Checks'!$Q$4:$Q$503,_calc!$E$155))=0,"",INDEX('Checks'!$Q$4:$Q$503,_calc!$E$155)))=0,"",IF(LEN(INDEX('Checks'!$Q$4:$Q$503,_calc!$E$155))=0,"",INDEX('Checks'!$Q$4:$Q$503,_calc!$E$155)))))</f>
        <v/>
      </c>
      <c r="G153" s="43">
        <f>IF(_calc!$E$155="","",IF(LEN(INDEX('Checks'!$P$4:$P$503,_calc!$E$155))=0,"",INDEX('Checks'!$P$4:$P$503,_calc!$E$155)))</f>
        <v/>
      </c>
      <c r="K153" s="43">
        <f>IF(_calc!$E$155="","",IF(LEN(INDEX('Checks'!$O$4:$O$503,_calc!$E$155))=0,"",INDEX('Checks'!$O$4:$O$503,_calc!$E$155)))</f>
        <v/>
      </c>
    </row>
    <row r="154">
      <c r="A154" s="43">
        <f>IF(_calc!$E$156="","","Right to work follow-up – "&amp;IF(LEN(INDEX('Checks'!$A$4:$A$503,_calc!$E$156))=0,"",INDEX('Checks'!$A$4:$A$503,_calc!$E$156)))</f>
        <v/>
      </c>
      <c r="B154" s="43">
        <f>IF(_calc!$E$156="","",IF(ISNUMBER(INDEX('Checks'!$H$4:$H$503,_calc!$E$156)),TEXT(INDEX('Checks'!$H$4:$H$503,_calc!$E$156),"yyyy-mm-dd"),""))</f>
        <v/>
      </c>
      <c r="C154" s="43">
        <f>IF(_calc!$E$156="","","Right to work")</f>
        <v/>
      </c>
      <c r="D154" s="43">
        <f>IF(_calc!$E$156="","",IF(ISNUMBER(INDEX('Checks'!$F$4:$F$503,_calc!$E$156)),TEXT(INDEX('Checks'!$F$4:$F$503,_calc!$E$156),"yyyy-mm-dd"),""))</f>
        <v/>
      </c>
      <c r="E154" s="43">
        <f>IF(_calc!$E$156="","","High")</f>
        <v/>
      </c>
      <c r="F154" s="43">
        <f>IF(_calc!$E$156="","",TRIM(IF(LEN(IF(LEN(INDEX('Checks'!$B$4:$B$503,_calc!$E$156))=0,"",INDEX('Checks'!$B$4:$B$503,_calc!$E$156)))=0,"","Role: "&amp;IF(LEN(INDEX('Checks'!$B$4:$B$503,_calc!$E$156))=0,"",INDEX('Checks'!$B$4:$B$503,_calc!$E$156))&amp;". ")&amp;IF(LEN(IF(LEN(INDEX('Checks'!$D$4:$D$503,_calc!$E$156))=0,"",INDEX('Checks'!$D$4:$D$503,_calc!$E$156)))=0,"","Check type: "&amp;IF(LEN(INDEX('Checks'!$D$4:$D$503,_calc!$E$156))=0,"",INDEX('Checks'!$D$4:$D$503,_calc!$E$156))&amp;". ")&amp;IF(LEN(IF(LEN(INDEX('Checks'!$E$4:$E$503,_calc!$E$156))=0,"",INDEX('Checks'!$E$4:$E$503,_calc!$E$156)))=0,"","Evidence: "&amp;IF(LEN(INDEX('Checks'!$E$4:$E$503,_calc!$E$156))=0,"",INDEX('Checks'!$E$4:$E$503,_calc!$E$156))&amp;". ")&amp;IF(LEN(IF(LEN(INDEX('Checks'!$G$4:$G$503,_calc!$E$156))=0,"",INDEX('Checks'!$G$4:$G$503,_calc!$E$156)))=0,"","Checked by: "&amp;IF(LEN(INDEX('Checks'!$G$4:$G$503,_calc!$E$156))=0,"",INDEX('Checks'!$G$4:$G$503,_calc!$E$156))&amp;". ")&amp;IF(LEN(IF(LEN(INDEX('Checks'!$Q$4:$Q$503,_calc!$E$156))=0,"",INDEX('Checks'!$Q$4:$Q$503,_calc!$E$156)))=0,"",IF(LEN(INDEX('Checks'!$Q$4:$Q$503,_calc!$E$156))=0,"",INDEX('Checks'!$Q$4:$Q$503,_calc!$E$156)))))</f>
        <v/>
      </c>
      <c r="G154" s="43">
        <f>IF(_calc!$E$156="","",IF(LEN(INDEX('Checks'!$P$4:$P$503,_calc!$E$156))=0,"",INDEX('Checks'!$P$4:$P$503,_calc!$E$156)))</f>
        <v/>
      </c>
      <c r="K154" s="43">
        <f>IF(_calc!$E$156="","",IF(LEN(INDEX('Checks'!$O$4:$O$503,_calc!$E$156))=0,"",INDEX('Checks'!$O$4:$O$503,_calc!$E$156)))</f>
        <v/>
      </c>
    </row>
    <row r="155">
      <c r="A155" s="43">
        <f>IF(_calc!$E$157="","","Right to work follow-up – "&amp;IF(LEN(INDEX('Checks'!$A$4:$A$503,_calc!$E$157))=0,"",INDEX('Checks'!$A$4:$A$503,_calc!$E$157)))</f>
        <v/>
      </c>
      <c r="B155" s="43">
        <f>IF(_calc!$E$157="","",IF(ISNUMBER(INDEX('Checks'!$H$4:$H$503,_calc!$E$157)),TEXT(INDEX('Checks'!$H$4:$H$503,_calc!$E$157),"yyyy-mm-dd"),""))</f>
        <v/>
      </c>
      <c r="C155" s="43">
        <f>IF(_calc!$E$157="","","Right to work")</f>
        <v/>
      </c>
      <c r="D155" s="43">
        <f>IF(_calc!$E$157="","",IF(ISNUMBER(INDEX('Checks'!$F$4:$F$503,_calc!$E$157)),TEXT(INDEX('Checks'!$F$4:$F$503,_calc!$E$157),"yyyy-mm-dd"),""))</f>
        <v/>
      </c>
      <c r="E155" s="43">
        <f>IF(_calc!$E$157="","","High")</f>
        <v/>
      </c>
      <c r="F155" s="43">
        <f>IF(_calc!$E$157="","",TRIM(IF(LEN(IF(LEN(INDEX('Checks'!$B$4:$B$503,_calc!$E$157))=0,"",INDEX('Checks'!$B$4:$B$503,_calc!$E$157)))=0,"","Role: "&amp;IF(LEN(INDEX('Checks'!$B$4:$B$503,_calc!$E$157))=0,"",INDEX('Checks'!$B$4:$B$503,_calc!$E$157))&amp;". ")&amp;IF(LEN(IF(LEN(INDEX('Checks'!$D$4:$D$503,_calc!$E$157))=0,"",INDEX('Checks'!$D$4:$D$503,_calc!$E$157)))=0,"","Check type: "&amp;IF(LEN(INDEX('Checks'!$D$4:$D$503,_calc!$E$157))=0,"",INDEX('Checks'!$D$4:$D$503,_calc!$E$157))&amp;". ")&amp;IF(LEN(IF(LEN(INDEX('Checks'!$E$4:$E$503,_calc!$E$157))=0,"",INDEX('Checks'!$E$4:$E$503,_calc!$E$157)))=0,"","Evidence: "&amp;IF(LEN(INDEX('Checks'!$E$4:$E$503,_calc!$E$157))=0,"",INDEX('Checks'!$E$4:$E$503,_calc!$E$157))&amp;". ")&amp;IF(LEN(IF(LEN(INDEX('Checks'!$G$4:$G$503,_calc!$E$157))=0,"",INDEX('Checks'!$G$4:$G$503,_calc!$E$157)))=0,"","Checked by: "&amp;IF(LEN(INDEX('Checks'!$G$4:$G$503,_calc!$E$157))=0,"",INDEX('Checks'!$G$4:$G$503,_calc!$E$157))&amp;". ")&amp;IF(LEN(IF(LEN(INDEX('Checks'!$Q$4:$Q$503,_calc!$E$157))=0,"",INDEX('Checks'!$Q$4:$Q$503,_calc!$E$157)))=0,"",IF(LEN(INDEX('Checks'!$Q$4:$Q$503,_calc!$E$157))=0,"",INDEX('Checks'!$Q$4:$Q$503,_calc!$E$157)))))</f>
        <v/>
      </c>
      <c r="G155" s="43">
        <f>IF(_calc!$E$157="","",IF(LEN(INDEX('Checks'!$P$4:$P$503,_calc!$E$157))=0,"",INDEX('Checks'!$P$4:$P$503,_calc!$E$157)))</f>
        <v/>
      </c>
      <c r="K155" s="43">
        <f>IF(_calc!$E$157="","",IF(LEN(INDEX('Checks'!$O$4:$O$503,_calc!$E$157))=0,"",INDEX('Checks'!$O$4:$O$503,_calc!$E$157)))</f>
        <v/>
      </c>
    </row>
    <row r="156">
      <c r="A156" s="43">
        <f>IF(_calc!$E$158="","","Right to work follow-up – "&amp;IF(LEN(INDEX('Checks'!$A$4:$A$503,_calc!$E$158))=0,"",INDEX('Checks'!$A$4:$A$503,_calc!$E$158)))</f>
        <v/>
      </c>
      <c r="B156" s="43">
        <f>IF(_calc!$E$158="","",IF(ISNUMBER(INDEX('Checks'!$H$4:$H$503,_calc!$E$158)),TEXT(INDEX('Checks'!$H$4:$H$503,_calc!$E$158),"yyyy-mm-dd"),""))</f>
        <v/>
      </c>
      <c r="C156" s="43">
        <f>IF(_calc!$E$158="","","Right to work")</f>
        <v/>
      </c>
      <c r="D156" s="43">
        <f>IF(_calc!$E$158="","",IF(ISNUMBER(INDEX('Checks'!$F$4:$F$503,_calc!$E$158)),TEXT(INDEX('Checks'!$F$4:$F$503,_calc!$E$158),"yyyy-mm-dd"),""))</f>
        <v/>
      </c>
      <c r="E156" s="43">
        <f>IF(_calc!$E$158="","","High")</f>
        <v/>
      </c>
      <c r="F156" s="43">
        <f>IF(_calc!$E$158="","",TRIM(IF(LEN(IF(LEN(INDEX('Checks'!$B$4:$B$503,_calc!$E$158))=0,"",INDEX('Checks'!$B$4:$B$503,_calc!$E$158)))=0,"","Role: "&amp;IF(LEN(INDEX('Checks'!$B$4:$B$503,_calc!$E$158))=0,"",INDEX('Checks'!$B$4:$B$503,_calc!$E$158))&amp;". ")&amp;IF(LEN(IF(LEN(INDEX('Checks'!$D$4:$D$503,_calc!$E$158))=0,"",INDEX('Checks'!$D$4:$D$503,_calc!$E$158)))=0,"","Check type: "&amp;IF(LEN(INDEX('Checks'!$D$4:$D$503,_calc!$E$158))=0,"",INDEX('Checks'!$D$4:$D$503,_calc!$E$158))&amp;". ")&amp;IF(LEN(IF(LEN(INDEX('Checks'!$E$4:$E$503,_calc!$E$158))=0,"",INDEX('Checks'!$E$4:$E$503,_calc!$E$158)))=0,"","Evidence: "&amp;IF(LEN(INDEX('Checks'!$E$4:$E$503,_calc!$E$158))=0,"",INDEX('Checks'!$E$4:$E$503,_calc!$E$158))&amp;". ")&amp;IF(LEN(IF(LEN(INDEX('Checks'!$G$4:$G$503,_calc!$E$158))=0,"",INDEX('Checks'!$G$4:$G$503,_calc!$E$158)))=0,"","Checked by: "&amp;IF(LEN(INDEX('Checks'!$G$4:$G$503,_calc!$E$158))=0,"",INDEX('Checks'!$G$4:$G$503,_calc!$E$158))&amp;". ")&amp;IF(LEN(IF(LEN(INDEX('Checks'!$Q$4:$Q$503,_calc!$E$158))=0,"",INDEX('Checks'!$Q$4:$Q$503,_calc!$E$158)))=0,"",IF(LEN(INDEX('Checks'!$Q$4:$Q$503,_calc!$E$158))=0,"",INDEX('Checks'!$Q$4:$Q$503,_calc!$E$158)))))</f>
        <v/>
      </c>
      <c r="G156" s="43">
        <f>IF(_calc!$E$158="","",IF(LEN(INDEX('Checks'!$P$4:$P$503,_calc!$E$158))=0,"",INDEX('Checks'!$P$4:$P$503,_calc!$E$158)))</f>
        <v/>
      </c>
      <c r="K156" s="43">
        <f>IF(_calc!$E$158="","",IF(LEN(INDEX('Checks'!$O$4:$O$503,_calc!$E$158))=0,"",INDEX('Checks'!$O$4:$O$503,_calc!$E$158)))</f>
        <v/>
      </c>
    </row>
    <row r="157">
      <c r="A157" s="43">
        <f>IF(_calc!$E$159="","","Right to work follow-up – "&amp;IF(LEN(INDEX('Checks'!$A$4:$A$503,_calc!$E$159))=0,"",INDEX('Checks'!$A$4:$A$503,_calc!$E$159)))</f>
        <v/>
      </c>
      <c r="B157" s="43">
        <f>IF(_calc!$E$159="","",IF(ISNUMBER(INDEX('Checks'!$H$4:$H$503,_calc!$E$159)),TEXT(INDEX('Checks'!$H$4:$H$503,_calc!$E$159),"yyyy-mm-dd"),""))</f>
        <v/>
      </c>
      <c r="C157" s="43">
        <f>IF(_calc!$E$159="","","Right to work")</f>
        <v/>
      </c>
      <c r="D157" s="43">
        <f>IF(_calc!$E$159="","",IF(ISNUMBER(INDEX('Checks'!$F$4:$F$503,_calc!$E$159)),TEXT(INDEX('Checks'!$F$4:$F$503,_calc!$E$159),"yyyy-mm-dd"),""))</f>
        <v/>
      </c>
      <c r="E157" s="43">
        <f>IF(_calc!$E$159="","","High")</f>
        <v/>
      </c>
      <c r="F157" s="43">
        <f>IF(_calc!$E$159="","",TRIM(IF(LEN(IF(LEN(INDEX('Checks'!$B$4:$B$503,_calc!$E$159))=0,"",INDEX('Checks'!$B$4:$B$503,_calc!$E$159)))=0,"","Role: "&amp;IF(LEN(INDEX('Checks'!$B$4:$B$503,_calc!$E$159))=0,"",INDEX('Checks'!$B$4:$B$503,_calc!$E$159))&amp;". ")&amp;IF(LEN(IF(LEN(INDEX('Checks'!$D$4:$D$503,_calc!$E$159))=0,"",INDEX('Checks'!$D$4:$D$503,_calc!$E$159)))=0,"","Check type: "&amp;IF(LEN(INDEX('Checks'!$D$4:$D$503,_calc!$E$159))=0,"",INDEX('Checks'!$D$4:$D$503,_calc!$E$159))&amp;". ")&amp;IF(LEN(IF(LEN(INDEX('Checks'!$E$4:$E$503,_calc!$E$159))=0,"",INDEX('Checks'!$E$4:$E$503,_calc!$E$159)))=0,"","Evidence: "&amp;IF(LEN(INDEX('Checks'!$E$4:$E$503,_calc!$E$159))=0,"",INDEX('Checks'!$E$4:$E$503,_calc!$E$159))&amp;". ")&amp;IF(LEN(IF(LEN(INDEX('Checks'!$G$4:$G$503,_calc!$E$159))=0,"",INDEX('Checks'!$G$4:$G$503,_calc!$E$159)))=0,"","Checked by: "&amp;IF(LEN(INDEX('Checks'!$G$4:$G$503,_calc!$E$159))=0,"",INDEX('Checks'!$G$4:$G$503,_calc!$E$159))&amp;". ")&amp;IF(LEN(IF(LEN(INDEX('Checks'!$Q$4:$Q$503,_calc!$E$159))=0,"",INDEX('Checks'!$Q$4:$Q$503,_calc!$E$159)))=0,"",IF(LEN(INDEX('Checks'!$Q$4:$Q$503,_calc!$E$159))=0,"",INDEX('Checks'!$Q$4:$Q$503,_calc!$E$159)))))</f>
        <v/>
      </c>
      <c r="G157" s="43">
        <f>IF(_calc!$E$159="","",IF(LEN(INDEX('Checks'!$P$4:$P$503,_calc!$E$159))=0,"",INDEX('Checks'!$P$4:$P$503,_calc!$E$159)))</f>
        <v/>
      </c>
      <c r="K157" s="43">
        <f>IF(_calc!$E$159="","",IF(LEN(INDEX('Checks'!$O$4:$O$503,_calc!$E$159))=0,"",INDEX('Checks'!$O$4:$O$503,_calc!$E$159)))</f>
        <v/>
      </c>
    </row>
    <row r="158">
      <c r="A158" s="43">
        <f>IF(_calc!$E$160="","","Right to work follow-up – "&amp;IF(LEN(INDEX('Checks'!$A$4:$A$503,_calc!$E$160))=0,"",INDEX('Checks'!$A$4:$A$503,_calc!$E$160)))</f>
        <v/>
      </c>
      <c r="B158" s="43">
        <f>IF(_calc!$E$160="","",IF(ISNUMBER(INDEX('Checks'!$H$4:$H$503,_calc!$E$160)),TEXT(INDEX('Checks'!$H$4:$H$503,_calc!$E$160),"yyyy-mm-dd"),""))</f>
        <v/>
      </c>
      <c r="C158" s="43">
        <f>IF(_calc!$E$160="","","Right to work")</f>
        <v/>
      </c>
      <c r="D158" s="43">
        <f>IF(_calc!$E$160="","",IF(ISNUMBER(INDEX('Checks'!$F$4:$F$503,_calc!$E$160)),TEXT(INDEX('Checks'!$F$4:$F$503,_calc!$E$160),"yyyy-mm-dd"),""))</f>
        <v/>
      </c>
      <c r="E158" s="43">
        <f>IF(_calc!$E$160="","","High")</f>
        <v/>
      </c>
      <c r="F158" s="43">
        <f>IF(_calc!$E$160="","",TRIM(IF(LEN(IF(LEN(INDEX('Checks'!$B$4:$B$503,_calc!$E$160))=0,"",INDEX('Checks'!$B$4:$B$503,_calc!$E$160)))=0,"","Role: "&amp;IF(LEN(INDEX('Checks'!$B$4:$B$503,_calc!$E$160))=0,"",INDEX('Checks'!$B$4:$B$503,_calc!$E$160))&amp;". ")&amp;IF(LEN(IF(LEN(INDEX('Checks'!$D$4:$D$503,_calc!$E$160))=0,"",INDEX('Checks'!$D$4:$D$503,_calc!$E$160)))=0,"","Check type: "&amp;IF(LEN(INDEX('Checks'!$D$4:$D$503,_calc!$E$160))=0,"",INDEX('Checks'!$D$4:$D$503,_calc!$E$160))&amp;". ")&amp;IF(LEN(IF(LEN(INDEX('Checks'!$E$4:$E$503,_calc!$E$160))=0,"",INDEX('Checks'!$E$4:$E$503,_calc!$E$160)))=0,"","Evidence: "&amp;IF(LEN(INDEX('Checks'!$E$4:$E$503,_calc!$E$160))=0,"",INDEX('Checks'!$E$4:$E$503,_calc!$E$160))&amp;". ")&amp;IF(LEN(IF(LEN(INDEX('Checks'!$G$4:$G$503,_calc!$E$160))=0,"",INDEX('Checks'!$G$4:$G$503,_calc!$E$160)))=0,"","Checked by: "&amp;IF(LEN(INDEX('Checks'!$G$4:$G$503,_calc!$E$160))=0,"",INDEX('Checks'!$G$4:$G$503,_calc!$E$160))&amp;". ")&amp;IF(LEN(IF(LEN(INDEX('Checks'!$Q$4:$Q$503,_calc!$E$160))=0,"",INDEX('Checks'!$Q$4:$Q$503,_calc!$E$160)))=0,"",IF(LEN(INDEX('Checks'!$Q$4:$Q$503,_calc!$E$160))=0,"",INDEX('Checks'!$Q$4:$Q$503,_calc!$E$160)))))</f>
        <v/>
      </c>
      <c r="G158" s="43">
        <f>IF(_calc!$E$160="","",IF(LEN(INDEX('Checks'!$P$4:$P$503,_calc!$E$160))=0,"",INDEX('Checks'!$P$4:$P$503,_calc!$E$160)))</f>
        <v/>
      </c>
      <c r="K158" s="43">
        <f>IF(_calc!$E$160="","",IF(LEN(INDEX('Checks'!$O$4:$O$503,_calc!$E$160))=0,"",INDEX('Checks'!$O$4:$O$503,_calc!$E$160)))</f>
        <v/>
      </c>
    </row>
    <row r="159">
      <c r="A159" s="43">
        <f>IF(_calc!$E$161="","","Right to work follow-up – "&amp;IF(LEN(INDEX('Checks'!$A$4:$A$503,_calc!$E$161))=0,"",INDEX('Checks'!$A$4:$A$503,_calc!$E$161)))</f>
        <v/>
      </c>
      <c r="B159" s="43">
        <f>IF(_calc!$E$161="","",IF(ISNUMBER(INDEX('Checks'!$H$4:$H$503,_calc!$E$161)),TEXT(INDEX('Checks'!$H$4:$H$503,_calc!$E$161),"yyyy-mm-dd"),""))</f>
        <v/>
      </c>
      <c r="C159" s="43">
        <f>IF(_calc!$E$161="","","Right to work")</f>
        <v/>
      </c>
      <c r="D159" s="43">
        <f>IF(_calc!$E$161="","",IF(ISNUMBER(INDEX('Checks'!$F$4:$F$503,_calc!$E$161)),TEXT(INDEX('Checks'!$F$4:$F$503,_calc!$E$161),"yyyy-mm-dd"),""))</f>
        <v/>
      </c>
      <c r="E159" s="43">
        <f>IF(_calc!$E$161="","","High")</f>
        <v/>
      </c>
      <c r="F159" s="43">
        <f>IF(_calc!$E$161="","",TRIM(IF(LEN(IF(LEN(INDEX('Checks'!$B$4:$B$503,_calc!$E$161))=0,"",INDEX('Checks'!$B$4:$B$503,_calc!$E$161)))=0,"","Role: "&amp;IF(LEN(INDEX('Checks'!$B$4:$B$503,_calc!$E$161))=0,"",INDEX('Checks'!$B$4:$B$503,_calc!$E$161))&amp;". ")&amp;IF(LEN(IF(LEN(INDEX('Checks'!$D$4:$D$503,_calc!$E$161))=0,"",INDEX('Checks'!$D$4:$D$503,_calc!$E$161)))=0,"","Check type: "&amp;IF(LEN(INDEX('Checks'!$D$4:$D$503,_calc!$E$161))=0,"",INDEX('Checks'!$D$4:$D$503,_calc!$E$161))&amp;". ")&amp;IF(LEN(IF(LEN(INDEX('Checks'!$E$4:$E$503,_calc!$E$161))=0,"",INDEX('Checks'!$E$4:$E$503,_calc!$E$161)))=0,"","Evidence: "&amp;IF(LEN(INDEX('Checks'!$E$4:$E$503,_calc!$E$161))=0,"",INDEX('Checks'!$E$4:$E$503,_calc!$E$161))&amp;". ")&amp;IF(LEN(IF(LEN(INDEX('Checks'!$G$4:$G$503,_calc!$E$161))=0,"",INDEX('Checks'!$G$4:$G$503,_calc!$E$161)))=0,"","Checked by: "&amp;IF(LEN(INDEX('Checks'!$G$4:$G$503,_calc!$E$161))=0,"",INDEX('Checks'!$G$4:$G$503,_calc!$E$161))&amp;". ")&amp;IF(LEN(IF(LEN(INDEX('Checks'!$Q$4:$Q$503,_calc!$E$161))=0,"",INDEX('Checks'!$Q$4:$Q$503,_calc!$E$161)))=0,"",IF(LEN(INDEX('Checks'!$Q$4:$Q$503,_calc!$E$161))=0,"",INDEX('Checks'!$Q$4:$Q$503,_calc!$E$161)))))</f>
        <v/>
      </c>
      <c r="G159" s="43">
        <f>IF(_calc!$E$161="","",IF(LEN(INDEX('Checks'!$P$4:$P$503,_calc!$E$161))=0,"",INDEX('Checks'!$P$4:$P$503,_calc!$E$161)))</f>
        <v/>
      </c>
      <c r="K159" s="43">
        <f>IF(_calc!$E$161="","",IF(LEN(INDEX('Checks'!$O$4:$O$503,_calc!$E$161))=0,"",INDEX('Checks'!$O$4:$O$503,_calc!$E$161)))</f>
        <v/>
      </c>
    </row>
    <row r="160">
      <c r="A160" s="43">
        <f>IF(_calc!$E$162="","","Right to work follow-up – "&amp;IF(LEN(INDEX('Checks'!$A$4:$A$503,_calc!$E$162))=0,"",INDEX('Checks'!$A$4:$A$503,_calc!$E$162)))</f>
        <v/>
      </c>
      <c r="B160" s="43">
        <f>IF(_calc!$E$162="","",IF(ISNUMBER(INDEX('Checks'!$H$4:$H$503,_calc!$E$162)),TEXT(INDEX('Checks'!$H$4:$H$503,_calc!$E$162),"yyyy-mm-dd"),""))</f>
        <v/>
      </c>
      <c r="C160" s="43">
        <f>IF(_calc!$E$162="","","Right to work")</f>
        <v/>
      </c>
      <c r="D160" s="43">
        <f>IF(_calc!$E$162="","",IF(ISNUMBER(INDEX('Checks'!$F$4:$F$503,_calc!$E$162)),TEXT(INDEX('Checks'!$F$4:$F$503,_calc!$E$162),"yyyy-mm-dd"),""))</f>
        <v/>
      </c>
      <c r="E160" s="43">
        <f>IF(_calc!$E$162="","","High")</f>
        <v/>
      </c>
      <c r="F160" s="43">
        <f>IF(_calc!$E$162="","",TRIM(IF(LEN(IF(LEN(INDEX('Checks'!$B$4:$B$503,_calc!$E$162))=0,"",INDEX('Checks'!$B$4:$B$503,_calc!$E$162)))=0,"","Role: "&amp;IF(LEN(INDEX('Checks'!$B$4:$B$503,_calc!$E$162))=0,"",INDEX('Checks'!$B$4:$B$503,_calc!$E$162))&amp;". ")&amp;IF(LEN(IF(LEN(INDEX('Checks'!$D$4:$D$503,_calc!$E$162))=0,"",INDEX('Checks'!$D$4:$D$503,_calc!$E$162)))=0,"","Check type: "&amp;IF(LEN(INDEX('Checks'!$D$4:$D$503,_calc!$E$162))=0,"",INDEX('Checks'!$D$4:$D$503,_calc!$E$162))&amp;". ")&amp;IF(LEN(IF(LEN(INDEX('Checks'!$E$4:$E$503,_calc!$E$162))=0,"",INDEX('Checks'!$E$4:$E$503,_calc!$E$162)))=0,"","Evidence: "&amp;IF(LEN(INDEX('Checks'!$E$4:$E$503,_calc!$E$162))=0,"",INDEX('Checks'!$E$4:$E$503,_calc!$E$162))&amp;". ")&amp;IF(LEN(IF(LEN(INDEX('Checks'!$G$4:$G$503,_calc!$E$162))=0,"",INDEX('Checks'!$G$4:$G$503,_calc!$E$162)))=0,"","Checked by: "&amp;IF(LEN(INDEX('Checks'!$G$4:$G$503,_calc!$E$162))=0,"",INDEX('Checks'!$G$4:$G$503,_calc!$E$162))&amp;". ")&amp;IF(LEN(IF(LEN(INDEX('Checks'!$Q$4:$Q$503,_calc!$E$162))=0,"",INDEX('Checks'!$Q$4:$Q$503,_calc!$E$162)))=0,"",IF(LEN(INDEX('Checks'!$Q$4:$Q$503,_calc!$E$162))=0,"",INDEX('Checks'!$Q$4:$Q$503,_calc!$E$162)))))</f>
        <v/>
      </c>
      <c r="G160" s="43">
        <f>IF(_calc!$E$162="","",IF(LEN(INDEX('Checks'!$P$4:$P$503,_calc!$E$162))=0,"",INDEX('Checks'!$P$4:$P$503,_calc!$E$162)))</f>
        <v/>
      </c>
      <c r="K160" s="43">
        <f>IF(_calc!$E$162="","",IF(LEN(INDEX('Checks'!$O$4:$O$503,_calc!$E$162))=0,"",INDEX('Checks'!$O$4:$O$503,_calc!$E$162)))</f>
        <v/>
      </c>
    </row>
    <row r="161">
      <c r="A161" s="43">
        <f>IF(_calc!$E$163="","","Right to work follow-up – "&amp;IF(LEN(INDEX('Checks'!$A$4:$A$503,_calc!$E$163))=0,"",INDEX('Checks'!$A$4:$A$503,_calc!$E$163)))</f>
        <v/>
      </c>
      <c r="B161" s="43">
        <f>IF(_calc!$E$163="","",IF(ISNUMBER(INDEX('Checks'!$H$4:$H$503,_calc!$E$163)),TEXT(INDEX('Checks'!$H$4:$H$503,_calc!$E$163),"yyyy-mm-dd"),""))</f>
        <v/>
      </c>
      <c r="C161" s="43">
        <f>IF(_calc!$E$163="","","Right to work")</f>
        <v/>
      </c>
      <c r="D161" s="43">
        <f>IF(_calc!$E$163="","",IF(ISNUMBER(INDEX('Checks'!$F$4:$F$503,_calc!$E$163)),TEXT(INDEX('Checks'!$F$4:$F$503,_calc!$E$163),"yyyy-mm-dd"),""))</f>
        <v/>
      </c>
      <c r="E161" s="43">
        <f>IF(_calc!$E$163="","","High")</f>
        <v/>
      </c>
      <c r="F161" s="43">
        <f>IF(_calc!$E$163="","",TRIM(IF(LEN(IF(LEN(INDEX('Checks'!$B$4:$B$503,_calc!$E$163))=0,"",INDEX('Checks'!$B$4:$B$503,_calc!$E$163)))=0,"","Role: "&amp;IF(LEN(INDEX('Checks'!$B$4:$B$503,_calc!$E$163))=0,"",INDEX('Checks'!$B$4:$B$503,_calc!$E$163))&amp;". ")&amp;IF(LEN(IF(LEN(INDEX('Checks'!$D$4:$D$503,_calc!$E$163))=0,"",INDEX('Checks'!$D$4:$D$503,_calc!$E$163)))=0,"","Check type: "&amp;IF(LEN(INDEX('Checks'!$D$4:$D$503,_calc!$E$163))=0,"",INDEX('Checks'!$D$4:$D$503,_calc!$E$163))&amp;". ")&amp;IF(LEN(IF(LEN(INDEX('Checks'!$E$4:$E$503,_calc!$E$163))=0,"",INDEX('Checks'!$E$4:$E$503,_calc!$E$163)))=0,"","Evidence: "&amp;IF(LEN(INDEX('Checks'!$E$4:$E$503,_calc!$E$163))=0,"",INDEX('Checks'!$E$4:$E$503,_calc!$E$163))&amp;". ")&amp;IF(LEN(IF(LEN(INDEX('Checks'!$G$4:$G$503,_calc!$E$163))=0,"",INDEX('Checks'!$G$4:$G$503,_calc!$E$163)))=0,"","Checked by: "&amp;IF(LEN(INDEX('Checks'!$G$4:$G$503,_calc!$E$163))=0,"",INDEX('Checks'!$G$4:$G$503,_calc!$E$163))&amp;". ")&amp;IF(LEN(IF(LEN(INDEX('Checks'!$Q$4:$Q$503,_calc!$E$163))=0,"",INDEX('Checks'!$Q$4:$Q$503,_calc!$E$163)))=0,"",IF(LEN(INDEX('Checks'!$Q$4:$Q$503,_calc!$E$163))=0,"",INDEX('Checks'!$Q$4:$Q$503,_calc!$E$163)))))</f>
        <v/>
      </c>
      <c r="G161" s="43">
        <f>IF(_calc!$E$163="","",IF(LEN(INDEX('Checks'!$P$4:$P$503,_calc!$E$163))=0,"",INDEX('Checks'!$P$4:$P$503,_calc!$E$163)))</f>
        <v/>
      </c>
      <c r="K161" s="43">
        <f>IF(_calc!$E$163="","",IF(LEN(INDEX('Checks'!$O$4:$O$503,_calc!$E$163))=0,"",INDEX('Checks'!$O$4:$O$503,_calc!$E$163)))</f>
        <v/>
      </c>
    </row>
    <row r="162">
      <c r="A162" s="43">
        <f>IF(_calc!$E$164="","","Right to work follow-up – "&amp;IF(LEN(INDEX('Checks'!$A$4:$A$503,_calc!$E$164))=0,"",INDEX('Checks'!$A$4:$A$503,_calc!$E$164)))</f>
        <v/>
      </c>
      <c r="B162" s="43">
        <f>IF(_calc!$E$164="","",IF(ISNUMBER(INDEX('Checks'!$H$4:$H$503,_calc!$E$164)),TEXT(INDEX('Checks'!$H$4:$H$503,_calc!$E$164),"yyyy-mm-dd"),""))</f>
        <v/>
      </c>
      <c r="C162" s="43">
        <f>IF(_calc!$E$164="","","Right to work")</f>
        <v/>
      </c>
      <c r="D162" s="43">
        <f>IF(_calc!$E$164="","",IF(ISNUMBER(INDEX('Checks'!$F$4:$F$503,_calc!$E$164)),TEXT(INDEX('Checks'!$F$4:$F$503,_calc!$E$164),"yyyy-mm-dd"),""))</f>
        <v/>
      </c>
      <c r="E162" s="43">
        <f>IF(_calc!$E$164="","","High")</f>
        <v/>
      </c>
      <c r="F162" s="43">
        <f>IF(_calc!$E$164="","",TRIM(IF(LEN(IF(LEN(INDEX('Checks'!$B$4:$B$503,_calc!$E$164))=0,"",INDEX('Checks'!$B$4:$B$503,_calc!$E$164)))=0,"","Role: "&amp;IF(LEN(INDEX('Checks'!$B$4:$B$503,_calc!$E$164))=0,"",INDEX('Checks'!$B$4:$B$503,_calc!$E$164))&amp;". ")&amp;IF(LEN(IF(LEN(INDEX('Checks'!$D$4:$D$503,_calc!$E$164))=0,"",INDEX('Checks'!$D$4:$D$503,_calc!$E$164)))=0,"","Check type: "&amp;IF(LEN(INDEX('Checks'!$D$4:$D$503,_calc!$E$164))=0,"",INDEX('Checks'!$D$4:$D$503,_calc!$E$164))&amp;". ")&amp;IF(LEN(IF(LEN(INDEX('Checks'!$E$4:$E$503,_calc!$E$164))=0,"",INDEX('Checks'!$E$4:$E$503,_calc!$E$164)))=0,"","Evidence: "&amp;IF(LEN(INDEX('Checks'!$E$4:$E$503,_calc!$E$164))=0,"",INDEX('Checks'!$E$4:$E$503,_calc!$E$164))&amp;". ")&amp;IF(LEN(IF(LEN(INDEX('Checks'!$G$4:$G$503,_calc!$E$164))=0,"",INDEX('Checks'!$G$4:$G$503,_calc!$E$164)))=0,"","Checked by: "&amp;IF(LEN(INDEX('Checks'!$G$4:$G$503,_calc!$E$164))=0,"",INDEX('Checks'!$G$4:$G$503,_calc!$E$164))&amp;". ")&amp;IF(LEN(IF(LEN(INDEX('Checks'!$Q$4:$Q$503,_calc!$E$164))=0,"",INDEX('Checks'!$Q$4:$Q$503,_calc!$E$164)))=0,"",IF(LEN(INDEX('Checks'!$Q$4:$Q$503,_calc!$E$164))=0,"",INDEX('Checks'!$Q$4:$Q$503,_calc!$E$164)))))</f>
        <v/>
      </c>
      <c r="G162" s="43">
        <f>IF(_calc!$E$164="","",IF(LEN(INDEX('Checks'!$P$4:$P$503,_calc!$E$164))=0,"",INDEX('Checks'!$P$4:$P$503,_calc!$E$164)))</f>
        <v/>
      </c>
      <c r="K162" s="43">
        <f>IF(_calc!$E$164="","",IF(LEN(INDEX('Checks'!$O$4:$O$503,_calc!$E$164))=0,"",INDEX('Checks'!$O$4:$O$503,_calc!$E$164)))</f>
        <v/>
      </c>
    </row>
    <row r="163">
      <c r="A163" s="43">
        <f>IF(_calc!$E$165="","","Right to work follow-up – "&amp;IF(LEN(INDEX('Checks'!$A$4:$A$503,_calc!$E$165))=0,"",INDEX('Checks'!$A$4:$A$503,_calc!$E$165)))</f>
        <v/>
      </c>
      <c r="B163" s="43">
        <f>IF(_calc!$E$165="","",IF(ISNUMBER(INDEX('Checks'!$H$4:$H$503,_calc!$E$165)),TEXT(INDEX('Checks'!$H$4:$H$503,_calc!$E$165),"yyyy-mm-dd"),""))</f>
        <v/>
      </c>
      <c r="C163" s="43">
        <f>IF(_calc!$E$165="","","Right to work")</f>
        <v/>
      </c>
      <c r="D163" s="43">
        <f>IF(_calc!$E$165="","",IF(ISNUMBER(INDEX('Checks'!$F$4:$F$503,_calc!$E$165)),TEXT(INDEX('Checks'!$F$4:$F$503,_calc!$E$165),"yyyy-mm-dd"),""))</f>
        <v/>
      </c>
      <c r="E163" s="43">
        <f>IF(_calc!$E$165="","","High")</f>
        <v/>
      </c>
      <c r="F163" s="43">
        <f>IF(_calc!$E$165="","",TRIM(IF(LEN(IF(LEN(INDEX('Checks'!$B$4:$B$503,_calc!$E$165))=0,"",INDEX('Checks'!$B$4:$B$503,_calc!$E$165)))=0,"","Role: "&amp;IF(LEN(INDEX('Checks'!$B$4:$B$503,_calc!$E$165))=0,"",INDEX('Checks'!$B$4:$B$503,_calc!$E$165))&amp;". ")&amp;IF(LEN(IF(LEN(INDEX('Checks'!$D$4:$D$503,_calc!$E$165))=0,"",INDEX('Checks'!$D$4:$D$503,_calc!$E$165)))=0,"","Check type: "&amp;IF(LEN(INDEX('Checks'!$D$4:$D$503,_calc!$E$165))=0,"",INDEX('Checks'!$D$4:$D$503,_calc!$E$165))&amp;". ")&amp;IF(LEN(IF(LEN(INDEX('Checks'!$E$4:$E$503,_calc!$E$165))=0,"",INDEX('Checks'!$E$4:$E$503,_calc!$E$165)))=0,"","Evidence: "&amp;IF(LEN(INDEX('Checks'!$E$4:$E$503,_calc!$E$165))=0,"",INDEX('Checks'!$E$4:$E$503,_calc!$E$165))&amp;". ")&amp;IF(LEN(IF(LEN(INDEX('Checks'!$G$4:$G$503,_calc!$E$165))=0,"",INDEX('Checks'!$G$4:$G$503,_calc!$E$165)))=0,"","Checked by: "&amp;IF(LEN(INDEX('Checks'!$G$4:$G$503,_calc!$E$165))=0,"",INDEX('Checks'!$G$4:$G$503,_calc!$E$165))&amp;". ")&amp;IF(LEN(IF(LEN(INDEX('Checks'!$Q$4:$Q$503,_calc!$E$165))=0,"",INDEX('Checks'!$Q$4:$Q$503,_calc!$E$165)))=0,"",IF(LEN(INDEX('Checks'!$Q$4:$Q$503,_calc!$E$165))=0,"",INDEX('Checks'!$Q$4:$Q$503,_calc!$E$165)))))</f>
        <v/>
      </c>
      <c r="G163" s="43">
        <f>IF(_calc!$E$165="","",IF(LEN(INDEX('Checks'!$P$4:$P$503,_calc!$E$165))=0,"",INDEX('Checks'!$P$4:$P$503,_calc!$E$165)))</f>
        <v/>
      </c>
      <c r="K163" s="43">
        <f>IF(_calc!$E$165="","",IF(LEN(INDEX('Checks'!$O$4:$O$503,_calc!$E$165))=0,"",INDEX('Checks'!$O$4:$O$503,_calc!$E$165)))</f>
        <v/>
      </c>
    </row>
    <row r="164">
      <c r="A164" s="43">
        <f>IF(_calc!$E$166="","","Right to work follow-up – "&amp;IF(LEN(INDEX('Checks'!$A$4:$A$503,_calc!$E$166))=0,"",INDEX('Checks'!$A$4:$A$503,_calc!$E$166)))</f>
        <v/>
      </c>
      <c r="B164" s="43">
        <f>IF(_calc!$E$166="","",IF(ISNUMBER(INDEX('Checks'!$H$4:$H$503,_calc!$E$166)),TEXT(INDEX('Checks'!$H$4:$H$503,_calc!$E$166),"yyyy-mm-dd"),""))</f>
        <v/>
      </c>
      <c r="C164" s="43">
        <f>IF(_calc!$E$166="","","Right to work")</f>
        <v/>
      </c>
      <c r="D164" s="43">
        <f>IF(_calc!$E$166="","",IF(ISNUMBER(INDEX('Checks'!$F$4:$F$503,_calc!$E$166)),TEXT(INDEX('Checks'!$F$4:$F$503,_calc!$E$166),"yyyy-mm-dd"),""))</f>
        <v/>
      </c>
      <c r="E164" s="43">
        <f>IF(_calc!$E$166="","","High")</f>
        <v/>
      </c>
      <c r="F164" s="43">
        <f>IF(_calc!$E$166="","",TRIM(IF(LEN(IF(LEN(INDEX('Checks'!$B$4:$B$503,_calc!$E$166))=0,"",INDEX('Checks'!$B$4:$B$503,_calc!$E$166)))=0,"","Role: "&amp;IF(LEN(INDEX('Checks'!$B$4:$B$503,_calc!$E$166))=0,"",INDEX('Checks'!$B$4:$B$503,_calc!$E$166))&amp;". ")&amp;IF(LEN(IF(LEN(INDEX('Checks'!$D$4:$D$503,_calc!$E$166))=0,"",INDEX('Checks'!$D$4:$D$503,_calc!$E$166)))=0,"","Check type: "&amp;IF(LEN(INDEX('Checks'!$D$4:$D$503,_calc!$E$166))=0,"",INDEX('Checks'!$D$4:$D$503,_calc!$E$166))&amp;". ")&amp;IF(LEN(IF(LEN(INDEX('Checks'!$E$4:$E$503,_calc!$E$166))=0,"",INDEX('Checks'!$E$4:$E$503,_calc!$E$166)))=0,"","Evidence: "&amp;IF(LEN(INDEX('Checks'!$E$4:$E$503,_calc!$E$166))=0,"",INDEX('Checks'!$E$4:$E$503,_calc!$E$166))&amp;". ")&amp;IF(LEN(IF(LEN(INDEX('Checks'!$G$4:$G$503,_calc!$E$166))=0,"",INDEX('Checks'!$G$4:$G$503,_calc!$E$166)))=0,"","Checked by: "&amp;IF(LEN(INDEX('Checks'!$G$4:$G$503,_calc!$E$166))=0,"",INDEX('Checks'!$G$4:$G$503,_calc!$E$166))&amp;". ")&amp;IF(LEN(IF(LEN(INDEX('Checks'!$Q$4:$Q$503,_calc!$E$166))=0,"",INDEX('Checks'!$Q$4:$Q$503,_calc!$E$166)))=0,"",IF(LEN(INDEX('Checks'!$Q$4:$Q$503,_calc!$E$166))=0,"",INDEX('Checks'!$Q$4:$Q$503,_calc!$E$166)))))</f>
        <v/>
      </c>
      <c r="G164" s="43">
        <f>IF(_calc!$E$166="","",IF(LEN(INDEX('Checks'!$P$4:$P$503,_calc!$E$166))=0,"",INDEX('Checks'!$P$4:$P$503,_calc!$E$166)))</f>
        <v/>
      </c>
      <c r="K164" s="43">
        <f>IF(_calc!$E$166="","",IF(LEN(INDEX('Checks'!$O$4:$O$503,_calc!$E$166))=0,"",INDEX('Checks'!$O$4:$O$503,_calc!$E$166)))</f>
        <v/>
      </c>
    </row>
    <row r="165">
      <c r="A165" s="43">
        <f>IF(_calc!$E$167="","","Right to work follow-up – "&amp;IF(LEN(INDEX('Checks'!$A$4:$A$503,_calc!$E$167))=0,"",INDEX('Checks'!$A$4:$A$503,_calc!$E$167)))</f>
        <v/>
      </c>
      <c r="B165" s="43">
        <f>IF(_calc!$E$167="","",IF(ISNUMBER(INDEX('Checks'!$H$4:$H$503,_calc!$E$167)),TEXT(INDEX('Checks'!$H$4:$H$503,_calc!$E$167),"yyyy-mm-dd"),""))</f>
        <v/>
      </c>
      <c r="C165" s="43">
        <f>IF(_calc!$E$167="","","Right to work")</f>
        <v/>
      </c>
      <c r="D165" s="43">
        <f>IF(_calc!$E$167="","",IF(ISNUMBER(INDEX('Checks'!$F$4:$F$503,_calc!$E$167)),TEXT(INDEX('Checks'!$F$4:$F$503,_calc!$E$167),"yyyy-mm-dd"),""))</f>
        <v/>
      </c>
      <c r="E165" s="43">
        <f>IF(_calc!$E$167="","","High")</f>
        <v/>
      </c>
      <c r="F165" s="43">
        <f>IF(_calc!$E$167="","",TRIM(IF(LEN(IF(LEN(INDEX('Checks'!$B$4:$B$503,_calc!$E$167))=0,"",INDEX('Checks'!$B$4:$B$503,_calc!$E$167)))=0,"","Role: "&amp;IF(LEN(INDEX('Checks'!$B$4:$B$503,_calc!$E$167))=0,"",INDEX('Checks'!$B$4:$B$503,_calc!$E$167))&amp;". ")&amp;IF(LEN(IF(LEN(INDEX('Checks'!$D$4:$D$503,_calc!$E$167))=0,"",INDEX('Checks'!$D$4:$D$503,_calc!$E$167)))=0,"","Check type: "&amp;IF(LEN(INDEX('Checks'!$D$4:$D$503,_calc!$E$167))=0,"",INDEX('Checks'!$D$4:$D$503,_calc!$E$167))&amp;". ")&amp;IF(LEN(IF(LEN(INDEX('Checks'!$E$4:$E$503,_calc!$E$167))=0,"",INDEX('Checks'!$E$4:$E$503,_calc!$E$167)))=0,"","Evidence: "&amp;IF(LEN(INDEX('Checks'!$E$4:$E$503,_calc!$E$167))=0,"",INDEX('Checks'!$E$4:$E$503,_calc!$E$167))&amp;". ")&amp;IF(LEN(IF(LEN(INDEX('Checks'!$G$4:$G$503,_calc!$E$167))=0,"",INDEX('Checks'!$G$4:$G$503,_calc!$E$167)))=0,"","Checked by: "&amp;IF(LEN(INDEX('Checks'!$G$4:$G$503,_calc!$E$167))=0,"",INDEX('Checks'!$G$4:$G$503,_calc!$E$167))&amp;". ")&amp;IF(LEN(IF(LEN(INDEX('Checks'!$Q$4:$Q$503,_calc!$E$167))=0,"",INDEX('Checks'!$Q$4:$Q$503,_calc!$E$167)))=0,"",IF(LEN(INDEX('Checks'!$Q$4:$Q$503,_calc!$E$167))=0,"",INDEX('Checks'!$Q$4:$Q$503,_calc!$E$167)))))</f>
        <v/>
      </c>
      <c r="G165" s="43">
        <f>IF(_calc!$E$167="","",IF(LEN(INDEX('Checks'!$P$4:$P$503,_calc!$E$167))=0,"",INDEX('Checks'!$P$4:$P$503,_calc!$E$167)))</f>
        <v/>
      </c>
      <c r="K165" s="43">
        <f>IF(_calc!$E$167="","",IF(LEN(INDEX('Checks'!$O$4:$O$503,_calc!$E$167))=0,"",INDEX('Checks'!$O$4:$O$503,_calc!$E$167)))</f>
        <v/>
      </c>
    </row>
    <row r="166">
      <c r="A166" s="43">
        <f>IF(_calc!$E$168="","","Right to work follow-up – "&amp;IF(LEN(INDEX('Checks'!$A$4:$A$503,_calc!$E$168))=0,"",INDEX('Checks'!$A$4:$A$503,_calc!$E$168)))</f>
        <v/>
      </c>
      <c r="B166" s="43">
        <f>IF(_calc!$E$168="","",IF(ISNUMBER(INDEX('Checks'!$H$4:$H$503,_calc!$E$168)),TEXT(INDEX('Checks'!$H$4:$H$503,_calc!$E$168),"yyyy-mm-dd"),""))</f>
        <v/>
      </c>
      <c r="C166" s="43">
        <f>IF(_calc!$E$168="","","Right to work")</f>
        <v/>
      </c>
      <c r="D166" s="43">
        <f>IF(_calc!$E$168="","",IF(ISNUMBER(INDEX('Checks'!$F$4:$F$503,_calc!$E$168)),TEXT(INDEX('Checks'!$F$4:$F$503,_calc!$E$168),"yyyy-mm-dd"),""))</f>
        <v/>
      </c>
      <c r="E166" s="43">
        <f>IF(_calc!$E$168="","","High")</f>
        <v/>
      </c>
      <c r="F166" s="43">
        <f>IF(_calc!$E$168="","",TRIM(IF(LEN(IF(LEN(INDEX('Checks'!$B$4:$B$503,_calc!$E$168))=0,"",INDEX('Checks'!$B$4:$B$503,_calc!$E$168)))=0,"","Role: "&amp;IF(LEN(INDEX('Checks'!$B$4:$B$503,_calc!$E$168))=0,"",INDEX('Checks'!$B$4:$B$503,_calc!$E$168))&amp;". ")&amp;IF(LEN(IF(LEN(INDEX('Checks'!$D$4:$D$503,_calc!$E$168))=0,"",INDEX('Checks'!$D$4:$D$503,_calc!$E$168)))=0,"","Check type: "&amp;IF(LEN(INDEX('Checks'!$D$4:$D$503,_calc!$E$168))=0,"",INDEX('Checks'!$D$4:$D$503,_calc!$E$168))&amp;". ")&amp;IF(LEN(IF(LEN(INDEX('Checks'!$E$4:$E$503,_calc!$E$168))=0,"",INDEX('Checks'!$E$4:$E$503,_calc!$E$168)))=0,"","Evidence: "&amp;IF(LEN(INDEX('Checks'!$E$4:$E$503,_calc!$E$168))=0,"",INDEX('Checks'!$E$4:$E$503,_calc!$E$168))&amp;". ")&amp;IF(LEN(IF(LEN(INDEX('Checks'!$G$4:$G$503,_calc!$E$168))=0,"",INDEX('Checks'!$G$4:$G$503,_calc!$E$168)))=0,"","Checked by: "&amp;IF(LEN(INDEX('Checks'!$G$4:$G$503,_calc!$E$168))=0,"",INDEX('Checks'!$G$4:$G$503,_calc!$E$168))&amp;". ")&amp;IF(LEN(IF(LEN(INDEX('Checks'!$Q$4:$Q$503,_calc!$E$168))=0,"",INDEX('Checks'!$Q$4:$Q$503,_calc!$E$168)))=0,"",IF(LEN(INDEX('Checks'!$Q$4:$Q$503,_calc!$E$168))=0,"",INDEX('Checks'!$Q$4:$Q$503,_calc!$E$168)))))</f>
        <v/>
      </c>
      <c r="G166" s="43">
        <f>IF(_calc!$E$168="","",IF(LEN(INDEX('Checks'!$P$4:$P$503,_calc!$E$168))=0,"",INDEX('Checks'!$P$4:$P$503,_calc!$E$168)))</f>
        <v/>
      </c>
      <c r="K166" s="43">
        <f>IF(_calc!$E$168="","",IF(LEN(INDEX('Checks'!$O$4:$O$503,_calc!$E$168))=0,"",INDEX('Checks'!$O$4:$O$503,_calc!$E$168)))</f>
        <v/>
      </c>
    </row>
    <row r="167">
      <c r="A167" s="43">
        <f>IF(_calc!$E$169="","","Right to work follow-up – "&amp;IF(LEN(INDEX('Checks'!$A$4:$A$503,_calc!$E$169))=0,"",INDEX('Checks'!$A$4:$A$503,_calc!$E$169)))</f>
        <v/>
      </c>
      <c r="B167" s="43">
        <f>IF(_calc!$E$169="","",IF(ISNUMBER(INDEX('Checks'!$H$4:$H$503,_calc!$E$169)),TEXT(INDEX('Checks'!$H$4:$H$503,_calc!$E$169),"yyyy-mm-dd"),""))</f>
        <v/>
      </c>
      <c r="C167" s="43">
        <f>IF(_calc!$E$169="","","Right to work")</f>
        <v/>
      </c>
      <c r="D167" s="43">
        <f>IF(_calc!$E$169="","",IF(ISNUMBER(INDEX('Checks'!$F$4:$F$503,_calc!$E$169)),TEXT(INDEX('Checks'!$F$4:$F$503,_calc!$E$169),"yyyy-mm-dd"),""))</f>
        <v/>
      </c>
      <c r="E167" s="43">
        <f>IF(_calc!$E$169="","","High")</f>
        <v/>
      </c>
      <c r="F167" s="43">
        <f>IF(_calc!$E$169="","",TRIM(IF(LEN(IF(LEN(INDEX('Checks'!$B$4:$B$503,_calc!$E$169))=0,"",INDEX('Checks'!$B$4:$B$503,_calc!$E$169)))=0,"","Role: "&amp;IF(LEN(INDEX('Checks'!$B$4:$B$503,_calc!$E$169))=0,"",INDEX('Checks'!$B$4:$B$503,_calc!$E$169))&amp;". ")&amp;IF(LEN(IF(LEN(INDEX('Checks'!$D$4:$D$503,_calc!$E$169))=0,"",INDEX('Checks'!$D$4:$D$503,_calc!$E$169)))=0,"","Check type: "&amp;IF(LEN(INDEX('Checks'!$D$4:$D$503,_calc!$E$169))=0,"",INDEX('Checks'!$D$4:$D$503,_calc!$E$169))&amp;". ")&amp;IF(LEN(IF(LEN(INDEX('Checks'!$E$4:$E$503,_calc!$E$169))=0,"",INDEX('Checks'!$E$4:$E$503,_calc!$E$169)))=0,"","Evidence: "&amp;IF(LEN(INDEX('Checks'!$E$4:$E$503,_calc!$E$169))=0,"",INDEX('Checks'!$E$4:$E$503,_calc!$E$169))&amp;". ")&amp;IF(LEN(IF(LEN(INDEX('Checks'!$G$4:$G$503,_calc!$E$169))=0,"",INDEX('Checks'!$G$4:$G$503,_calc!$E$169)))=0,"","Checked by: "&amp;IF(LEN(INDEX('Checks'!$G$4:$G$503,_calc!$E$169))=0,"",INDEX('Checks'!$G$4:$G$503,_calc!$E$169))&amp;". ")&amp;IF(LEN(IF(LEN(INDEX('Checks'!$Q$4:$Q$503,_calc!$E$169))=0,"",INDEX('Checks'!$Q$4:$Q$503,_calc!$E$169)))=0,"",IF(LEN(INDEX('Checks'!$Q$4:$Q$503,_calc!$E$169))=0,"",INDEX('Checks'!$Q$4:$Q$503,_calc!$E$169)))))</f>
        <v/>
      </c>
      <c r="G167" s="43">
        <f>IF(_calc!$E$169="","",IF(LEN(INDEX('Checks'!$P$4:$P$503,_calc!$E$169))=0,"",INDEX('Checks'!$P$4:$P$503,_calc!$E$169)))</f>
        <v/>
      </c>
      <c r="K167" s="43">
        <f>IF(_calc!$E$169="","",IF(LEN(INDEX('Checks'!$O$4:$O$503,_calc!$E$169))=0,"",INDEX('Checks'!$O$4:$O$503,_calc!$E$169)))</f>
        <v/>
      </c>
    </row>
    <row r="168">
      <c r="A168" s="43">
        <f>IF(_calc!$E$170="","","Right to work follow-up – "&amp;IF(LEN(INDEX('Checks'!$A$4:$A$503,_calc!$E$170))=0,"",INDEX('Checks'!$A$4:$A$503,_calc!$E$170)))</f>
        <v/>
      </c>
      <c r="B168" s="43">
        <f>IF(_calc!$E$170="","",IF(ISNUMBER(INDEX('Checks'!$H$4:$H$503,_calc!$E$170)),TEXT(INDEX('Checks'!$H$4:$H$503,_calc!$E$170),"yyyy-mm-dd"),""))</f>
        <v/>
      </c>
      <c r="C168" s="43">
        <f>IF(_calc!$E$170="","","Right to work")</f>
        <v/>
      </c>
      <c r="D168" s="43">
        <f>IF(_calc!$E$170="","",IF(ISNUMBER(INDEX('Checks'!$F$4:$F$503,_calc!$E$170)),TEXT(INDEX('Checks'!$F$4:$F$503,_calc!$E$170),"yyyy-mm-dd"),""))</f>
        <v/>
      </c>
      <c r="E168" s="43">
        <f>IF(_calc!$E$170="","","High")</f>
        <v/>
      </c>
      <c r="F168" s="43">
        <f>IF(_calc!$E$170="","",TRIM(IF(LEN(IF(LEN(INDEX('Checks'!$B$4:$B$503,_calc!$E$170))=0,"",INDEX('Checks'!$B$4:$B$503,_calc!$E$170)))=0,"","Role: "&amp;IF(LEN(INDEX('Checks'!$B$4:$B$503,_calc!$E$170))=0,"",INDEX('Checks'!$B$4:$B$503,_calc!$E$170))&amp;". ")&amp;IF(LEN(IF(LEN(INDEX('Checks'!$D$4:$D$503,_calc!$E$170))=0,"",INDEX('Checks'!$D$4:$D$503,_calc!$E$170)))=0,"","Check type: "&amp;IF(LEN(INDEX('Checks'!$D$4:$D$503,_calc!$E$170))=0,"",INDEX('Checks'!$D$4:$D$503,_calc!$E$170))&amp;". ")&amp;IF(LEN(IF(LEN(INDEX('Checks'!$E$4:$E$503,_calc!$E$170))=0,"",INDEX('Checks'!$E$4:$E$503,_calc!$E$170)))=0,"","Evidence: "&amp;IF(LEN(INDEX('Checks'!$E$4:$E$503,_calc!$E$170))=0,"",INDEX('Checks'!$E$4:$E$503,_calc!$E$170))&amp;". ")&amp;IF(LEN(IF(LEN(INDEX('Checks'!$G$4:$G$503,_calc!$E$170))=0,"",INDEX('Checks'!$G$4:$G$503,_calc!$E$170)))=0,"","Checked by: "&amp;IF(LEN(INDEX('Checks'!$G$4:$G$503,_calc!$E$170))=0,"",INDEX('Checks'!$G$4:$G$503,_calc!$E$170))&amp;". ")&amp;IF(LEN(IF(LEN(INDEX('Checks'!$Q$4:$Q$503,_calc!$E$170))=0,"",INDEX('Checks'!$Q$4:$Q$503,_calc!$E$170)))=0,"",IF(LEN(INDEX('Checks'!$Q$4:$Q$503,_calc!$E$170))=0,"",INDEX('Checks'!$Q$4:$Q$503,_calc!$E$170)))))</f>
        <v/>
      </c>
      <c r="G168" s="43">
        <f>IF(_calc!$E$170="","",IF(LEN(INDEX('Checks'!$P$4:$P$503,_calc!$E$170))=0,"",INDEX('Checks'!$P$4:$P$503,_calc!$E$170)))</f>
        <v/>
      </c>
      <c r="K168" s="43">
        <f>IF(_calc!$E$170="","",IF(LEN(INDEX('Checks'!$O$4:$O$503,_calc!$E$170))=0,"",INDEX('Checks'!$O$4:$O$503,_calc!$E$170)))</f>
        <v/>
      </c>
    </row>
    <row r="169">
      <c r="A169" s="43">
        <f>IF(_calc!$E$171="","","Right to work follow-up – "&amp;IF(LEN(INDEX('Checks'!$A$4:$A$503,_calc!$E$171))=0,"",INDEX('Checks'!$A$4:$A$503,_calc!$E$171)))</f>
        <v/>
      </c>
      <c r="B169" s="43">
        <f>IF(_calc!$E$171="","",IF(ISNUMBER(INDEX('Checks'!$H$4:$H$503,_calc!$E$171)),TEXT(INDEX('Checks'!$H$4:$H$503,_calc!$E$171),"yyyy-mm-dd"),""))</f>
        <v/>
      </c>
      <c r="C169" s="43">
        <f>IF(_calc!$E$171="","","Right to work")</f>
        <v/>
      </c>
      <c r="D169" s="43">
        <f>IF(_calc!$E$171="","",IF(ISNUMBER(INDEX('Checks'!$F$4:$F$503,_calc!$E$171)),TEXT(INDEX('Checks'!$F$4:$F$503,_calc!$E$171),"yyyy-mm-dd"),""))</f>
        <v/>
      </c>
      <c r="E169" s="43">
        <f>IF(_calc!$E$171="","","High")</f>
        <v/>
      </c>
      <c r="F169" s="43">
        <f>IF(_calc!$E$171="","",TRIM(IF(LEN(IF(LEN(INDEX('Checks'!$B$4:$B$503,_calc!$E$171))=0,"",INDEX('Checks'!$B$4:$B$503,_calc!$E$171)))=0,"","Role: "&amp;IF(LEN(INDEX('Checks'!$B$4:$B$503,_calc!$E$171))=0,"",INDEX('Checks'!$B$4:$B$503,_calc!$E$171))&amp;". ")&amp;IF(LEN(IF(LEN(INDEX('Checks'!$D$4:$D$503,_calc!$E$171))=0,"",INDEX('Checks'!$D$4:$D$503,_calc!$E$171)))=0,"","Check type: "&amp;IF(LEN(INDEX('Checks'!$D$4:$D$503,_calc!$E$171))=0,"",INDEX('Checks'!$D$4:$D$503,_calc!$E$171))&amp;". ")&amp;IF(LEN(IF(LEN(INDEX('Checks'!$E$4:$E$503,_calc!$E$171))=0,"",INDEX('Checks'!$E$4:$E$503,_calc!$E$171)))=0,"","Evidence: "&amp;IF(LEN(INDEX('Checks'!$E$4:$E$503,_calc!$E$171))=0,"",INDEX('Checks'!$E$4:$E$503,_calc!$E$171))&amp;". ")&amp;IF(LEN(IF(LEN(INDEX('Checks'!$G$4:$G$503,_calc!$E$171))=0,"",INDEX('Checks'!$G$4:$G$503,_calc!$E$171)))=0,"","Checked by: "&amp;IF(LEN(INDEX('Checks'!$G$4:$G$503,_calc!$E$171))=0,"",INDEX('Checks'!$G$4:$G$503,_calc!$E$171))&amp;". ")&amp;IF(LEN(IF(LEN(INDEX('Checks'!$Q$4:$Q$503,_calc!$E$171))=0,"",INDEX('Checks'!$Q$4:$Q$503,_calc!$E$171)))=0,"",IF(LEN(INDEX('Checks'!$Q$4:$Q$503,_calc!$E$171))=0,"",INDEX('Checks'!$Q$4:$Q$503,_calc!$E$171)))))</f>
        <v/>
      </c>
      <c r="G169" s="43">
        <f>IF(_calc!$E$171="","",IF(LEN(INDEX('Checks'!$P$4:$P$503,_calc!$E$171))=0,"",INDEX('Checks'!$P$4:$P$503,_calc!$E$171)))</f>
        <v/>
      </c>
      <c r="K169" s="43">
        <f>IF(_calc!$E$171="","",IF(LEN(INDEX('Checks'!$O$4:$O$503,_calc!$E$171))=0,"",INDEX('Checks'!$O$4:$O$503,_calc!$E$171)))</f>
        <v/>
      </c>
    </row>
    <row r="170">
      <c r="A170" s="43">
        <f>IF(_calc!$E$172="","","Right to work follow-up – "&amp;IF(LEN(INDEX('Checks'!$A$4:$A$503,_calc!$E$172))=0,"",INDEX('Checks'!$A$4:$A$503,_calc!$E$172)))</f>
        <v/>
      </c>
      <c r="B170" s="43">
        <f>IF(_calc!$E$172="","",IF(ISNUMBER(INDEX('Checks'!$H$4:$H$503,_calc!$E$172)),TEXT(INDEX('Checks'!$H$4:$H$503,_calc!$E$172),"yyyy-mm-dd"),""))</f>
        <v/>
      </c>
      <c r="C170" s="43">
        <f>IF(_calc!$E$172="","","Right to work")</f>
        <v/>
      </c>
      <c r="D170" s="43">
        <f>IF(_calc!$E$172="","",IF(ISNUMBER(INDEX('Checks'!$F$4:$F$503,_calc!$E$172)),TEXT(INDEX('Checks'!$F$4:$F$503,_calc!$E$172),"yyyy-mm-dd"),""))</f>
        <v/>
      </c>
      <c r="E170" s="43">
        <f>IF(_calc!$E$172="","","High")</f>
        <v/>
      </c>
      <c r="F170" s="43">
        <f>IF(_calc!$E$172="","",TRIM(IF(LEN(IF(LEN(INDEX('Checks'!$B$4:$B$503,_calc!$E$172))=0,"",INDEX('Checks'!$B$4:$B$503,_calc!$E$172)))=0,"","Role: "&amp;IF(LEN(INDEX('Checks'!$B$4:$B$503,_calc!$E$172))=0,"",INDEX('Checks'!$B$4:$B$503,_calc!$E$172))&amp;". ")&amp;IF(LEN(IF(LEN(INDEX('Checks'!$D$4:$D$503,_calc!$E$172))=0,"",INDEX('Checks'!$D$4:$D$503,_calc!$E$172)))=0,"","Check type: "&amp;IF(LEN(INDEX('Checks'!$D$4:$D$503,_calc!$E$172))=0,"",INDEX('Checks'!$D$4:$D$503,_calc!$E$172))&amp;". ")&amp;IF(LEN(IF(LEN(INDEX('Checks'!$E$4:$E$503,_calc!$E$172))=0,"",INDEX('Checks'!$E$4:$E$503,_calc!$E$172)))=0,"","Evidence: "&amp;IF(LEN(INDEX('Checks'!$E$4:$E$503,_calc!$E$172))=0,"",INDEX('Checks'!$E$4:$E$503,_calc!$E$172))&amp;". ")&amp;IF(LEN(IF(LEN(INDEX('Checks'!$G$4:$G$503,_calc!$E$172))=0,"",INDEX('Checks'!$G$4:$G$503,_calc!$E$172)))=0,"","Checked by: "&amp;IF(LEN(INDEX('Checks'!$G$4:$G$503,_calc!$E$172))=0,"",INDEX('Checks'!$G$4:$G$503,_calc!$E$172))&amp;". ")&amp;IF(LEN(IF(LEN(INDEX('Checks'!$Q$4:$Q$503,_calc!$E$172))=0,"",INDEX('Checks'!$Q$4:$Q$503,_calc!$E$172)))=0,"",IF(LEN(INDEX('Checks'!$Q$4:$Q$503,_calc!$E$172))=0,"",INDEX('Checks'!$Q$4:$Q$503,_calc!$E$172)))))</f>
        <v/>
      </c>
      <c r="G170" s="43">
        <f>IF(_calc!$E$172="","",IF(LEN(INDEX('Checks'!$P$4:$P$503,_calc!$E$172))=0,"",INDEX('Checks'!$P$4:$P$503,_calc!$E$172)))</f>
        <v/>
      </c>
      <c r="K170" s="43">
        <f>IF(_calc!$E$172="","",IF(LEN(INDEX('Checks'!$O$4:$O$503,_calc!$E$172))=0,"",INDEX('Checks'!$O$4:$O$503,_calc!$E$172)))</f>
        <v/>
      </c>
    </row>
    <row r="171">
      <c r="A171" s="43">
        <f>IF(_calc!$E$173="","","Right to work follow-up – "&amp;IF(LEN(INDEX('Checks'!$A$4:$A$503,_calc!$E$173))=0,"",INDEX('Checks'!$A$4:$A$503,_calc!$E$173)))</f>
        <v/>
      </c>
      <c r="B171" s="43">
        <f>IF(_calc!$E$173="","",IF(ISNUMBER(INDEX('Checks'!$H$4:$H$503,_calc!$E$173)),TEXT(INDEX('Checks'!$H$4:$H$503,_calc!$E$173),"yyyy-mm-dd"),""))</f>
        <v/>
      </c>
      <c r="C171" s="43">
        <f>IF(_calc!$E$173="","","Right to work")</f>
        <v/>
      </c>
      <c r="D171" s="43">
        <f>IF(_calc!$E$173="","",IF(ISNUMBER(INDEX('Checks'!$F$4:$F$503,_calc!$E$173)),TEXT(INDEX('Checks'!$F$4:$F$503,_calc!$E$173),"yyyy-mm-dd"),""))</f>
        <v/>
      </c>
      <c r="E171" s="43">
        <f>IF(_calc!$E$173="","","High")</f>
        <v/>
      </c>
      <c r="F171" s="43">
        <f>IF(_calc!$E$173="","",TRIM(IF(LEN(IF(LEN(INDEX('Checks'!$B$4:$B$503,_calc!$E$173))=0,"",INDEX('Checks'!$B$4:$B$503,_calc!$E$173)))=0,"","Role: "&amp;IF(LEN(INDEX('Checks'!$B$4:$B$503,_calc!$E$173))=0,"",INDEX('Checks'!$B$4:$B$503,_calc!$E$173))&amp;". ")&amp;IF(LEN(IF(LEN(INDEX('Checks'!$D$4:$D$503,_calc!$E$173))=0,"",INDEX('Checks'!$D$4:$D$503,_calc!$E$173)))=0,"","Check type: "&amp;IF(LEN(INDEX('Checks'!$D$4:$D$503,_calc!$E$173))=0,"",INDEX('Checks'!$D$4:$D$503,_calc!$E$173))&amp;". ")&amp;IF(LEN(IF(LEN(INDEX('Checks'!$E$4:$E$503,_calc!$E$173))=0,"",INDEX('Checks'!$E$4:$E$503,_calc!$E$173)))=0,"","Evidence: "&amp;IF(LEN(INDEX('Checks'!$E$4:$E$503,_calc!$E$173))=0,"",INDEX('Checks'!$E$4:$E$503,_calc!$E$173))&amp;". ")&amp;IF(LEN(IF(LEN(INDEX('Checks'!$G$4:$G$503,_calc!$E$173))=0,"",INDEX('Checks'!$G$4:$G$503,_calc!$E$173)))=0,"","Checked by: "&amp;IF(LEN(INDEX('Checks'!$G$4:$G$503,_calc!$E$173))=0,"",INDEX('Checks'!$G$4:$G$503,_calc!$E$173))&amp;". ")&amp;IF(LEN(IF(LEN(INDEX('Checks'!$Q$4:$Q$503,_calc!$E$173))=0,"",INDEX('Checks'!$Q$4:$Q$503,_calc!$E$173)))=0,"",IF(LEN(INDEX('Checks'!$Q$4:$Q$503,_calc!$E$173))=0,"",INDEX('Checks'!$Q$4:$Q$503,_calc!$E$173)))))</f>
        <v/>
      </c>
      <c r="G171" s="43">
        <f>IF(_calc!$E$173="","",IF(LEN(INDEX('Checks'!$P$4:$P$503,_calc!$E$173))=0,"",INDEX('Checks'!$P$4:$P$503,_calc!$E$173)))</f>
        <v/>
      </c>
      <c r="K171" s="43">
        <f>IF(_calc!$E$173="","",IF(LEN(INDEX('Checks'!$O$4:$O$503,_calc!$E$173))=0,"",INDEX('Checks'!$O$4:$O$503,_calc!$E$173)))</f>
        <v/>
      </c>
    </row>
    <row r="172">
      <c r="A172" s="43">
        <f>IF(_calc!$E$174="","","Right to work follow-up – "&amp;IF(LEN(INDEX('Checks'!$A$4:$A$503,_calc!$E$174))=0,"",INDEX('Checks'!$A$4:$A$503,_calc!$E$174)))</f>
        <v/>
      </c>
      <c r="B172" s="43">
        <f>IF(_calc!$E$174="","",IF(ISNUMBER(INDEX('Checks'!$H$4:$H$503,_calc!$E$174)),TEXT(INDEX('Checks'!$H$4:$H$503,_calc!$E$174),"yyyy-mm-dd"),""))</f>
        <v/>
      </c>
      <c r="C172" s="43">
        <f>IF(_calc!$E$174="","","Right to work")</f>
        <v/>
      </c>
      <c r="D172" s="43">
        <f>IF(_calc!$E$174="","",IF(ISNUMBER(INDEX('Checks'!$F$4:$F$503,_calc!$E$174)),TEXT(INDEX('Checks'!$F$4:$F$503,_calc!$E$174),"yyyy-mm-dd"),""))</f>
        <v/>
      </c>
      <c r="E172" s="43">
        <f>IF(_calc!$E$174="","","High")</f>
        <v/>
      </c>
      <c r="F172" s="43">
        <f>IF(_calc!$E$174="","",TRIM(IF(LEN(IF(LEN(INDEX('Checks'!$B$4:$B$503,_calc!$E$174))=0,"",INDEX('Checks'!$B$4:$B$503,_calc!$E$174)))=0,"","Role: "&amp;IF(LEN(INDEX('Checks'!$B$4:$B$503,_calc!$E$174))=0,"",INDEX('Checks'!$B$4:$B$503,_calc!$E$174))&amp;". ")&amp;IF(LEN(IF(LEN(INDEX('Checks'!$D$4:$D$503,_calc!$E$174))=0,"",INDEX('Checks'!$D$4:$D$503,_calc!$E$174)))=0,"","Check type: "&amp;IF(LEN(INDEX('Checks'!$D$4:$D$503,_calc!$E$174))=0,"",INDEX('Checks'!$D$4:$D$503,_calc!$E$174))&amp;". ")&amp;IF(LEN(IF(LEN(INDEX('Checks'!$E$4:$E$503,_calc!$E$174))=0,"",INDEX('Checks'!$E$4:$E$503,_calc!$E$174)))=0,"","Evidence: "&amp;IF(LEN(INDEX('Checks'!$E$4:$E$503,_calc!$E$174))=0,"",INDEX('Checks'!$E$4:$E$503,_calc!$E$174))&amp;". ")&amp;IF(LEN(IF(LEN(INDEX('Checks'!$G$4:$G$503,_calc!$E$174))=0,"",INDEX('Checks'!$G$4:$G$503,_calc!$E$174)))=0,"","Checked by: "&amp;IF(LEN(INDEX('Checks'!$G$4:$G$503,_calc!$E$174))=0,"",INDEX('Checks'!$G$4:$G$503,_calc!$E$174))&amp;". ")&amp;IF(LEN(IF(LEN(INDEX('Checks'!$Q$4:$Q$503,_calc!$E$174))=0,"",INDEX('Checks'!$Q$4:$Q$503,_calc!$E$174)))=0,"",IF(LEN(INDEX('Checks'!$Q$4:$Q$503,_calc!$E$174))=0,"",INDEX('Checks'!$Q$4:$Q$503,_calc!$E$174)))))</f>
        <v/>
      </c>
      <c r="G172" s="43">
        <f>IF(_calc!$E$174="","",IF(LEN(INDEX('Checks'!$P$4:$P$503,_calc!$E$174))=0,"",INDEX('Checks'!$P$4:$P$503,_calc!$E$174)))</f>
        <v/>
      </c>
      <c r="K172" s="43">
        <f>IF(_calc!$E$174="","",IF(LEN(INDEX('Checks'!$O$4:$O$503,_calc!$E$174))=0,"",INDEX('Checks'!$O$4:$O$503,_calc!$E$174)))</f>
        <v/>
      </c>
    </row>
    <row r="173">
      <c r="A173" s="43">
        <f>IF(_calc!$E$175="","","Right to work follow-up – "&amp;IF(LEN(INDEX('Checks'!$A$4:$A$503,_calc!$E$175))=0,"",INDEX('Checks'!$A$4:$A$503,_calc!$E$175)))</f>
        <v/>
      </c>
      <c r="B173" s="43">
        <f>IF(_calc!$E$175="","",IF(ISNUMBER(INDEX('Checks'!$H$4:$H$503,_calc!$E$175)),TEXT(INDEX('Checks'!$H$4:$H$503,_calc!$E$175),"yyyy-mm-dd"),""))</f>
        <v/>
      </c>
      <c r="C173" s="43">
        <f>IF(_calc!$E$175="","","Right to work")</f>
        <v/>
      </c>
      <c r="D173" s="43">
        <f>IF(_calc!$E$175="","",IF(ISNUMBER(INDEX('Checks'!$F$4:$F$503,_calc!$E$175)),TEXT(INDEX('Checks'!$F$4:$F$503,_calc!$E$175),"yyyy-mm-dd"),""))</f>
        <v/>
      </c>
      <c r="E173" s="43">
        <f>IF(_calc!$E$175="","","High")</f>
        <v/>
      </c>
      <c r="F173" s="43">
        <f>IF(_calc!$E$175="","",TRIM(IF(LEN(IF(LEN(INDEX('Checks'!$B$4:$B$503,_calc!$E$175))=0,"",INDEX('Checks'!$B$4:$B$503,_calc!$E$175)))=0,"","Role: "&amp;IF(LEN(INDEX('Checks'!$B$4:$B$503,_calc!$E$175))=0,"",INDEX('Checks'!$B$4:$B$503,_calc!$E$175))&amp;". ")&amp;IF(LEN(IF(LEN(INDEX('Checks'!$D$4:$D$503,_calc!$E$175))=0,"",INDEX('Checks'!$D$4:$D$503,_calc!$E$175)))=0,"","Check type: "&amp;IF(LEN(INDEX('Checks'!$D$4:$D$503,_calc!$E$175))=0,"",INDEX('Checks'!$D$4:$D$503,_calc!$E$175))&amp;". ")&amp;IF(LEN(IF(LEN(INDEX('Checks'!$E$4:$E$503,_calc!$E$175))=0,"",INDEX('Checks'!$E$4:$E$503,_calc!$E$175)))=0,"","Evidence: "&amp;IF(LEN(INDEX('Checks'!$E$4:$E$503,_calc!$E$175))=0,"",INDEX('Checks'!$E$4:$E$503,_calc!$E$175))&amp;". ")&amp;IF(LEN(IF(LEN(INDEX('Checks'!$G$4:$G$503,_calc!$E$175))=0,"",INDEX('Checks'!$G$4:$G$503,_calc!$E$175)))=0,"","Checked by: "&amp;IF(LEN(INDEX('Checks'!$G$4:$G$503,_calc!$E$175))=0,"",INDEX('Checks'!$G$4:$G$503,_calc!$E$175))&amp;". ")&amp;IF(LEN(IF(LEN(INDEX('Checks'!$Q$4:$Q$503,_calc!$E$175))=0,"",INDEX('Checks'!$Q$4:$Q$503,_calc!$E$175)))=0,"",IF(LEN(INDEX('Checks'!$Q$4:$Q$503,_calc!$E$175))=0,"",INDEX('Checks'!$Q$4:$Q$503,_calc!$E$175)))))</f>
        <v/>
      </c>
      <c r="G173" s="43">
        <f>IF(_calc!$E$175="","",IF(LEN(INDEX('Checks'!$P$4:$P$503,_calc!$E$175))=0,"",INDEX('Checks'!$P$4:$P$503,_calc!$E$175)))</f>
        <v/>
      </c>
      <c r="K173" s="43">
        <f>IF(_calc!$E$175="","",IF(LEN(INDEX('Checks'!$O$4:$O$503,_calc!$E$175))=0,"",INDEX('Checks'!$O$4:$O$503,_calc!$E$175)))</f>
        <v/>
      </c>
    </row>
    <row r="174">
      <c r="A174" s="43">
        <f>IF(_calc!$E$176="","","Right to work follow-up – "&amp;IF(LEN(INDEX('Checks'!$A$4:$A$503,_calc!$E$176))=0,"",INDEX('Checks'!$A$4:$A$503,_calc!$E$176)))</f>
        <v/>
      </c>
      <c r="B174" s="43">
        <f>IF(_calc!$E$176="","",IF(ISNUMBER(INDEX('Checks'!$H$4:$H$503,_calc!$E$176)),TEXT(INDEX('Checks'!$H$4:$H$503,_calc!$E$176),"yyyy-mm-dd"),""))</f>
        <v/>
      </c>
      <c r="C174" s="43">
        <f>IF(_calc!$E$176="","","Right to work")</f>
        <v/>
      </c>
      <c r="D174" s="43">
        <f>IF(_calc!$E$176="","",IF(ISNUMBER(INDEX('Checks'!$F$4:$F$503,_calc!$E$176)),TEXT(INDEX('Checks'!$F$4:$F$503,_calc!$E$176),"yyyy-mm-dd"),""))</f>
        <v/>
      </c>
      <c r="E174" s="43">
        <f>IF(_calc!$E$176="","","High")</f>
        <v/>
      </c>
      <c r="F174" s="43">
        <f>IF(_calc!$E$176="","",TRIM(IF(LEN(IF(LEN(INDEX('Checks'!$B$4:$B$503,_calc!$E$176))=0,"",INDEX('Checks'!$B$4:$B$503,_calc!$E$176)))=0,"","Role: "&amp;IF(LEN(INDEX('Checks'!$B$4:$B$503,_calc!$E$176))=0,"",INDEX('Checks'!$B$4:$B$503,_calc!$E$176))&amp;". ")&amp;IF(LEN(IF(LEN(INDEX('Checks'!$D$4:$D$503,_calc!$E$176))=0,"",INDEX('Checks'!$D$4:$D$503,_calc!$E$176)))=0,"","Check type: "&amp;IF(LEN(INDEX('Checks'!$D$4:$D$503,_calc!$E$176))=0,"",INDEX('Checks'!$D$4:$D$503,_calc!$E$176))&amp;". ")&amp;IF(LEN(IF(LEN(INDEX('Checks'!$E$4:$E$503,_calc!$E$176))=0,"",INDEX('Checks'!$E$4:$E$503,_calc!$E$176)))=0,"","Evidence: "&amp;IF(LEN(INDEX('Checks'!$E$4:$E$503,_calc!$E$176))=0,"",INDEX('Checks'!$E$4:$E$503,_calc!$E$176))&amp;". ")&amp;IF(LEN(IF(LEN(INDEX('Checks'!$G$4:$G$503,_calc!$E$176))=0,"",INDEX('Checks'!$G$4:$G$503,_calc!$E$176)))=0,"","Checked by: "&amp;IF(LEN(INDEX('Checks'!$G$4:$G$503,_calc!$E$176))=0,"",INDEX('Checks'!$G$4:$G$503,_calc!$E$176))&amp;". ")&amp;IF(LEN(IF(LEN(INDEX('Checks'!$Q$4:$Q$503,_calc!$E$176))=0,"",INDEX('Checks'!$Q$4:$Q$503,_calc!$E$176)))=0,"",IF(LEN(INDEX('Checks'!$Q$4:$Q$503,_calc!$E$176))=0,"",INDEX('Checks'!$Q$4:$Q$503,_calc!$E$176)))))</f>
        <v/>
      </c>
      <c r="G174" s="43">
        <f>IF(_calc!$E$176="","",IF(LEN(INDEX('Checks'!$P$4:$P$503,_calc!$E$176))=0,"",INDEX('Checks'!$P$4:$P$503,_calc!$E$176)))</f>
        <v/>
      </c>
      <c r="K174" s="43">
        <f>IF(_calc!$E$176="","",IF(LEN(INDEX('Checks'!$O$4:$O$503,_calc!$E$176))=0,"",INDEX('Checks'!$O$4:$O$503,_calc!$E$176)))</f>
        <v/>
      </c>
    </row>
    <row r="175">
      <c r="A175" s="43">
        <f>IF(_calc!$E$177="","","Right to work follow-up – "&amp;IF(LEN(INDEX('Checks'!$A$4:$A$503,_calc!$E$177))=0,"",INDEX('Checks'!$A$4:$A$503,_calc!$E$177)))</f>
        <v/>
      </c>
      <c r="B175" s="43">
        <f>IF(_calc!$E$177="","",IF(ISNUMBER(INDEX('Checks'!$H$4:$H$503,_calc!$E$177)),TEXT(INDEX('Checks'!$H$4:$H$503,_calc!$E$177),"yyyy-mm-dd"),""))</f>
        <v/>
      </c>
      <c r="C175" s="43">
        <f>IF(_calc!$E$177="","","Right to work")</f>
        <v/>
      </c>
      <c r="D175" s="43">
        <f>IF(_calc!$E$177="","",IF(ISNUMBER(INDEX('Checks'!$F$4:$F$503,_calc!$E$177)),TEXT(INDEX('Checks'!$F$4:$F$503,_calc!$E$177),"yyyy-mm-dd"),""))</f>
        <v/>
      </c>
      <c r="E175" s="43">
        <f>IF(_calc!$E$177="","","High")</f>
        <v/>
      </c>
      <c r="F175" s="43">
        <f>IF(_calc!$E$177="","",TRIM(IF(LEN(IF(LEN(INDEX('Checks'!$B$4:$B$503,_calc!$E$177))=0,"",INDEX('Checks'!$B$4:$B$503,_calc!$E$177)))=0,"","Role: "&amp;IF(LEN(INDEX('Checks'!$B$4:$B$503,_calc!$E$177))=0,"",INDEX('Checks'!$B$4:$B$503,_calc!$E$177))&amp;". ")&amp;IF(LEN(IF(LEN(INDEX('Checks'!$D$4:$D$503,_calc!$E$177))=0,"",INDEX('Checks'!$D$4:$D$503,_calc!$E$177)))=0,"","Check type: "&amp;IF(LEN(INDEX('Checks'!$D$4:$D$503,_calc!$E$177))=0,"",INDEX('Checks'!$D$4:$D$503,_calc!$E$177))&amp;". ")&amp;IF(LEN(IF(LEN(INDEX('Checks'!$E$4:$E$503,_calc!$E$177))=0,"",INDEX('Checks'!$E$4:$E$503,_calc!$E$177)))=0,"","Evidence: "&amp;IF(LEN(INDEX('Checks'!$E$4:$E$503,_calc!$E$177))=0,"",INDEX('Checks'!$E$4:$E$503,_calc!$E$177))&amp;". ")&amp;IF(LEN(IF(LEN(INDEX('Checks'!$G$4:$G$503,_calc!$E$177))=0,"",INDEX('Checks'!$G$4:$G$503,_calc!$E$177)))=0,"","Checked by: "&amp;IF(LEN(INDEX('Checks'!$G$4:$G$503,_calc!$E$177))=0,"",INDEX('Checks'!$G$4:$G$503,_calc!$E$177))&amp;". ")&amp;IF(LEN(IF(LEN(INDEX('Checks'!$Q$4:$Q$503,_calc!$E$177))=0,"",INDEX('Checks'!$Q$4:$Q$503,_calc!$E$177)))=0,"",IF(LEN(INDEX('Checks'!$Q$4:$Q$503,_calc!$E$177))=0,"",INDEX('Checks'!$Q$4:$Q$503,_calc!$E$177)))))</f>
        <v/>
      </c>
      <c r="G175" s="43">
        <f>IF(_calc!$E$177="","",IF(LEN(INDEX('Checks'!$P$4:$P$503,_calc!$E$177))=0,"",INDEX('Checks'!$P$4:$P$503,_calc!$E$177)))</f>
        <v/>
      </c>
      <c r="K175" s="43">
        <f>IF(_calc!$E$177="","",IF(LEN(INDEX('Checks'!$O$4:$O$503,_calc!$E$177))=0,"",INDEX('Checks'!$O$4:$O$503,_calc!$E$177)))</f>
        <v/>
      </c>
    </row>
    <row r="176">
      <c r="A176" s="43">
        <f>IF(_calc!$E$178="","","Right to work follow-up – "&amp;IF(LEN(INDEX('Checks'!$A$4:$A$503,_calc!$E$178))=0,"",INDEX('Checks'!$A$4:$A$503,_calc!$E$178)))</f>
        <v/>
      </c>
      <c r="B176" s="43">
        <f>IF(_calc!$E$178="","",IF(ISNUMBER(INDEX('Checks'!$H$4:$H$503,_calc!$E$178)),TEXT(INDEX('Checks'!$H$4:$H$503,_calc!$E$178),"yyyy-mm-dd"),""))</f>
        <v/>
      </c>
      <c r="C176" s="43">
        <f>IF(_calc!$E$178="","","Right to work")</f>
        <v/>
      </c>
      <c r="D176" s="43">
        <f>IF(_calc!$E$178="","",IF(ISNUMBER(INDEX('Checks'!$F$4:$F$503,_calc!$E$178)),TEXT(INDEX('Checks'!$F$4:$F$503,_calc!$E$178),"yyyy-mm-dd"),""))</f>
        <v/>
      </c>
      <c r="E176" s="43">
        <f>IF(_calc!$E$178="","","High")</f>
        <v/>
      </c>
      <c r="F176" s="43">
        <f>IF(_calc!$E$178="","",TRIM(IF(LEN(IF(LEN(INDEX('Checks'!$B$4:$B$503,_calc!$E$178))=0,"",INDEX('Checks'!$B$4:$B$503,_calc!$E$178)))=0,"","Role: "&amp;IF(LEN(INDEX('Checks'!$B$4:$B$503,_calc!$E$178))=0,"",INDEX('Checks'!$B$4:$B$503,_calc!$E$178))&amp;". ")&amp;IF(LEN(IF(LEN(INDEX('Checks'!$D$4:$D$503,_calc!$E$178))=0,"",INDEX('Checks'!$D$4:$D$503,_calc!$E$178)))=0,"","Check type: "&amp;IF(LEN(INDEX('Checks'!$D$4:$D$503,_calc!$E$178))=0,"",INDEX('Checks'!$D$4:$D$503,_calc!$E$178))&amp;". ")&amp;IF(LEN(IF(LEN(INDEX('Checks'!$E$4:$E$503,_calc!$E$178))=0,"",INDEX('Checks'!$E$4:$E$503,_calc!$E$178)))=0,"","Evidence: "&amp;IF(LEN(INDEX('Checks'!$E$4:$E$503,_calc!$E$178))=0,"",INDEX('Checks'!$E$4:$E$503,_calc!$E$178))&amp;". ")&amp;IF(LEN(IF(LEN(INDEX('Checks'!$G$4:$G$503,_calc!$E$178))=0,"",INDEX('Checks'!$G$4:$G$503,_calc!$E$178)))=0,"","Checked by: "&amp;IF(LEN(INDEX('Checks'!$G$4:$G$503,_calc!$E$178))=0,"",INDEX('Checks'!$G$4:$G$503,_calc!$E$178))&amp;". ")&amp;IF(LEN(IF(LEN(INDEX('Checks'!$Q$4:$Q$503,_calc!$E$178))=0,"",INDEX('Checks'!$Q$4:$Q$503,_calc!$E$178)))=0,"",IF(LEN(INDEX('Checks'!$Q$4:$Q$503,_calc!$E$178))=0,"",INDEX('Checks'!$Q$4:$Q$503,_calc!$E$178)))))</f>
        <v/>
      </c>
      <c r="G176" s="43">
        <f>IF(_calc!$E$178="","",IF(LEN(INDEX('Checks'!$P$4:$P$503,_calc!$E$178))=0,"",INDEX('Checks'!$P$4:$P$503,_calc!$E$178)))</f>
        <v/>
      </c>
      <c r="K176" s="43">
        <f>IF(_calc!$E$178="","",IF(LEN(INDEX('Checks'!$O$4:$O$503,_calc!$E$178))=0,"",INDEX('Checks'!$O$4:$O$503,_calc!$E$178)))</f>
        <v/>
      </c>
    </row>
    <row r="177">
      <c r="A177" s="43">
        <f>IF(_calc!$E$179="","","Right to work follow-up – "&amp;IF(LEN(INDEX('Checks'!$A$4:$A$503,_calc!$E$179))=0,"",INDEX('Checks'!$A$4:$A$503,_calc!$E$179)))</f>
        <v/>
      </c>
      <c r="B177" s="43">
        <f>IF(_calc!$E$179="","",IF(ISNUMBER(INDEX('Checks'!$H$4:$H$503,_calc!$E$179)),TEXT(INDEX('Checks'!$H$4:$H$503,_calc!$E$179),"yyyy-mm-dd"),""))</f>
        <v/>
      </c>
      <c r="C177" s="43">
        <f>IF(_calc!$E$179="","","Right to work")</f>
        <v/>
      </c>
      <c r="D177" s="43">
        <f>IF(_calc!$E$179="","",IF(ISNUMBER(INDEX('Checks'!$F$4:$F$503,_calc!$E$179)),TEXT(INDEX('Checks'!$F$4:$F$503,_calc!$E$179),"yyyy-mm-dd"),""))</f>
        <v/>
      </c>
      <c r="E177" s="43">
        <f>IF(_calc!$E$179="","","High")</f>
        <v/>
      </c>
      <c r="F177" s="43">
        <f>IF(_calc!$E$179="","",TRIM(IF(LEN(IF(LEN(INDEX('Checks'!$B$4:$B$503,_calc!$E$179))=0,"",INDEX('Checks'!$B$4:$B$503,_calc!$E$179)))=0,"","Role: "&amp;IF(LEN(INDEX('Checks'!$B$4:$B$503,_calc!$E$179))=0,"",INDEX('Checks'!$B$4:$B$503,_calc!$E$179))&amp;". ")&amp;IF(LEN(IF(LEN(INDEX('Checks'!$D$4:$D$503,_calc!$E$179))=0,"",INDEX('Checks'!$D$4:$D$503,_calc!$E$179)))=0,"","Check type: "&amp;IF(LEN(INDEX('Checks'!$D$4:$D$503,_calc!$E$179))=0,"",INDEX('Checks'!$D$4:$D$503,_calc!$E$179))&amp;". ")&amp;IF(LEN(IF(LEN(INDEX('Checks'!$E$4:$E$503,_calc!$E$179))=0,"",INDEX('Checks'!$E$4:$E$503,_calc!$E$179)))=0,"","Evidence: "&amp;IF(LEN(INDEX('Checks'!$E$4:$E$503,_calc!$E$179))=0,"",INDEX('Checks'!$E$4:$E$503,_calc!$E$179))&amp;". ")&amp;IF(LEN(IF(LEN(INDEX('Checks'!$G$4:$G$503,_calc!$E$179))=0,"",INDEX('Checks'!$G$4:$G$503,_calc!$E$179)))=0,"","Checked by: "&amp;IF(LEN(INDEX('Checks'!$G$4:$G$503,_calc!$E$179))=0,"",INDEX('Checks'!$G$4:$G$503,_calc!$E$179))&amp;". ")&amp;IF(LEN(IF(LEN(INDEX('Checks'!$Q$4:$Q$503,_calc!$E$179))=0,"",INDEX('Checks'!$Q$4:$Q$503,_calc!$E$179)))=0,"",IF(LEN(INDEX('Checks'!$Q$4:$Q$503,_calc!$E$179))=0,"",INDEX('Checks'!$Q$4:$Q$503,_calc!$E$179)))))</f>
        <v/>
      </c>
      <c r="G177" s="43">
        <f>IF(_calc!$E$179="","",IF(LEN(INDEX('Checks'!$P$4:$P$503,_calc!$E$179))=0,"",INDEX('Checks'!$P$4:$P$503,_calc!$E$179)))</f>
        <v/>
      </c>
      <c r="K177" s="43">
        <f>IF(_calc!$E$179="","",IF(LEN(INDEX('Checks'!$O$4:$O$503,_calc!$E$179))=0,"",INDEX('Checks'!$O$4:$O$503,_calc!$E$179)))</f>
        <v/>
      </c>
    </row>
    <row r="178">
      <c r="A178" s="43">
        <f>IF(_calc!$E$180="","","Right to work follow-up – "&amp;IF(LEN(INDEX('Checks'!$A$4:$A$503,_calc!$E$180))=0,"",INDEX('Checks'!$A$4:$A$503,_calc!$E$180)))</f>
        <v/>
      </c>
      <c r="B178" s="43">
        <f>IF(_calc!$E$180="","",IF(ISNUMBER(INDEX('Checks'!$H$4:$H$503,_calc!$E$180)),TEXT(INDEX('Checks'!$H$4:$H$503,_calc!$E$180),"yyyy-mm-dd"),""))</f>
        <v/>
      </c>
      <c r="C178" s="43">
        <f>IF(_calc!$E$180="","","Right to work")</f>
        <v/>
      </c>
      <c r="D178" s="43">
        <f>IF(_calc!$E$180="","",IF(ISNUMBER(INDEX('Checks'!$F$4:$F$503,_calc!$E$180)),TEXT(INDEX('Checks'!$F$4:$F$503,_calc!$E$180),"yyyy-mm-dd"),""))</f>
        <v/>
      </c>
      <c r="E178" s="43">
        <f>IF(_calc!$E$180="","","High")</f>
        <v/>
      </c>
      <c r="F178" s="43">
        <f>IF(_calc!$E$180="","",TRIM(IF(LEN(IF(LEN(INDEX('Checks'!$B$4:$B$503,_calc!$E$180))=0,"",INDEX('Checks'!$B$4:$B$503,_calc!$E$180)))=0,"","Role: "&amp;IF(LEN(INDEX('Checks'!$B$4:$B$503,_calc!$E$180))=0,"",INDEX('Checks'!$B$4:$B$503,_calc!$E$180))&amp;". ")&amp;IF(LEN(IF(LEN(INDEX('Checks'!$D$4:$D$503,_calc!$E$180))=0,"",INDEX('Checks'!$D$4:$D$503,_calc!$E$180)))=0,"","Check type: "&amp;IF(LEN(INDEX('Checks'!$D$4:$D$503,_calc!$E$180))=0,"",INDEX('Checks'!$D$4:$D$503,_calc!$E$180))&amp;". ")&amp;IF(LEN(IF(LEN(INDEX('Checks'!$E$4:$E$503,_calc!$E$180))=0,"",INDEX('Checks'!$E$4:$E$503,_calc!$E$180)))=0,"","Evidence: "&amp;IF(LEN(INDEX('Checks'!$E$4:$E$503,_calc!$E$180))=0,"",INDEX('Checks'!$E$4:$E$503,_calc!$E$180))&amp;". ")&amp;IF(LEN(IF(LEN(INDEX('Checks'!$G$4:$G$503,_calc!$E$180))=0,"",INDEX('Checks'!$G$4:$G$503,_calc!$E$180)))=0,"","Checked by: "&amp;IF(LEN(INDEX('Checks'!$G$4:$G$503,_calc!$E$180))=0,"",INDEX('Checks'!$G$4:$G$503,_calc!$E$180))&amp;". ")&amp;IF(LEN(IF(LEN(INDEX('Checks'!$Q$4:$Q$503,_calc!$E$180))=0,"",INDEX('Checks'!$Q$4:$Q$503,_calc!$E$180)))=0,"",IF(LEN(INDEX('Checks'!$Q$4:$Q$503,_calc!$E$180))=0,"",INDEX('Checks'!$Q$4:$Q$503,_calc!$E$180)))))</f>
        <v/>
      </c>
      <c r="G178" s="43">
        <f>IF(_calc!$E$180="","",IF(LEN(INDEX('Checks'!$P$4:$P$503,_calc!$E$180))=0,"",INDEX('Checks'!$P$4:$P$503,_calc!$E$180)))</f>
        <v/>
      </c>
      <c r="K178" s="43">
        <f>IF(_calc!$E$180="","",IF(LEN(INDEX('Checks'!$O$4:$O$503,_calc!$E$180))=0,"",INDEX('Checks'!$O$4:$O$503,_calc!$E$180)))</f>
        <v/>
      </c>
    </row>
    <row r="179">
      <c r="A179" s="43">
        <f>IF(_calc!$E$181="","","Right to work follow-up – "&amp;IF(LEN(INDEX('Checks'!$A$4:$A$503,_calc!$E$181))=0,"",INDEX('Checks'!$A$4:$A$503,_calc!$E$181)))</f>
        <v/>
      </c>
      <c r="B179" s="43">
        <f>IF(_calc!$E$181="","",IF(ISNUMBER(INDEX('Checks'!$H$4:$H$503,_calc!$E$181)),TEXT(INDEX('Checks'!$H$4:$H$503,_calc!$E$181),"yyyy-mm-dd"),""))</f>
        <v/>
      </c>
      <c r="C179" s="43">
        <f>IF(_calc!$E$181="","","Right to work")</f>
        <v/>
      </c>
      <c r="D179" s="43">
        <f>IF(_calc!$E$181="","",IF(ISNUMBER(INDEX('Checks'!$F$4:$F$503,_calc!$E$181)),TEXT(INDEX('Checks'!$F$4:$F$503,_calc!$E$181),"yyyy-mm-dd"),""))</f>
        <v/>
      </c>
      <c r="E179" s="43">
        <f>IF(_calc!$E$181="","","High")</f>
        <v/>
      </c>
      <c r="F179" s="43">
        <f>IF(_calc!$E$181="","",TRIM(IF(LEN(IF(LEN(INDEX('Checks'!$B$4:$B$503,_calc!$E$181))=0,"",INDEX('Checks'!$B$4:$B$503,_calc!$E$181)))=0,"","Role: "&amp;IF(LEN(INDEX('Checks'!$B$4:$B$503,_calc!$E$181))=0,"",INDEX('Checks'!$B$4:$B$503,_calc!$E$181))&amp;". ")&amp;IF(LEN(IF(LEN(INDEX('Checks'!$D$4:$D$503,_calc!$E$181))=0,"",INDEX('Checks'!$D$4:$D$503,_calc!$E$181)))=0,"","Check type: "&amp;IF(LEN(INDEX('Checks'!$D$4:$D$503,_calc!$E$181))=0,"",INDEX('Checks'!$D$4:$D$503,_calc!$E$181))&amp;". ")&amp;IF(LEN(IF(LEN(INDEX('Checks'!$E$4:$E$503,_calc!$E$181))=0,"",INDEX('Checks'!$E$4:$E$503,_calc!$E$181)))=0,"","Evidence: "&amp;IF(LEN(INDEX('Checks'!$E$4:$E$503,_calc!$E$181))=0,"",INDEX('Checks'!$E$4:$E$503,_calc!$E$181))&amp;". ")&amp;IF(LEN(IF(LEN(INDEX('Checks'!$G$4:$G$503,_calc!$E$181))=0,"",INDEX('Checks'!$G$4:$G$503,_calc!$E$181)))=0,"","Checked by: "&amp;IF(LEN(INDEX('Checks'!$G$4:$G$503,_calc!$E$181))=0,"",INDEX('Checks'!$G$4:$G$503,_calc!$E$181))&amp;". ")&amp;IF(LEN(IF(LEN(INDEX('Checks'!$Q$4:$Q$503,_calc!$E$181))=0,"",INDEX('Checks'!$Q$4:$Q$503,_calc!$E$181)))=0,"",IF(LEN(INDEX('Checks'!$Q$4:$Q$503,_calc!$E$181))=0,"",INDEX('Checks'!$Q$4:$Q$503,_calc!$E$181)))))</f>
        <v/>
      </c>
      <c r="G179" s="43">
        <f>IF(_calc!$E$181="","",IF(LEN(INDEX('Checks'!$P$4:$P$503,_calc!$E$181))=0,"",INDEX('Checks'!$P$4:$P$503,_calc!$E$181)))</f>
        <v/>
      </c>
      <c r="K179" s="43">
        <f>IF(_calc!$E$181="","",IF(LEN(INDEX('Checks'!$O$4:$O$503,_calc!$E$181))=0,"",INDEX('Checks'!$O$4:$O$503,_calc!$E$181)))</f>
        <v/>
      </c>
    </row>
    <row r="180">
      <c r="A180" s="43">
        <f>IF(_calc!$E$182="","","Right to work follow-up – "&amp;IF(LEN(INDEX('Checks'!$A$4:$A$503,_calc!$E$182))=0,"",INDEX('Checks'!$A$4:$A$503,_calc!$E$182)))</f>
        <v/>
      </c>
      <c r="B180" s="43">
        <f>IF(_calc!$E$182="","",IF(ISNUMBER(INDEX('Checks'!$H$4:$H$503,_calc!$E$182)),TEXT(INDEX('Checks'!$H$4:$H$503,_calc!$E$182),"yyyy-mm-dd"),""))</f>
        <v/>
      </c>
      <c r="C180" s="43">
        <f>IF(_calc!$E$182="","","Right to work")</f>
        <v/>
      </c>
      <c r="D180" s="43">
        <f>IF(_calc!$E$182="","",IF(ISNUMBER(INDEX('Checks'!$F$4:$F$503,_calc!$E$182)),TEXT(INDEX('Checks'!$F$4:$F$503,_calc!$E$182),"yyyy-mm-dd"),""))</f>
        <v/>
      </c>
      <c r="E180" s="43">
        <f>IF(_calc!$E$182="","","High")</f>
        <v/>
      </c>
      <c r="F180" s="43">
        <f>IF(_calc!$E$182="","",TRIM(IF(LEN(IF(LEN(INDEX('Checks'!$B$4:$B$503,_calc!$E$182))=0,"",INDEX('Checks'!$B$4:$B$503,_calc!$E$182)))=0,"","Role: "&amp;IF(LEN(INDEX('Checks'!$B$4:$B$503,_calc!$E$182))=0,"",INDEX('Checks'!$B$4:$B$503,_calc!$E$182))&amp;". ")&amp;IF(LEN(IF(LEN(INDEX('Checks'!$D$4:$D$503,_calc!$E$182))=0,"",INDEX('Checks'!$D$4:$D$503,_calc!$E$182)))=0,"","Check type: "&amp;IF(LEN(INDEX('Checks'!$D$4:$D$503,_calc!$E$182))=0,"",INDEX('Checks'!$D$4:$D$503,_calc!$E$182))&amp;". ")&amp;IF(LEN(IF(LEN(INDEX('Checks'!$E$4:$E$503,_calc!$E$182))=0,"",INDEX('Checks'!$E$4:$E$503,_calc!$E$182)))=0,"","Evidence: "&amp;IF(LEN(INDEX('Checks'!$E$4:$E$503,_calc!$E$182))=0,"",INDEX('Checks'!$E$4:$E$503,_calc!$E$182))&amp;". ")&amp;IF(LEN(IF(LEN(INDEX('Checks'!$G$4:$G$503,_calc!$E$182))=0,"",INDEX('Checks'!$G$4:$G$503,_calc!$E$182)))=0,"","Checked by: "&amp;IF(LEN(INDEX('Checks'!$G$4:$G$503,_calc!$E$182))=0,"",INDEX('Checks'!$G$4:$G$503,_calc!$E$182))&amp;". ")&amp;IF(LEN(IF(LEN(INDEX('Checks'!$Q$4:$Q$503,_calc!$E$182))=0,"",INDEX('Checks'!$Q$4:$Q$503,_calc!$E$182)))=0,"",IF(LEN(INDEX('Checks'!$Q$4:$Q$503,_calc!$E$182))=0,"",INDEX('Checks'!$Q$4:$Q$503,_calc!$E$182)))))</f>
        <v/>
      </c>
      <c r="G180" s="43">
        <f>IF(_calc!$E$182="","",IF(LEN(INDEX('Checks'!$P$4:$P$503,_calc!$E$182))=0,"",INDEX('Checks'!$P$4:$P$503,_calc!$E$182)))</f>
        <v/>
      </c>
      <c r="K180" s="43">
        <f>IF(_calc!$E$182="","",IF(LEN(INDEX('Checks'!$O$4:$O$503,_calc!$E$182))=0,"",INDEX('Checks'!$O$4:$O$503,_calc!$E$182)))</f>
        <v/>
      </c>
    </row>
    <row r="181">
      <c r="A181" s="43">
        <f>IF(_calc!$E$183="","","Right to work follow-up – "&amp;IF(LEN(INDEX('Checks'!$A$4:$A$503,_calc!$E$183))=0,"",INDEX('Checks'!$A$4:$A$503,_calc!$E$183)))</f>
        <v/>
      </c>
      <c r="B181" s="43">
        <f>IF(_calc!$E$183="","",IF(ISNUMBER(INDEX('Checks'!$H$4:$H$503,_calc!$E$183)),TEXT(INDEX('Checks'!$H$4:$H$503,_calc!$E$183),"yyyy-mm-dd"),""))</f>
        <v/>
      </c>
      <c r="C181" s="43">
        <f>IF(_calc!$E$183="","","Right to work")</f>
        <v/>
      </c>
      <c r="D181" s="43">
        <f>IF(_calc!$E$183="","",IF(ISNUMBER(INDEX('Checks'!$F$4:$F$503,_calc!$E$183)),TEXT(INDEX('Checks'!$F$4:$F$503,_calc!$E$183),"yyyy-mm-dd"),""))</f>
        <v/>
      </c>
      <c r="E181" s="43">
        <f>IF(_calc!$E$183="","","High")</f>
        <v/>
      </c>
      <c r="F181" s="43">
        <f>IF(_calc!$E$183="","",TRIM(IF(LEN(IF(LEN(INDEX('Checks'!$B$4:$B$503,_calc!$E$183))=0,"",INDEX('Checks'!$B$4:$B$503,_calc!$E$183)))=0,"","Role: "&amp;IF(LEN(INDEX('Checks'!$B$4:$B$503,_calc!$E$183))=0,"",INDEX('Checks'!$B$4:$B$503,_calc!$E$183))&amp;". ")&amp;IF(LEN(IF(LEN(INDEX('Checks'!$D$4:$D$503,_calc!$E$183))=0,"",INDEX('Checks'!$D$4:$D$503,_calc!$E$183)))=0,"","Check type: "&amp;IF(LEN(INDEX('Checks'!$D$4:$D$503,_calc!$E$183))=0,"",INDEX('Checks'!$D$4:$D$503,_calc!$E$183))&amp;". ")&amp;IF(LEN(IF(LEN(INDEX('Checks'!$E$4:$E$503,_calc!$E$183))=0,"",INDEX('Checks'!$E$4:$E$503,_calc!$E$183)))=0,"","Evidence: "&amp;IF(LEN(INDEX('Checks'!$E$4:$E$503,_calc!$E$183))=0,"",INDEX('Checks'!$E$4:$E$503,_calc!$E$183))&amp;". ")&amp;IF(LEN(IF(LEN(INDEX('Checks'!$G$4:$G$503,_calc!$E$183))=0,"",INDEX('Checks'!$G$4:$G$503,_calc!$E$183)))=0,"","Checked by: "&amp;IF(LEN(INDEX('Checks'!$G$4:$G$503,_calc!$E$183))=0,"",INDEX('Checks'!$G$4:$G$503,_calc!$E$183))&amp;". ")&amp;IF(LEN(IF(LEN(INDEX('Checks'!$Q$4:$Q$503,_calc!$E$183))=0,"",INDEX('Checks'!$Q$4:$Q$503,_calc!$E$183)))=0,"",IF(LEN(INDEX('Checks'!$Q$4:$Q$503,_calc!$E$183))=0,"",INDEX('Checks'!$Q$4:$Q$503,_calc!$E$183)))))</f>
        <v/>
      </c>
      <c r="G181" s="43">
        <f>IF(_calc!$E$183="","",IF(LEN(INDEX('Checks'!$P$4:$P$503,_calc!$E$183))=0,"",INDEX('Checks'!$P$4:$P$503,_calc!$E$183)))</f>
        <v/>
      </c>
      <c r="K181" s="43">
        <f>IF(_calc!$E$183="","",IF(LEN(INDEX('Checks'!$O$4:$O$503,_calc!$E$183))=0,"",INDEX('Checks'!$O$4:$O$503,_calc!$E$183)))</f>
        <v/>
      </c>
    </row>
    <row r="182">
      <c r="A182" s="43">
        <f>IF(_calc!$E$184="","","Right to work follow-up – "&amp;IF(LEN(INDEX('Checks'!$A$4:$A$503,_calc!$E$184))=0,"",INDEX('Checks'!$A$4:$A$503,_calc!$E$184)))</f>
        <v/>
      </c>
      <c r="B182" s="43">
        <f>IF(_calc!$E$184="","",IF(ISNUMBER(INDEX('Checks'!$H$4:$H$503,_calc!$E$184)),TEXT(INDEX('Checks'!$H$4:$H$503,_calc!$E$184),"yyyy-mm-dd"),""))</f>
        <v/>
      </c>
      <c r="C182" s="43">
        <f>IF(_calc!$E$184="","","Right to work")</f>
        <v/>
      </c>
      <c r="D182" s="43">
        <f>IF(_calc!$E$184="","",IF(ISNUMBER(INDEX('Checks'!$F$4:$F$503,_calc!$E$184)),TEXT(INDEX('Checks'!$F$4:$F$503,_calc!$E$184),"yyyy-mm-dd"),""))</f>
        <v/>
      </c>
      <c r="E182" s="43">
        <f>IF(_calc!$E$184="","","High")</f>
        <v/>
      </c>
      <c r="F182" s="43">
        <f>IF(_calc!$E$184="","",TRIM(IF(LEN(IF(LEN(INDEX('Checks'!$B$4:$B$503,_calc!$E$184))=0,"",INDEX('Checks'!$B$4:$B$503,_calc!$E$184)))=0,"","Role: "&amp;IF(LEN(INDEX('Checks'!$B$4:$B$503,_calc!$E$184))=0,"",INDEX('Checks'!$B$4:$B$503,_calc!$E$184))&amp;". ")&amp;IF(LEN(IF(LEN(INDEX('Checks'!$D$4:$D$503,_calc!$E$184))=0,"",INDEX('Checks'!$D$4:$D$503,_calc!$E$184)))=0,"","Check type: "&amp;IF(LEN(INDEX('Checks'!$D$4:$D$503,_calc!$E$184))=0,"",INDEX('Checks'!$D$4:$D$503,_calc!$E$184))&amp;". ")&amp;IF(LEN(IF(LEN(INDEX('Checks'!$E$4:$E$503,_calc!$E$184))=0,"",INDEX('Checks'!$E$4:$E$503,_calc!$E$184)))=0,"","Evidence: "&amp;IF(LEN(INDEX('Checks'!$E$4:$E$503,_calc!$E$184))=0,"",INDEX('Checks'!$E$4:$E$503,_calc!$E$184))&amp;". ")&amp;IF(LEN(IF(LEN(INDEX('Checks'!$G$4:$G$503,_calc!$E$184))=0,"",INDEX('Checks'!$G$4:$G$503,_calc!$E$184)))=0,"","Checked by: "&amp;IF(LEN(INDEX('Checks'!$G$4:$G$503,_calc!$E$184))=0,"",INDEX('Checks'!$G$4:$G$503,_calc!$E$184))&amp;". ")&amp;IF(LEN(IF(LEN(INDEX('Checks'!$Q$4:$Q$503,_calc!$E$184))=0,"",INDEX('Checks'!$Q$4:$Q$503,_calc!$E$184)))=0,"",IF(LEN(INDEX('Checks'!$Q$4:$Q$503,_calc!$E$184))=0,"",INDEX('Checks'!$Q$4:$Q$503,_calc!$E$184)))))</f>
        <v/>
      </c>
      <c r="G182" s="43">
        <f>IF(_calc!$E$184="","",IF(LEN(INDEX('Checks'!$P$4:$P$503,_calc!$E$184))=0,"",INDEX('Checks'!$P$4:$P$503,_calc!$E$184)))</f>
        <v/>
      </c>
      <c r="K182" s="43">
        <f>IF(_calc!$E$184="","",IF(LEN(INDEX('Checks'!$O$4:$O$503,_calc!$E$184))=0,"",INDEX('Checks'!$O$4:$O$503,_calc!$E$184)))</f>
        <v/>
      </c>
    </row>
    <row r="183">
      <c r="A183" s="43">
        <f>IF(_calc!$E$185="","","Right to work follow-up – "&amp;IF(LEN(INDEX('Checks'!$A$4:$A$503,_calc!$E$185))=0,"",INDEX('Checks'!$A$4:$A$503,_calc!$E$185)))</f>
        <v/>
      </c>
      <c r="B183" s="43">
        <f>IF(_calc!$E$185="","",IF(ISNUMBER(INDEX('Checks'!$H$4:$H$503,_calc!$E$185)),TEXT(INDEX('Checks'!$H$4:$H$503,_calc!$E$185),"yyyy-mm-dd"),""))</f>
        <v/>
      </c>
      <c r="C183" s="43">
        <f>IF(_calc!$E$185="","","Right to work")</f>
        <v/>
      </c>
      <c r="D183" s="43">
        <f>IF(_calc!$E$185="","",IF(ISNUMBER(INDEX('Checks'!$F$4:$F$503,_calc!$E$185)),TEXT(INDEX('Checks'!$F$4:$F$503,_calc!$E$185),"yyyy-mm-dd"),""))</f>
        <v/>
      </c>
      <c r="E183" s="43">
        <f>IF(_calc!$E$185="","","High")</f>
        <v/>
      </c>
      <c r="F183" s="43">
        <f>IF(_calc!$E$185="","",TRIM(IF(LEN(IF(LEN(INDEX('Checks'!$B$4:$B$503,_calc!$E$185))=0,"",INDEX('Checks'!$B$4:$B$503,_calc!$E$185)))=0,"","Role: "&amp;IF(LEN(INDEX('Checks'!$B$4:$B$503,_calc!$E$185))=0,"",INDEX('Checks'!$B$4:$B$503,_calc!$E$185))&amp;". ")&amp;IF(LEN(IF(LEN(INDEX('Checks'!$D$4:$D$503,_calc!$E$185))=0,"",INDEX('Checks'!$D$4:$D$503,_calc!$E$185)))=0,"","Check type: "&amp;IF(LEN(INDEX('Checks'!$D$4:$D$503,_calc!$E$185))=0,"",INDEX('Checks'!$D$4:$D$503,_calc!$E$185))&amp;". ")&amp;IF(LEN(IF(LEN(INDEX('Checks'!$E$4:$E$503,_calc!$E$185))=0,"",INDEX('Checks'!$E$4:$E$503,_calc!$E$185)))=0,"","Evidence: "&amp;IF(LEN(INDEX('Checks'!$E$4:$E$503,_calc!$E$185))=0,"",INDEX('Checks'!$E$4:$E$503,_calc!$E$185))&amp;". ")&amp;IF(LEN(IF(LEN(INDEX('Checks'!$G$4:$G$503,_calc!$E$185))=0,"",INDEX('Checks'!$G$4:$G$503,_calc!$E$185)))=0,"","Checked by: "&amp;IF(LEN(INDEX('Checks'!$G$4:$G$503,_calc!$E$185))=0,"",INDEX('Checks'!$G$4:$G$503,_calc!$E$185))&amp;". ")&amp;IF(LEN(IF(LEN(INDEX('Checks'!$Q$4:$Q$503,_calc!$E$185))=0,"",INDEX('Checks'!$Q$4:$Q$503,_calc!$E$185)))=0,"",IF(LEN(INDEX('Checks'!$Q$4:$Q$503,_calc!$E$185))=0,"",INDEX('Checks'!$Q$4:$Q$503,_calc!$E$185)))))</f>
        <v/>
      </c>
      <c r="G183" s="43">
        <f>IF(_calc!$E$185="","",IF(LEN(INDEX('Checks'!$P$4:$P$503,_calc!$E$185))=0,"",INDEX('Checks'!$P$4:$P$503,_calc!$E$185)))</f>
        <v/>
      </c>
      <c r="K183" s="43">
        <f>IF(_calc!$E$185="","",IF(LEN(INDEX('Checks'!$O$4:$O$503,_calc!$E$185))=0,"",INDEX('Checks'!$O$4:$O$503,_calc!$E$185)))</f>
        <v/>
      </c>
    </row>
    <row r="184">
      <c r="A184" s="43">
        <f>IF(_calc!$E$186="","","Right to work follow-up – "&amp;IF(LEN(INDEX('Checks'!$A$4:$A$503,_calc!$E$186))=0,"",INDEX('Checks'!$A$4:$A$503,_calc!$E$186)))</f>
        <v/>
      </c>
      <c r="B184" s="43">
        <f>IF(_calc!$E$186="","",IF(ISNUMBER(INDEX('Checks'!$H$4:$H$503,_calc!$E$186)),TEXT(INDEX('Checks'!$H$4:$H$503,_calc!$E$186),"yyyy-mm-dd"),""))</f>
        <v/>
      </c>
      <c r="C184" s="43">
        <f>IF(_calc!$E$186="","","Right to work")</f>
        <v/>
      </c>
      <c r="D184" s="43">
        <f>IF(_calc!$E$186="","",IF(ISNUMBER(INDEX('Checks'!$F$4:$F$503,_calc!$E$186)),TEXT(INDEX('Checks'!$F$4:$F$503,_calc!$E$186),"yyyy-mm-dd"),""))</f>
        <v/>
      </c>
      <c r="E184" s="43">
        <f>IF(_calc!$E$186="","","High")</f>
        <v/>
      </c>
      <c r="F184" s="43">
        <f>IF(_calc!$E$186="","",TRIM(IF(LEN(IF(LEN(INDEX('Checks'!$B$4:$B$503,_calc!$E$186))=0,"",INDEX('Checks'!$B$4:$B$503,_calc!$E$186)))=0,"","Role: "&amp;IF(LEN(INDEX('Checks'!$B$4:$B$503,_calc!$E$186))=0,"",INDEX('Checks'!$B$4:$B$503,_calc!$E$186))&amp;". ")&amp;IF(LEN(IF(LEN(INDEX('Checks'!$D$4:$D$503,_calc!$E$186))=0,"",INDEX('Checks'!$D$4:$D$503,_calc!$E$186)))=0,"","Check type: "&amp;IF(LEN(INDEX('Checks'!$D$4:$D$503,_calc!$E$186))=0,"",INDEX('Checks'!$D$4:$D$503,_calc!$E$186))&amp;". ")&amp;IF(LEN(IF(LEN(INDEX('Checks'!$E$4:$E$503,_calc!$E$186))=0,"",INDEX('Checks'!$E$4:$E$503,_calc!$E$186)))=0,"","Evidence: "&amp;IF(LEN(INDEX('Checks'!$E$4:$E$503,_calc!$E$186))=0,"",INDEX('Checks'!$E$4:$E$503,_calc!$E$186))&amp;". ")&amp;IF(LEN(IF(LEN(INDEX('Checks'!$G$4:$G$503,_calc!$E$186))=0,"",INDEX('Checks'!$G$4:$G$503,_calc!$E$186)))=0,"","Checked by: "&amp;IF(LEN(INDEX('Checks'!$G$4:$G$503,_calc!$E$186))=0,"",INDEX('Checks'!$G$4:$G$503,_calc!$E$186))&amp;". ")&amp;IF(LEN(IF(LEN(INDEX('Checks'!$Q$4:$Q$503,_calc!$E$186))=0,"",INDEX('Checks'!$Q$4:$Q$503,_calc!$E$186)))=0,"",IF(LEN(INDEX('Checks'!$Q$4:$Q$503,_calc!$E$186))=0,"",INDEX('Checks'!$Q$4:$Q$503,_calc!$E$186)))))</f>
        <v/>
      </c>
      <c r="G184" s="43">
        <f>IF(_calc!$E$186="","",IF(LEN(INDEX('Checks'!$P$4:$P$503,_calc!$E$186))=0,"",INDEX('Checks'!$P$4:$P$503,_calc!$E$186)))</f>
        <v/>
      </c>
      <c r="K184" s="43">
        <f>IF(_calc!$E$186="","",IF(LEN(INDEX('Checks'!$O$4:$O$503,_calc!$E$186))=0,"",INDEX('Checks'!$O$4:$O$503,_calc!$E$186)))</f>
        <v/>
      </c>
    </row>
    <row r="185">
      <c r="A185" s="43">
        <f>IF(_calc!$E$187="","","Right to work follow-up – "&amp;IF(LEN(INDEX('Checks'!$A$4:$A$503,_calc!$E$187))=0,"",INDEX('Checks'!$A$4:$A$503,_calc!$E$187)))</f>
        <v/>
      </c>
      <c r="B185" s="43">
        <f>IF(_calc!$E$187="","",IF(ISNUMBER(INDEX('Checks'!$H$4:$H$503,_calc!$E$187)),TEXT(INDEX('Checks'!$H$4:$H$503,_calc!$E$187),"yyyy-mm-dd"),""))</f>
        <v/>
      </c>
      <c r="C185" s="43">
        <f>IF(_calc!$E$187="","","Right to work")</f>
        <v/>
      </c>
      <c r="D185" s="43">
        <f>IF(_calc!$E$187="","",IF(ISNUMBER(INDEX('Checks'!$F$4:$F$503,_calc!$E$187)),TEXT(INDEX('Checks'!$F$4:$F$503,_calc!$E$187),"yyyy-mm-dd"),""))</f>
        <v/>
      </c>
      <c r="E185" s="43">
        <f>IF(_calc!$E$187="","","High")</f>
        <v/>
      </c>
      <c r="F185" s="43">
        <f>IF(_calc!$E$187="","",TRIM(IF(LEN(IF(LEN(INDEX('Checks'!$B$4:$B$503,_calc!$E$187))=0,"",INDEX('Checks'!$B$4:$B$503,_calc!$E$187)))=0,"","Role: "&amp;IF(LEN(INDEX('Checks'!$B$4:$B$503,_calc!$E$187))=0,"",INDEX('Checks'!$B$4:$B$503,_calc!$E$187))&amp;". ")&amp;IF(LEN(IF(LEN(INDEX('Checks'!$D$4:$D$503,_calc!$E$187))=0,"",INDEX('Checks'!$D$4:$D$503,_calc!$E$187)))=0,"","Check type: "&amp;IF(LEN(INDEX('Checks'!$D$4:$D$503,_calc!$E$187))=0,"",INDEX('Checks'!$D$4:$D$503,_calc!$E$187))&amp;". ")&amp;IF(LEN(IF(LEN(INDEX('Checks'!$E$4:$E$503,_calc!$E$187))=0,"",INDEX('Checks'!$E$4:$E$503,_calc!$E$187)))=0,"","Evidence: "&amp;IF(LEN(INDEX('Checks'!$E$4:$E$503,_calc!$E$187))=0,"",INDEX('Checks'!$E$4:$E$503,_calc!$E$187))&amp;". ")&amp;IF(LEN(IF(LEN(INDEX('Checks'!$G$4:$G$503,_calc!$E$187))=0,"",INDEX('Checks'!$G$4:$G$503,_calc!$E$187)))=0,"","Checked by: "&amp;IF(LEN(INDEX('Checks'!$G$4:$G$503,_calc!$E$187))=0,"",INDEX('Checks'!$G$4:$G$503,_calc!$E$187))&amp;". ")&amp;IF(LEN(IF(LEN(INDEX('Checks'!$Q$4:$Q$503,_calc!$E$187))=0,"",INDEX('Checks'!$Q$4:$Q$503,_calc!$E$187)))=0,"",IF(LEN(INDEX('Checks'!$Q$4:$Q$503,_calc!$E$187))=0,"",INDEX('Checks'!$Q$4:$Q$503,_calc!$E$187)))))</f>
        <v/>
      </c>
      <c r="G185" s="43">
        <f>IF(_calc!$E$187="","",IF(LEN(INDEX('Checks'!$P$4:$P$503,_calc!$E$187))=0,"",INDEX('Checks'!$P$4:$P$503,_calc!$E$187)))</f>
        <v/>
      </c>
      <c r="K185" s="43">
        <f>IF(_calc!$E$187="","",IF(LEN(INDEX('Checks'!$O$4:$O$503,_calc!$E$187))=0,"",INDEX('Checks'!$O$4:$O$503,_calc!$E$187)))</f>
        <v/>
      </c>
    </row>
    <row r="186">
      <c r="A186" s="43">
        <f>IF(_calc!$E$188="","","Right to work follow-up – "&amp;IF(LEN(INDEX('Checks'!$A$4:$A$503,_calc!$E$188))=0,"",INDEX('Checks'!$A$4:$A$503,_calc!$E$188)))</f>
        <v/>
      </c>
      <c r="B186" s="43">
        <f>IF(_calc!$E$188="","",IF(ISNUMBER(INDEX('Checks'!$H$4:$H$503,_calc!$E$188)),TEXT(INDEX('Checks'!$H$4:$H$503,_calc!$E$188),"yyyy-mm-dd"),""))</f>
        <v/>
      </c>
      <c r="C186" s="43">
        <f>IF(_calc!$E$188="","","Right to work")</f>
        <v/>
      </c>
      <c r="D186" s="43">
        <f>IF(_calc!$E$188="","",IF(ISNUMBER(INDEX('Checks'!$F$4:$F$503,_calc!$E$188)),TEXT(INDEX('Checks'!$F$4:$F$503,_calc!$E$188),"yyyy-mm-dd"),""))</f>
        <v/>
      </c>
      <c r="E186" s="43">
        <f>IF(_calc!$E$188="","","High")</f>
        <v/>
      </c>
      <c r="F186" s="43">
        <f>IF(_calc!$E$188="","",TRIM(IF(LEN(IF(LEN(INDEX('Checks'!$B$4:$B$503,_calc!$E$188))=0,"",INDEX('Checks'!$B$4:$B$503,_calc!$E$188)))=0,"","Role: "&amp;IF(LEN(INDEX('Checks'!$B$4:$B$503,_calc!$E$188))=0,"",INDEX('Checks'!$B$4:$B$503,_calc!$E$188))&amp;". ")&amp;IF(LEN(IF(LEN(INDEX('Checks'!$D$4:$D$503,_calc!$E$188))=0,"",INDEX('Checks'!$D$4:$D$503,_calc!$E$188)))=0,"","Check type: "&amp;IF(LEN(INDEX('Checks'!$D$4:$D$503,_calc!$E$188))=0,"",INDEX('Checks'!$D$4:$D$503,_calc!$E$188))&amp;". ")&amp;IF(LEN(IF(LEN(INDEX('Checks'!$E$4:$E$503,_calc!$E$188))=0,"",INDEX('Checks'!$E$4:$E$503,_calc!$E$188)))=0,"","Evidence: "&amp;IF(LEN(INDEX('Checks'!$E$4:$E$503,_calc!$E$188))=0,"",INDEX('Checks'!$E$4:$E$503,_calc!$E$188))&amp;". ")&amp;IF(LEN(IF(LEN(INDEX('Checks'!$G$4:$G$503,_calc!$E$188))=0,"",INDEX('Checks'!$G$4:$G$503,_calc!$E$188)))=0,"","Checked by: "&amp;IF(LEN(INDEX('Checks'!$G$4:$G$503,_calc!$E$188))=0,"",INDEX('Checks'!$G$4:$G$503,_calc!$E$188))&amp;". ")&amp;IF(LEN(IF(LEN(INDEX('Checks'!$Q$4:$Q$503,_calc!$E$188))=0,"",INDEX('Checks'!$Q$4:$Q$503,_calc!$E$188)))=0,"",IF(LEN(INDEX('Checks'!$Q$4:$Q$503,_calc!$E$188))=0,"",INDEX('Checks'!$Q$4:$Q$503,_calc!$E$188)))))</f>
        <v/>
      </c>
      <c r="G186" s="43">
        <f>IF(_calc!$E$188="","",IF(LEN(INDEX('Checks'!$P$4:$P$503,_calc!$E$188))=0,"",INDEX('Checks'!$P$4:$P$503,_calc!$E$188)))</f>
        <v/>
      </c>
      <c r="K186" s="43">
        <f>IF(_calc!$E$188="","",IF(LEN(INDEX('Checks'!$O$4:$O$503,_calc!$E$188))=0,"",INDEX('Checks'!$O$4:$O$503,_calc!$E$188)))</f>
        <v/>
      </c>
    </row>
    <row r="187">
      <c r="A187" s="43">
        <f>IF(_calc!$E$189="","","Right to work follow-up – "&amp;IF(LEN(INDEX('Checks'!$A$4:$A$503,_calc!$E$189))=0,"",INDEX('Checks'!$A$4:$A$503,_calc!$E$189)))</f>
        <v/>
      </c>
      <c r="B187" s="43">
        <f>IF(_calc!$E$189="","",IF(ISNUMBER(INDEX('Checks'!$H$4:$H$503,_calc!$E$189)),TEXT(INDEX('Checks'!$H$4:$H$503,_calc!$E$189),"yyyy-mm-dd"),""))</f>
        <v/>
      </c>
      <c r="C187" s="43">
        <f>IF(_calc!$E$189="","","Right to work")</f>
        <v/>
      </c>
      <c r="D187" s="43">
        <f>IF(_calc!$E$189="","",IF(ISNUMBER(INDEX('Checks'!$F$4:$F$503,_calc!$E$189)),TEXT(INDEX('Checks'!$F$4:$F$503,_calc!$E$189),"yyyy-mm-dd"),""))</f>
        <v/>
      </c>
      <c r="E187" s="43">
        <f>IF(_calc!$E$189="","","High")</f>
        <v/>
      </c>
      <c r="F187" s="43">
        <f>IF(_calc!$E$189="","",TRIM(IF(LEN(IF(LEN(INDEX('Checks'!$B$4:$B$503,_calc!$E$189))=0,"",INDEX('Checks'!$B$4:$B$503,_calc!$E$189)))=0,"","Role: "&amp;IF(LEN(INDEX('Checks'!$B$4:$B$503,_calc!$E$189))=0,"",INDEX('Checks'!$B$4:$B$503,_calc!$E$189))&amp;". ")&amp;IF(LEN(IF(LEN(INDEX('Checks'!$D$4:$D$503,_calc!$E$189))=0,"",INDEX('Checks'!$D$4:$D$503,_calc!$E$189)))=0,"","Check type: "&amp;IF(LEN(INDEX('Checks'!$D$4:$D$503,_calc!$E$189))=0,"",INDEX('Checks'!$D$4:$D$503,_calc!$E$189))&amp;". ")&amp;IF(LEN(IF(LEN(INDEX('Checks'!$E$4:$E$503,_calc!$E$189))=0,"",INDEX('Checks'!$E$4:$E$503,_calc!$E$189)))=0,"","Evidence: "&amp;IF(LEN(INDEX('Checks'!$E$4:$E$503,_calc!$E$189))=0,"",INDEX('Checks'!$E$4:$E$503,_calc!$E$189))&amp;". ")&amp;IF(LEN(IF(LEN(INDEX('Checks'!$G$4:$G$503,_calc!$E$189))=0,"",INDEX('Checks'!$G$4:$G$503,_calc!$E$189)))=0,"","Checked by: "&amp;IF(LEN(INDEX('Checks'!$G$4:$G$503,_calc!$E$189))=0,"",INDEX('Checks'!$G$4:$G$503,_calc!$E$189))&amp;". ")&amp;IF(LEN(IF(LEN(INDEX('Checks'!$Q$4:$Q$503,_calc!$E$189))=0,"",INDEX('Checks'!$Q$4:$Q$503,_calc!$E$189)))=0,"",IF(LEN(INDEX('Checks'!$Q$4:$Q$503,_calc!$E$189))=0,"",INDEX('Checks'!$Q$4:$Q$503,_calc!$E$189)))))</f>
        <v/>
      </c>
      <c r="G187" s="43">
        <f>IF(_calc!$E$189="","",IF(LEN(INDEX('Checks'!$P$4:$P$503,_calc!$E$189))=0,"",INDEX('Checks'!$P$4:$P$503,_calc!$E$189)))</f>
        <v/>
      </c>
      <c r="K187" s="43">
        <f>IF(_calc!$E$189="","",IF(LEN(INDEX('Checks'!$O$4:$O$503,_calc!$E$189))=0,"",INDEX('Checks'!$O$4:$O$503,_calc!$E$189)))</f>
        <v/>
      </c>
    </row>
    <row r="188">
      <c r="A188" s="43">
        <f>IF(_calc!$E$190="","","Right to work follow-up – "&amp;IF(LEN(INDEX('Checks'!$A$4:$A$503,_calc!$E$190))=0,"",INDEX('Checks'!$A$4:$A$503,_calc!$E$190)))</f>
        <v/>
      </c>
      <c r="B188" s="43">
        <f>IF(_calc!$E$190="","",IF(ISNUMBER(INDEX('Checks'!$H$4:$H$503,_calc!$E$190)),TEXT(INDEX('Checks'!$H$4:$H$503,_calc!$E$190),"yyyy-mm-dd"),""))</f>
        <v/>
      </c>
      <c r="C188" s="43">
        <f>IF(_calc!$E$190="","","Right to work")</f>
        <v/>
      </c>
      <c r="D188" s="43">
        <f>IF(_calc!$E$190="","",IF(ISNUMBER(INDEX('Checks'!$F$4:$F$503,_calc!$E$190)),TEXT(INDEX('Checks'!$F$4:$F$503,_calc!$E$190),"yyyy-mm-dd"),""))</f>
        <v/>
      </c>
      <c r="E188" s="43">
        <f>IF(_calc!$E$190="","","High")</f>
        <v/>
      </c>
      <c r="F188" s="43">
        <f>IF(_calc!$E$190="","",TRIM(IF(LEN(IF(LEN(INDEX('Checks'!$B$4:$B$503,_calc!$E$190))=0,"",INDEX('Checks'!$B$4:$B$503,_calc!$E$190)))=0,"","Role: "&amp;IF(LEN(INDEX('Checks'!$B$4:$B$503,_calc!$E$190))=0,"",INDEX('Checks'!$B$4:$B$503,_calc!$E$190))&amp;". ")&amp;IF(LEN(IF(LEN(INDEX('Checks'!$D$4:$D$503,_calc!$E$190))=0,"",INDEX('Checks'!$D$4:$D$503,_calc!$E$190)))=0,"","Check type: "&amp;IF(LEN(INDEX('Checks'!$D$4:$D$503,_calc!$E$190))=0,"",INDEX('Checks'!$D$4:$D$503,_calc!$E$190))&amp;". ")&amp;IF(LEN(IF(LEN(INDEX('Checks'!$E$4:$E$503,_calc!$E$190))=0,"",INDEX('Checks'!$E$4:$E$503,_calc!$E$190)))=0,"","Evidence: "&amp;IF(LEN(INDEX('Checks'!$E$4:$E$503,_calc!$E$190))=0,"",INDEX('Checks'!$E$4:$E$503,_calc!$E$190))&amp;". ")&amp;IF(LEN(IF(LEN(INDEX('Checks'!$G$4:$G$503,_calc!$E$190))=0,"",INDEX('Checks'!$G$4:$G$503,_calc!$E$190)))=0,"","Checked by: "&amp;IF(LEN(INDEX('Checks'!$G$4:$G$503,_calc!$E$190))=0,"",INDEX('Checks'!$G$4:$G$503,_calc!$E$190))&amp;". ")&amp;IF(LEN(IF(LEN(INDEX('Checks'!$Q$4:$Q$503,_calc!$E$190))=0,"",INDEX('Checks'!$Q$4:$Q$503,_calc!$E$190)))=0,"",IF(LEN(INDEX('Checks'!$Q$4:$Q$503,_calc!$E$190))=0,"",INDEX('Checks'!$Q$4:$Q$503,_calc!$E$190)))))</f>
        <v/>
      </c>
      <c r="G188" s="43">
        <f>IF(_calc!$E$190="","",IF(LEN(INDEX('Checks'!$P$4:$P$503,_calc!$E$190))=0,"",INDEX('Checks'!$P$4:$P$503,_calc!$E$190)))</f>
        <v/>
      </c>
      <c r="K188" s="43">
        <f>IF(_calc!$E$190="","",IF(LEN(INDEX('Checks'!$O$4:$O$503,_calc!$E$190))=0,"",INDEX('Checks'!$O$4:$O$503,_calc!$E$190)))</f>
        <v/>
      </c>
    </row>
    <row r="189">
      <c r="A189" s="43">
        <f>IF(_calc!$E$191="","","Right to work follow-up – "&amp;IF(LEN(INDEX('Checks'!$A$4:$A$503,_calc!$E$191))=0,"",INDEX('Checks'!$A$4:$A$503,_calc!$E$191)))</f>
        <v/>
      </c>
      <c r="B189" s="43">
        <f>IF(_calc!$E$191="","",IF(ISNUMBER(INDEX('Checks'!$H$4:$H$503,_calc!$E$191)),TEXT(INDEX('Checks'!$H$4:$H$503,_calc!$E$191),"yyyy-mm-dd"),""))</f>
        <v/>
      </c>
      <c r="C189" s="43">
        <f>IF(_calc!$E$191="","","Right to work")</f>
        <v/>
      </c>
      <c r="D189" s="43">
        <f>IF(_calc!$E$191="","",IF(ISNUMBER(INDEX('Checks'!$F$4:$F$503,_calc!$E$191)),TEXT(INDEX('Checks'!$F$4:$F$503,_calc!$E$191),"yyyy-mm-dd"),""))</f>
        <v/>
      </c>
      <c r="E189" s="43">
        <f>IF(_calc!$E$191="","","High")</f>
        <v/>
      </c>
      <c r="F189" s="43">
        <f>IF(_calc!$E$191="","",TRIM(IF(LEN(IF(LEN(INDEX('Checks'!$B$4:$B$503,_calc!$E$191))=0,"",INDEX('Checks'!$B$4:$B$503,_calc!$E$191)))=0,"","Role: "&amp;IF(LEN(INDEX('Checks'!$B$4:$B$503,_calc!$E$191))=0,"",INDEX('Checks'!$B$4:$B$503,_calc!$E$191))&amp;". ")&amp;IF(LEN(IF(LEN(INDEX('Checks'!$D$4:$D$503,_calc!$E$191))=0,"",INDEX('Checks'!$D$4:$D$503,_calc!$E$191)))=0,"","Check type: "&amp;IF(LEN(INDEX('Checks'!$D$4:$D$503,_calc!$E$191))=0,"",INDEX('Checks'!$D$4:$D$503,_calc!$E$191))&amp;". ")&amp;IF(LEN(IF(LEN(INDEX('Checks'!$E$4:$E$503,_calc!$E$191))=0,"",INDEX('Checks'!$E$4:$E$503,_calc!$E$191)))=0,"","Evidence: "&amp;IF(LEN(INDEX('Checks'!$E$4:$E$503,_calc!$E$191))=0,"",INDEX('Checks'!$E$4:$E$503,_calc!$E$191))&amp;". ")&amp;IF(LEN(IF(LEN(INDEX('Checks'!$G$4:$G$503,_calc!$E$191))=0,"",INDEX('Checks'!$G$4:$G$503,_calc!$E$191)))=0,"","Checked by: "&amp;IF(LEN(INDEX('Checks'!$G$4:$G$503,_calc!$E$191))=0,"",INDEX('Checks'!$G$4:$G$503,_calc!$E$191))&amp;". ")&amp;IF(LEN(IF(LEN(INDEX('Checks'!$Q$4:$Q$503,_calc!$E$191))=0,"",INDEX('Checks'!$Q$4:$Q$503,_calc!$E$191)))=0,"",IF(LEN(INDEX('Checks'!$Q$4:$Q$503,_calc!$E$191))=0,"",INDEX('Checks'!$Q$4:$Q$503,_calc!$E$191)))))</f>
        <v/>
      </c>
      <c r="G189" s="43">
        <f>IF(_calc!$E$191="","",IF(LEN(INDEX('Checks'!$P$4:$P$503,_calc!$E$191))=0,"",INDEX('Checks'!$P$4:$P$503,_calc!$E$191)))</f>
        <v/>
      </c>
      <c r="K189" s="43">
        <f>IF(_calc!$E$191="","",IF(LEN(INDEX('Checks'!$O$4:$O$503,_calc!$E$191))=0,"",INDEX('Checks'!$O$4:$O$503,_calc!$E$191)))</f>
        <v/>
      </c>
    </row>
    <row r="190">
      <c r="A190" s="43">
        <f>IF(_calc!$E$192="","","Right to work follow-up – "&amp;IF(LEN(INDEX('Checks'!$A$4:$A$503,_calc!$E$192))=0,"",INDEX('Checks'!$A$4:$A$503,_calc!$E$192)))</f>
        <v/>
      </c>
      <c r="B190" s="43">
        <f>IF(_calc!$E$192="","",IF(ISNUMBER(INDEX('Checks'!$H$4:$H$503,_calc!$E$192)),TEXT(INDEX('Checks'!$H$4:$H$503,_calc!$E$192),"yyyy-mm-dd"),""))</f>
        <v/>
      </c>
      <c r="C190" s="43">
        <f>IF(_calc!$E$192="","","Right to work")</f>
        <v/>
      </c>
      <c r="D190" s="43">
        <f>IF(_calc!$E$192="","",IF(ISNUMBER(INDEX('Checks'!$F$4:$F$503,_calc!$E$192)),TEXT(INDEX('Checks'!$F$4:$F$503,_calc!$E$192),"yyyy-mm-dd"),""))</f>
        <v/>
      </c>
      <c r="E190" s="43">
        <f>IF(_calc!$E$192="","","High")</f>
        <v/>
      </c>
      <c r="F190" s="43">
        <f>IF(_calc!$E$192="","",TRIM(IF(LEN(IF(LEN(INDEX('Checks'!$B$4:$B$503,_calc!$E$192))=0,"",INDEX('Checks'!$B$4:$B$503,_calc!$E$192)))=0,"","Role: "&amp;IF(LEN(INDEX('Checks'!$B$4:$B$503,_calc!$E$192))=0,"",INDEX('Checks'!$B$4:$B$503,_calc!$E$192))&amp;". ")&amp;IF(LEN(IF(LEN(INDEX('Checks'!$D$4:$D$503,_calc!$E$192))=0,"",INDEX('Checks'!$D$4:$D$503,_calc!$E$192)))=0,"","Check type: "&amp;IF(LEN(INDEX('Checks'!$D$4:$D$503,_calc!$E$192))=0,"",INDEX('Checks'!$D$4:$D$503,_calc!$E$192))&amp;". ")&amp;IF(LEN(IF(LEN(INDEX('Checks'!$E$4:$E$503,_calc!$E$192))=0,"",INDEX('Checks'!$E$4:$E$503,_calc!$E$192)))=0,"","Evidence: "&amp;IF(LEN(INDEX('Checks'!$E$4:$E$503,_calc!$E$192))=0,"",INDEX('Checks'!$E$4:$E$503,_calc!$E$192))&amp;". ")&amp;IF(LEN(IF(LEN(INDEX('Checks'!$G$4:$G$503,_calc!$E$192))=0,"",INDEX('Checks'!$G$4:$G$503,_calc!$E$192)))=0,"","Checked by: "&amp;IF(LEN(INDEX('Checks'!$G$4:$G$503,_calc!$E$192))=0,"",INDEX('Checks'!$G$4:$G$503,_calc!$E$192))&amp;". ")&amp;IF(LEN(IF(LEN(INDEX('Checks'!$Q$4:$Q$503,_calc!$E$192))=0,"",INDEX('Checks'!$Q$4:$Q$503,_calc!$E$192)))=0,"",IF(LEN(INDEX('Checks'!$Q$4:$Q$503,_calc!$E$192))=0,"",INDEX('Checks'!$Q$4:$Q$503,_calc!$E$192)))))</f>
        <v/>
      </c>
      <c r="G190" s="43">
        <f>IF(_calc!$E$192="","",IF(LEN(INDEX('Checks'!$P$4:$P$503,_calc!$E$192))=0,"",INDEX('Checks'!$P$4:$P$503,_calc!$E$192)))</f>
        <v/>
      </c>
      <c r="K190" s="43">
        <f>IF(_calc!$E$192="","",IF(LEN(INDEX('Checks'!$O$4:$O$503,_calc!$E$192))=0,"",INDEX('Checks'!$O$4:$O$503,_calc!$E$192)))</f>
        <v/>
      </c>
    </row>
    <row r="191">
      <c r="A191" s="43">
        <f>IF(_calc!$E$193="","","Right to work follow-up – "&amp;IF(LEN(INDEX('Checks'!$A$4:$A$503,_calc!$E$193))=0,"",INDEX('Checks'!$A$4:$A$503,_calc!$E$193)))</f>
        <v/>
      </c>
      <c r="B191" s="43">
        <f>IF(_calc!$E$193="","",IF(ISNUMBER(INDEX('Checks'!$H$4:$H$503,_calc!$E$193)),TEXT(INDEX('Checks'!$H$4:$H$503,_calc!$E$193),"yyyy-mm-dd"),""))</f>
        <v/>
      </c>
      <c r="C191" s="43">
        <f>IF(_calc!$E$193="","","Right to work")</f>
        <v/>
      </c>
      <c r="D191" s="43">
        <f>IF(_calc!$E$193="","",IF(ISNUMBER(INDEX('Checks'!$F$4:$F$503,_calc!$E$193)),TEXT(INDEX('Checks'!$F$4:$F$503,_calc!$E$193),"yyyy-mm-dd"),""))</f>
        <v/>
      </c>
      <c r="E191" s="43">
        <f>IF(_calc!$E$193="","","High")</f>
        <v/>
      </c>
      <c r="F191" s="43">
        <f>IF(_calc!$E$193="","",TRIM(IF(LEN(IF(LEN(INDEX('Checks'!$B$4:$B$503,_calc!$E$193))=0,"",INDEX('Checks'!$B$4:$B$503,_calc!$E$193)))=0,"","Role: "&amp;IF(LEN(INDEX('Checks'!$B$4:$B$503,_calc!$E$193))=0,"",INDEX('Checks'!$B$4:$B$503,_calc!$E$193))&amp;". ")&amp;IF(LEN(IF(LEN(INDEX('Checks'!$D$4:$D$503,_calc!$E$193))=0,"",INDEX('Checks'!$D$4:$D$503,_calc!$E$193)))=0,"","Check type: "&amp;IF(LEN(INDEX('Checks'!$D$4:$D$503,_calc!$E$193))=0,"",INDEX('Checks'!$D$4:$D$503,_calc!$E$193))&amp;". ")&amp;IF(LEN(IF(LEN(INDEX('Checks'!$E$4:$E$503,_calc!$E$193))=0,"",INDEX('Checks'!$E$4:$E$503,_calc!$E$193)))=0,"","Evidence: "&amp;IF(LEN(INDEX('Checks'!$E$4:$E$503,_calc!$E$193))=0,"",INDEX('Checks'!$E$4:$E$503,_calc!$E$193))&amp;". ")&amp;IF(LEN(IF(LEN(INDEX('Checks'!$G$4:$G$503,_calc!$E$193))=0,"",INDEX('Checks'!$G$4:$G$503,_calc!$E$193)))=0,"","Checked by: "&amp;IF(LEN(INDEX('Checks'!$G$4:$G$503,_calc!$E$193))=0,"",INDEX('Checks'!$G$4:$G$503,_calc!$E$193))&amp;". ")&amp;IF(LEN(IF(LEN(INDEX('Checks'!$Q$4:$Q$503,_calc!$E$193))=0,"",INDEX('Checks'!$Q$4:$Q$503,_calc!$E$193)))=0,"",IF(LEN(INDEX('Checks'!$Q$4:$Q$503,_calc!$E$193))=0,"",INDEX('Checks'!$Q$4:$Q$503,_calc!$E$193)))))</f>
        <v/>
      </c>
      <c r="G191" s="43">
        <f>IF(_calc!$E$193="","",IF(LEN(INDEX('Checks'!$P$4:$P$503,_calc!$E$193))=0,"",INDEX('Checks'!$P$4:$P$503,_calc!$E$193)))</f>
        <v/>
      </c>
      <c r="K191" s="43">
        <f>IF(_calc!$E$193="","",IF(LEN(INDEX('Checks'!$O$4:$O$503,_calc!$E$193))=0,"",INDEX('Checks'!$O$4:$O$503,_calc!$E$193)))</f>
        <v/>
      </c>
    </row>
    <row r="192">
      <c r="A192" s="43">
        <f>IF(_calc!$E$194="","","Right to work follow-up – "&amp;IF(LEN(INDEX('Checks'!$A$4:$A$503,_calc!$E$194))=0,"",INDEX('Checks'!$A$4:$A$503,_calc!$E$194)))</f>
        <v/>
      </c>
      <c r="B192" s="43">
        <f>IF(_calc!$E$194="","",IF(ISNUMBER(INDEX('Checks'!$H$4:$H$503,_calc!$E$194)),TEXT(INDEX('Checks'!$H$4:$H$503,_calc!$E$194),"yyyy-mm-dd"),""))</f>
        <v/>
      </c>
      <c r="C192" s="43">
        <f>IF(_calc!$E$194="","","Right to work")</f>
        <v/>
      </c>
      <c r="D192" s="43">
        <f>IF(_calc!$E$194="","",IF(ISNUMBER(INDEX('Checks'!$F$4:$F$503,_calc!$E$194)),TEXT(INDEX('Checks'!$F$4:$F$503,_calc!$E$194),"yyyy-mm-dd"),""))</f>
        <v/>
      </c>
      <c r="E192" s="43">
        <f>IF(_calc!$E$194="","","High")</f>
        <v/>
      </c>
      <c r="F192" s="43">
        <f>IF(_calc!$E$194="","",TRIM(IF(LEN(IF(LEN(INDEX('Checks'!$B$4:$B$503,_calc!$E$194))=0,"",INDEX('Checks'!$B$4:$B$503,_calc!$E$194)))=0,"","Role: "&amp;IF(LEN(INDEX('Checks'!$B$4:$B$503,_calc!$E$194))=0,"",INDEX('Checks'!$B$4:$B$503,_calc!$E$194))&amp;". ")&amp;IF(LEN(IF(LEN(INDEX('Checks'!$D$4:$D$503,_calc!$E$194))=0,"",INDEX('Checks'!$D$4:$D$503,_calc!$E$194)))=0,"","Check type: "&amp;IF(LEN(INDEX('Checks'!$D$4:$D$503,_calc!$E$194))=0,"",INDEX('Checks'!$D$4:$D$503,_calc!$E$194))&amp;". ")&amp;IF(LEN(IF(LEN(INDEX('Checks'!$E$4:$E$503,_calc!$E$194))=0,"",INDEX('Checks'!$E$4:$E$503,_calc!$E$194)))=0,"","Evidence: "&amp;IF(LEN(INDEX('Checks'!$E$4:$E$503,_calc!$E$194))=0,"",INDEX('Checks'!$E$4:$E$503,_calc!$E$194))&amp;". ")&amp;IF(LEN(IF(LEN(INDEX('Checks'!$G$4:$G$503,_calc!$E$194))=0,"",INDEX('Checks'!$G$4:$G$503,_calc!$E$194)))=0,"","Checked by: "&amp;IF(LEN(INDEX('Checks'!$G$4:$G$503,_calc!$E$194))=0,"",INDEX('Checks'!$G$4:$G$503,_calc!$E$194))&amp;". ")&amp;IF(LEN(IF(LEN(INDEX('Checks'!$Q$4:$Q$503,_calc!$E$194))=0,"",INDEX('Checks'!$Q$4:$Q$503,_calc!$E$194)))=0,"",IF(LEN(INDEX('Checks'!$Q$4:$Q$503,_calc!$E$194))=0,"",INDEX('Checks'!$Q$4:$Q$503,_calc!$E$194)))))</f>
        <v/>
      </c>
      <c r="G192" s="43">
        <f>IF(_calc!$E$194="","",IF(LEN(INDEX('Checks'!$P$4:$P$503,_calc!$E$194))=0,"",INDEX('Checks'!$P$4:$P$503,_calc!$E$194)))</f>
        <v/>
      </c>
      <c r="K192" s="43">
        <f>IF(_calc!$E$194="","",IF(LEN(INDEX('Checks'!$O$4:$O$503,_calc!$E$194))=0,"",INDEX('Checks'!$O$4:$O$503,_calc!$E$194)))</f>
        <v/>
      </c>
    </row>
    <row r="193">
      <c r="A193" s="43">
        <f>IF(_calc!$E$195="","","Right to work follow-up – "&amp;IF(LEN(INDEX('Checks'!$A$4:$A$503,_calc!$E$195))=0,"",INDEX('Checks'!$A$4:$A$503,_calc!$E$195)))</f>
        <v/>
      </c>
      <c r="B193" s="43">
        <f>IF(_calc!$E$195="","",IF(ISNUMBER(INDEX('Checks'!$H$4:$H$503,_calc!$E$195)),TEXT(INDEX('Checks'!$H$4:$H$503,_calc!$E$195),"yyyy-mm-dd"),""))</f>
        <v/>
      </c>
      <c r="C193" s="43">
        <f>IF(_calc!$E$195="","","Right to work")</f>
        <v/>
      </c>
      <c r="D193" s="43">
        <f>IF(_calc!$E$195="","",IF(ISNUMBER(INDEX('Checks'!$F$4:$F$503,_calc!$E$195)),TEXT(INDEX('Checks'!$F$4:$F$503,_calc!$E$195),"yyyy-mm-dd"),""))</f>
        <v/>
      </c>
      <c r="E193" s="43">
        <f>IF(_calc!$E$195="","","High")</f>
        <v/>
      </c>
      <c r="F193" s="43">
        <f>IF(_calc!$E$195="","",TRIM(IF(LEN(IF(LEN(INDEX('Checks'!$B$4:$B$503,_calc!$E$195))=0,"",INDEX('Checks'!$B$4:$B$503,_calc!$E$195)))=0,"","Role: "&amp;IF(LEN(INDEX('Checks'!$B$4:$B$503,_calc!$E$195))=0,"",INDEX('Checks'!$B$4:$B$503,_calc!$E$195))&amp;". ")&amp;IF(LEN(IF(LEN(INDEX('Checks'!$D$4:$D$503,_calc!$E$195))=0,"",INDEX('Checks'!$D$4:$D$503,_calc!$E$195)))=0,"","Check type: "&amp;IF(LEN(INDEX('Checks'!$D$4:$D$503,_calc!$E$195))=0,"",INDEX('Checks'!$D$4:$D$503,_calc!$E$195))&amp;". ")&amp;IF(LEN(IF(LEN(INDEX('Checks'!$E$4:$E$503,_calc!$E$195))=0,"",INDEX('Checks'!$E$4:$E$503,_calc!$E$195)))=0,"","Evidence: "&amp;IF(LEN(INDEX('Checks'!$E$4:$E$503,_calc!$E$195))=0,"",INDEX('Checks'!$E$4:$E$503,_calc!$E$195))&amp;". ")&amp;IF(LEN(IF(LEN(INDEX('Checks'!$G$4:$G$503,_calc!$E$195))=0,"",INDEX('Checks'!$G$4:$G$503,_calc!$E$195)))=0,"","Checked by: "&amp;IF(LEN(INDEX('Checks'!$G$4:$G$503,_calc!$E$195))=0,"",INDEX('Checks'!$G$4:$G$503,_calc!$E$195))&amp;". ")&amp;IF(LEN(IF(LEN(INDEX('Checks'!$Q$4:$Q$503,_calc!$E$195))=0,"",INDEX('Checks'!$Q$4:$Q$503,_calc!$E$195)))=0,"",IF(LEN(INDEX('Checks'!$Q$4:$Q$503,_calc!$E$195))=0,"",INDEX('Checks'!$Q$4:$Q$503,_calc!$E$195)))))</f>
        <v/>
      </c>
      <c r="G193" s="43">
        <f>IF(_calc!$E$195="","",IF(LEN(INDEX('Checks'!$P$4:$P$503,_calc!$E$195))=0,"",INDEX('Checks'!$P$4:$P$503,_calc!$E$195)))</f>
        <v/>
      </c>
      <c r="K193" s="43">
        <f>IF(_calc!$E$195="","",IF(LEN(INDEX('Checks'!$O$4:$O$503,_calc!$E$195))=0,"",INDEX('Checks'!$O$4:$O$503,_calc!$E$195)))</f>
        <v/>
      </c>
    </row>
    <row r="194">
      <c r="A194" s="43">
        <f>IF(_calc!$E$196="","","Right to work follow-up – "&amp;IF(LEN(INDEX('Checks'!$A$4:$A$503,_calc!$E$196))=0,"",INDEX('Checks'!$A$4:$A$503,_calc!$E$196)))</f>
        <v/>
      </c>
      <c r="B194" s="43">
        <f>IF(_calc!$E$196="","",IF(ISNUMBER(INDEX('Checks'!$H$4:$H$503,_calc!$E$196)),TEXT(INDEX('Checks'!$H$4:$H$503,_calc!$E$196),"yyyy-mm-dd"),""))</f>
        <v/>
      </c>
      <c r="C194" s="43">
        <f>IF(_calc!$E$196="","","Right to work")</f>
        <v/>
      </c>
      <c r="D194" s="43">
        <f>IF(_calc!$E$196="","",IF(ISNUMBER(INDEX('Checks'!$F$4:$F$503,_calc!$E$196)),TEXT(INDEX('Checks'!$F$4:$F$503,_calc!$E$196),"yyyy-mm-dd"),""))</f>
        <v/>
      </c>
      <c r="E194" s="43">
        <f>IF(_calc!$E$196="","","High")</f>
        <v/>
      </c>
      <c r="F194" s="43">
        <f>IF(_calc!$E$196="","",TRIM(IF(LEN(IF(LEN(INDEX('Checks'!$B$4:$B$503,_calc!$E$196))=0,"",INDEX('Checks'!$B$4:$B$503,_calc!$E$196)))=0,"","Role: "&amp;IF(LEN(INDEX('Checks'!$B$4:$B$503,_calc!$E$196))=0,"",INDEX('Checks'!$B$4:$B$503,_calc!$E$196))&amp;". ")&amp;IF(LEN(IF(LEN(INDEX('Checks'!$D$4:$D$503,_calc!$E$196))=0,"",INDEX('Checks'!$D$4:$D$503,_calc!$E$196)))=0,"","Check type: "&amp;IF(LEN(INDEX('Checks'!$D$4:$D$503,_calc!$E$196))=0,"",INDEX('Checks'!$D$4:$D$503,_calc!$E$196))&amp;". ")&amp;IF(LEN(IF(LEN(INDEX('Checks'!$E$4:$E$503,_calc!$E$196))=0,"",INDEX('Checks'!$E$4:$E$503,_calc!$E$196)))=0,"","Evidence: "&amp;IF(LEN(INDEX('Checks'!$E$4:$E$503,_calc!$E$196))=0,"",INDEX('Checks'!$E$4:$E$503,_calc!$E$196))&amp;". ")&amp;IF(LEN(IF(LEN(INDEX('Checks'!$G$4:$G$503,_calc!$E$196))=0,"",INDEX('Checks'!$G$4:$G$503,_calc!$E$196)))=0,"","Checked by: "&amp;IF(LEN(INDEX('Checks'!$G$4:$G$503,_calc!$E$196))=0,"",INDEX('Checks'!$G$4:$G$503,_calc!$E$196))&amp;". ")&amp;IF(LEN(IF(LEN(INDEX('Checks'!$Q$4:$Q$503,_calc!$E$196))=0,"",INDEX('Checks'!$Q$4:$Q$503,_calc!$E$196)))=0,"",IF(LEN(INDEX('Checks'!$Q$4:$Q$503,_calc!$E$196))=0,"",INDEX('Checks'!$Q$4:$Q$503,_calc!$E$196)))))</f>
        <v/>
      </c>
      <c r="G194" s="43">
        <f>IF(_calc!$E$196="","",IF(LEN(INDEX('Checks'!$P$4:$P$503,_calc!$E$196))=0,"",INDEX('Checks'!$P$4:$P$503,_calc!$E$196)))</f>
        <v/>
      </c>
      <c r="K194" s="43">
        <f>IF(_calc!$E$196="","",IF(LEN(INDEX('Checks'!$O$4:$O$503,_calc!$E$196))=0,"",INDEX('Checks'!$O$4:$O$503,_calc!$E$196)))</f>
        <v/>
      </c>
    </row>
    <row r="195">
      <c r="A195" s="43">
        <f>IF(_calc!$E$197="","","Right to work follow-up – "&amp;IF(LEN(INDEX('Checks'!$A$4:$A$503,_calc!$E$197))=0,"",INDEX('Checks'!$A$4:$A$503,_calc!$E$197)))</f>
        <v/>
      </c>
      <c r="B195" s="43">
        <f>IF(_calc!$E$197="","",IF(ISNUMBER(INDEX('Checks'!$H$4:$H$503,_calc!$E$197)),TEXT(INDEX('Checks'!$H$4:$H$503,_calc!$E$197),"yyyy-mm-dd"),""))</f>
        <v/>
      </c>
      <c r="C195" s="43">
        <f>IF(_calc!$E$197="","","Right to work")</f>
        <v/>
      </c>
      <c r="D195" s="43">
        <f>IF(_calc!$E$197="","",IF(ISNUMBER(INDEX('Checks'!$F$4:$F$503,_calc!$E$197)),TEXT(INDEX('Checks'!$F$4:$F$503,_calc!$E$197),"yyyy-mm-dd"),""))</f>
        <v/>
      </c>
      <c r="E195" s="43">
        <f>IF(_calc!$E$197="","","High")</f>
        <v/>
      </c>
      <c r="F195" s="43">
        <f>IF(_calc!$E$197="","",TRIM(IF(LEN(IF(LEN(INDEX('Checks'!$B$4:$B$503,_calc!$E$197))=0,"",INDEX('Checks'!$B$4:$B$503,_calc!$E$197)))=0,"","Role: "&amp;IF(LEN(INDEX('Checks'!$B$4:$B$503,_calc!$E$197))=0,"",INDEX('Checks'!$B$4:$B$503,_calc!$E$197))&amp;". ")&amp;IF(LEN(IF(LEN(INDEX('Checks'!$D$4:$D$503,_calc!$E$197))=0,"",INDEX('Checks'!$D$4:$D$503,_calc!$E$197)))=0,"","Check type: "&amp;IF(LEN(INDEX('Checks'!$D$4:$D$503,_calc!$E$197))=0,"",INDEX('Checks'!$D$4:$D$503,_calc!$E$197))&amp;". ")&amp;IF(LEN(IF(LEN(INDEX('Checks'!$E$4:$E$503,_calc!$E$197))=0,"",INDEX('Checks'!$E$4:$E$503,_calc!$E$197)))=0,"","Evidence: "&amp;IF(LEN(INDEX('Checks'!$E$4:$E$503,_calc!$E$197))=0,"",INDEX('Checks'!$E$4:$E$503,_calc!$E$197))&amp;". ")&amp;IF(LEN(IF(LEN(INDEX('Checks'!$G$4:$G$503,_calc!$E$197))=0,"",INDEX('Checks'!$G$4:$G$503,_calc!$E$197)))=0,"","Checked by: "&amp;IF(LEN(INDEX('Checks'!$G$4:$G$503,_calc!$E$197))=0,"",INDEX('Checks'!$G$4:$G$503,_calc!$E$197))&amp;". ")&amp;IF(LEN(IF(LEN(INDEX('Checks'!$Q$4:$Q$503,_calc!$E$197))=0,"",INDEX('Checks'!$Q$4:$Q$503,_calc!$E$197)))=0,"",IF(LEN(INDEX('Checks'!$Q$4:$Q$503,_calc!$E$197))=0,"",INDEX('Checks'!$Q$4:$Q$503,_calc!$E$197)))))</f>
        <v/>
      </c>
      <c r="G195" s="43">
        <f>IF(_calc!$E$197="","",IF(LEN(INDEX('Checks'!$P$4:$P$503,_calc!$E$197))=0,"",INDEX('Checks'!$P$4:$P$503,_calc!$E$197)))</f>
        <v/>
      </c>
      <c r="K195" s="43">
        <f>IF(_calc!$E$197="","",IF(LEN(INDEX('Checks'!$O$4:$O$503,_calc!$E$197))=0,"",INDEX('Checks'!$O$4:$O$503,_calc!$E$197)))</f>
        <v/>
      </c>
    </row>
    <row r="196">
      <c r="A196" s="43">
        <f>IF(_calc!$E$198="","","Right to work follow-up – "&amp;IF(LEN(INDEX('Checks'!$A$4:$A$503,_calc!$E$198))=0,"",INDEX('Checks'!$A$4:$A$503,_calc!$E$198)))</f>
        <v/>
      </c>
      <c r="B196" s="43">
        <f>IF(_calc!$E$198="","",IF(ISNUMBER(INDEX('Checks'!$H$4:$H$503,_calc!$E$198)),TEXT(INDEX('Checks'!$H$4:$H$503,_calc!$E$198),"yyyy-mm-dd"),""))</f>
        <v/>
      </c>
      <c r="C196" s="43">
        <f>IF(_calc!$E$198="","","Right to work")</f>
        <v/>
      </c>
      <c r="D196" s="43">
        <f>IF(_calc!$E$198="","",IF(ISNUMBER(INDEX('Checks'!$F$4:$F$503,_calc!$E$198)),TEXT(INDEX('Checks'!$F$4:$F$503,_calc!$E$198),"yyyy-mm-dd"),""))</f>
        <v/>
      </c>
      <c r="E196" s="43">
        <f>IF(_calc!$E$198="","","High")</f>
        <v/>
      </c>
      <c r="F196" s="43">
        <f>IF(_calc!$E$198="","",TRIM(IF(LEN(IF(LEN(INDEX('Checks'!$B$4:$B$503,_calc!$E$198))=0,"",INDEX('Checks'!$B$4:$B$503,_calc!$E$198)))=0,"","Role: "&amp;IF(LEN(INDEX('Checks'!$B$4:$B$503,_calc!$E$198))=0,"",INDEX('Checks'!$B$4:$B$503,_calc!$E$198))&amp;". ")&amp;IF(LEN(IF(LEN(INDEX('Checks'!$D$4:$D$503,_calc!$E$198))=0,"",INDEX('Checks'!$D$4:$D$503,_calc!$E$198)))=0,"","Check type: "&amp;IF(LEN(INDEX('Checks'!$D$4:$D$503,_calc!$E$198))=0,"",INDEX('Checks'!$D$4:$D$503,_calc!$E$198))&amp;". ")&amp;IF(LEN(IF(LEN(INDEX('Checks'!$E$4:$E$503,_calc!$E$198))=0,"",INDEX('Checks'!$E$4:$E$503,_calc!$E$198)))=0,"","Evidence: "&amp;IF(LEN(INDEX('Checks'!$E$4:$E$503,_calc!$E$198))=0,"",INDEX('Checks'!$E$4:$E$503,_calc!$E$198))&amp;". ")&amp;IF(LEN(IF(LEN(INDEX('Checks'!$G$4:$G$503,_calc!$E$198))=0,"",INDEX('Checks'!$G$4:$G$503,_calc!$E$198)))=0,"","Checked by: "&amp;IF(LEN(INDEX('Checks'!$G$4:$G$503,_calc!$E$198))=0,"",INDEX('Checks'!$G$4:$G$503,_calc!$E$198))&amp;". ")&amp;IF(LEN(IF(LEN(INDEX('Checks'!$Q$4:$Q$503,_calc!$E$198))=0,"",INDEX('Checks'!$Q$4:$Q$503,_calc!$E$198)))=0,"",IF(LEN(INDEX('Checks'!$Q$4:$Q$503,_calc!$E$198))=0,"",INDEX('Checks'!$Q$4:$Q$503,_calc!$E$198)))))</f>
        <v/>
      </c>
      <c r="G196" s="43">
        <f>IF(_calc!$E$198="","",IF(LEN(INDEX('Checks'!$P$4:$P$503,_calc!$E$198))=0,"",INDEX('Checks'!$P$4:$P$503,_calc!$E$198)))</f>
        <v/>
      </c>
      <c r="K196" s="43">
        <f>IF(_calc!$E$198="","",IF(LEN(INDEX('Checks'!$O$4:$O$503,_calc!$E$198))=0,"",INDEX('Checks'!$O$4:$O$503,_calc!$E$198)))</f>
        <v/>
      </c>
    </row>
    <row r="197">
      <c r="A197" s="43">
        <f>IF(_calc!$E$199="","","Right to work follow-up – "&amp;IF(LEN(INDEX('Checks'!$A$4:$A$503,_calc!$E$199))=0,"",INDEX('Checks'!$A$4:$A$503,_calc!$E$199)))</f>
        <v/>
      </c>
      <c r="B197" s="43">
        <f>IF(_calc!$E$199="","",IF(ISNUMBER(INDEX('Checks'!$H$4:$H$503,_calc!$E$199)),TEXT(INDEX('Checks'!$H$4:$H$503,_calc!$E$199),"yyyy-mm-dd"),""))</f>
        <v/>
      </c>
      <c r="C197" s="43">
        <f>IF(_calc!$E$199="","","Right to work")</f>
        <v/>
      </c>
      <c r="D197" s="43">
        <f>IF(_calc!$E$199="","",IF(ISNUMBER(INDEX('Checks'!$F$4:$F$503,_calc!$E$199)),TEXT(INDEX('Checks'!$F$4:$F$503,_calc!$E$199),"yyyy-mm-dd"),""))</f>
        <v/>
      </c>
      <c r="E197" s="43">
        <f>IF(_calc!$E$199="","","High")</f>
        <v/>
      </c>
      <c r="F197" s="43">
        <f>IF(_calc!$E$199="","",TRIM(IF(LEN(IF(LEN(INDEX('Checks'!$B$4:$B$503,_calc!$E$199))=0,"",INDEX('Checks'!$B$4:$B$503,_calc!$E$199)))=0,"","Role: "&amp;IF(LEN(INDEX('Checks'!$B$4:$B$503,_calc!$E$199))=0,"",INDEX('Checks'!$B$4:$B$503,_calc!$E$199))&amp;". ")&amp;IF(LEN(IF(LEN(INDEX('Checks'!$D$4:$D$503,_calc!$E$199))=0,"",INDEX('Checks'!$D$4:$D$503,_calc!$E$199)))=0,"","Check type: "&amp;IF(LEN(INDEX('Checks'!$D$4:$D$503,_calc!$E$199))=0,"",INDEX('Checks'!$D$4:$D$503,_calc!$E$199))&amp;". ")&amp;IF(LEN(IF(LEN(INDEX('Checks'!$E$4:$E$503,_calc!$E$199))=0,"",INDEX('Checks'!$E$4:$E$503,_calc!$E$199)))=0,"","Evidence: "&amp;IF(LEN(INDEX('Checks'!$E$4:$E$503,_calc!$E$199))=0,"",INDEX('Checks'!$E$4:$E$503,_calc!$E$199))&amp;". ")&amp;IF(LEN(IF(LEN(INDEX('Checks'!$G$4:$G$503,_calc!$E$199))=0,"",INDEX('Checks'!$G$4:$G$503,_calc!$E$199)))=0,"","Checked by: "&amp;IF(LEN(INDEX('Checks'!$G$4:$G$503,_calc!$E$199))=0,"",INDEX('Checks'!$G$4:$G$503,_calc!$E$199))&amp;". ")&amp;IF(LEN(IF(LEN(INDEX('Checks'!$Q$4:$Q$503,_calc!$E$199))=0,"",INDEX('Checks'!$Q$4:$Q$503,_calc!$E$199)))=0,"",IF(LEN(INDEX('Checks'!$Q$4:$Q$503,_calc!$E$199))=0,"",INDEX('Checks'!$Q$4:$Q$503,_calc!$E$199)))))</f>
        <v/>
      </c>
      <c r="G197" s="43">
        <f>IF(_calc!$E$199="","",IF(LEN(INDEX('Checks'!$P$4:$P$503,_calc!$E$199))=0,"",INDEX('Checks'!$P$4:$P$503,_calc!$E$199)))</f>
        <v/>
      </c>
      <c r="K197" s="43">
        <f>IF(_calc!$E$199="","",IF(LEN(INDEX('Checks'!$O$4:$O$503,_calc!$E$199))=0,"",INDEX('Checks'!$O$4:$O$503,_calc!$E$199)))</f>
        <v/>
      </c>
    </row>
    <row r="198">
      <c r="A198" s="43">
        <f>IF(_calc!$E$200="","","Right to work follow-up – "&amp;IF(LEN(INDEX('Checks'!$A$4:$A$503,_calc!$E$200))=0,"",INDEX('Checks'!$A$4:$A$503,_calc!$E$200)))</f>
        <v/>
      </c>
      <c r="B198" s="43">
        <f>IF(_calc!$E$200="","",IF(ISNUMBER(INDEX('Checks'!$H$4:$H$503,_calc!$E$200)),TEXT(INDEX('Checks'!$H$4:$H$503,_calc!$E$200),"yyyy-mm-dd"),""))</f>
        <v/>
      </c>
      <c r="C198" s="43">
        <f>IF(_calc!$E$200="","","Right to work")</f>
        <v/>
      </c>
      <c r="D198" s="43">
        <f>IF(_calc!$E$200="","",IF(ISNUMBER(INDEX('Checks'!$F$4:$F$503,_calc!$E$200)),TEXT(INDEX('Checks'!$F$4:$F$503,_calc!$E$200),"yyyy-mm-dd"),""))</f>
        <v/>
      </c>
      <c r="E198" s="43">
        <f>IF(_calc!$E$200="","","High")</f>
        <v/>
      </c>
      <c r="F198" s="43">
        <f>IF(_calc!$E$200="","",TRIM(IF(LEN(IF(LEN(INDEX('Checks'!$B$4:$B$503,_calc!$E$200))=0,"",INDEX('Checks'!$B$4:$B$503,_calc!$E$200)))=0,"","Role: "&amp;IF(LEN(INDEX('Checks'!$B$4:$B$503,_calc!$E$200))=0,"",INDEX('Checks'!$B$4:$B$503,_calc!$E$200))&amp;". ")&amp;IF(LEN(IF(LEN(INDEX('Checks'!$D$4:$D$503,_calc!$E$200))=0,"",INDEX('Checks'!$D$4:$D$503,_calc!$E$200)))=0,"","Check type: "&amp;IF(LEN(INDEX('Checks'!$D$4:$D$503,_calc!$E$200))=0,"",INDEX('Checks'!$D$4:$D$503,_calc!$E$200))&amp;". ")&amp;IF(LEN(IF(LEN(INDEX('Checks'!$E$4:$E$503,_calc!$E$200))=0,"",INDEX('Checks'!$E$4:$E$503,_calc!$E$200)))=0,"","Evidence: "&amp;IF(LEN(INDEX('Checks'!$E$4:$E$503,_calc!$E$200))=0,"",INDEX('Checks'!$E$4:$E$503,_calc!$E$200))&amp;". ")&amp;IF(LEN(IF(LEN(INDEX('Checks'!$G$4:$G$503,_calc!$E$200))=0,"",INDEX('Checks'!$G$4:$G$503,_calc!$E$200)))=0,"","Checked by: "&amp;IF(LEN(INDEX('Checks'!$G$4:$G$503,_calc!$E$200))=0,"",INDEX('Checks'!$G$4:$G$503,_calc!$E$200))&amp;". ")&amp;IF(LEN(IF(LEN(INDEX('Checks'!$Q$4:$Q$503,_calc!$E$200))=0,"",INDEX('Checks'!$Q$4:$Q$503,_calc!$E$200)))=0,"",IF(LEN(INDEX('Checks'!$Q$4:$Q$503,_calc!$E$200))=0,"",INDEX('Checks'!$Q$4:$Q$503,_calc!$E$200)))))</f>
        <v/>
      </c>
      <c r="G198" s="43">
        <f>IF(_calc!$E$200="","",IF(LEN(INDEX('Checks'!$P$4:$P$503,_calc!$E$200))=0,"",INDEX('Checks'!$P$4:$P$503,_calc!$E$200)))</f>
        <v/>
      </c>
      <c r="K198" s="43">
        <f>IF(_calc!$E$200="","",IF(LEN(INDEX('Checks'!$O$4:$O$503,_calc!$E$200))=0,"",INDEX('Checks'!$O$4:$O$503,_calc!$E$200)))</f>
        <v/>
      </c>
    </row>
    <row r="199">
      <c r="A199" s="43">
        <f>IF(_calc!$E$201="","","Right to work follow-up – "&amp;IF(LEN(INDEX('Checks'!$A$4:$A$503,_calc!$E$201))=0,"",INDEX('Checks'!$A$4:$A$503,_calc!$E$201)))</f>
        <v/>
      </c>
      <c r="B199" s="43">
        <f>IF(_calc!$E$201="","",IF(ISNUMBER(INDEX('Checks'!$H$4:$H$503,_calc!$E$201)),TEXT(INDEX('Checks'!$H$4:$H$503,_calc!$E$201),"yyyy-mm-dd"),""))</f>
        <v/>
      </c>
      <c r="C199" s="43">
        <f>IF(_calc!$E$201="","","Right to work")</f>
        <v/>
      </c>
      <c r="D199" s="43">
        <f>IF(_calc!$E$201="","",IF(ISNUMBER(INDEX('Checks'!$F$4:$F$503,_calc!$E$201)),TEXT(INDEX('Checks'!$F$4:$F$503,_calc!$E$201),"yyyy-mm-dd"),""))</f>
        <v/>
      </c>
      <c r="E199" s="43">
        <f>IF(_calc!$E$201="","","High")</f>
        <v/>
      </c>
      <c r="F199" s="43">
        <f>IF(_calc!$E$201="","",TRIM(IF(LEN(IF(LEN(INDEX('Checks'!$B$4:$B$503,_calc!$E$201))=0,"",INDEX('Checks'!$B$4:$B$503,_calc!$E$201)))=0,"","Role: "&amp;IF(LEN(INDEX('Checks'!$B$4:$B$503,_calc!$E$201))=0,"",INDEX('Checks'!$B$4:$B$503,_calc!$E$201))&amp;". ")&amp;IF(LEN(IF(LEN(INDEX('Checks'!$D$4:$D$503,_calc!$E$201))=0,"",INDEX('Checks'!$D$4:$D$503,_calc!$E$201)))=0,"","Check type: "&amp;IF(LEN(INDEX('Checks'!$D$4:$D$503,_calc!$E$201))=0,"",INDEX('Checks'!$D$4:$D$503,_calc!$E$201))&amp;". ")&amp;IF(LEN(IF(LEN(INDEX('Checks'!$E$4:$E$503,_calc!$E$201))=0,"",INDEX('Checks'!$E$4:$E$503,_calc!$E$201)))=0,"","Evidence: "&amp;IF(LEN(INDEX('Checks'!$E$4:$E$503,_calc!$E$201))=0,"",INDEX('Checks'!$E$4:$E$503,_calc!$E$201))&amp;". ")&amp;IF(LEN(IF(LEN(INDEX('Checks'!$G$4:$G$503,_calc!$E$201))=0,"",INDEX('Checks'!$G$4:$G$503,_calc!$E$201)))=0,"","Checked by: "&amp;IF(LEN(INDEX('Checks'!$G$4:$G$503,_calc!$E$201))=0,"",INDEX('Checks'!$G$4:$G$503,_calc!$E$201))&amp;". ")&amp;IF(LEN(IF(LEN(INDEX('Checks'!$Q$4:$Q$503,_calc!$E$201))=0,"",INDEX('Checks'!$Q$4:$Q$503,_calc!$E$201)))=0,"",IF(LEN(INDEX('Checks'!$Q$4:$Q$503,_calc!$E$201))=0,"",INDEX('Checks'!$Q$4:$Q$503,_calc!$E$201)))))</f>
        <v/>
      </c>
      <c r="G199" s="43">
        <f>IF(_calc!$E$201="","",IF(LEN(INDEX('Checks'!$P$4:$P$503,_calc!$E$201))=0,"",INDEX('Checks'!$P$4:$P$503,_calc!$E$201)))</f>
        <v/>
      </c>
      <c r="K199" s="43">
        <f>IF(_calc!$E$201="","",IF(LEN(INDEX('Checks'!$O$4:$O$503,_calc!$E$201))=0,"",INDEX('Checks'!$O$4:$O$503,_calc!$E$201)))</f>
        <v/>
      </c>
    </row>
    <row r="200">
      <c r="A200" s="43">
        <f>IF(_calc!$E$202="","","Right to work follow-up – "&amp;IF(LEN(INDEX('Checks'!$A$4:$A$503,_calc!$E$202))=0,"",INDEX('Checks'!$A$4:$A$503,_calc!$E$202)))</f>
        <v/>
      </c>
      <c r="B200" s="43">
        <f>IF(_calc!$E$202="","",IF(ISNUMBER(INDEX('Checks'!$H$4:$H$503,_calc!$E$202)),TEXT(INDEX('Checks'!$H$4:$H$503,_calc!$E$202),"yyyy-mm-dd"),""))</f>
        <v/>
      </c>
      <c r="C200" s="43">
        <f>IF(_calc!$E$202="","","Right to work")</f>
        <v/>
      </c>
      <c r="D200" s="43">
        <f>IF(_calc!$E$202="","",IF(ISNUMBER(INDEX('Checks'!$F$4:$F$503,_calc!$E$202)),TEXT(INDEX('Checks'!$F$4:$F$503,_calc!$E$202),"yyyy-mm-dd"),""))</f>
        <v/>
      </c>
      <c r="E200" s="43">
        <f>IF(_calc!$E$202="","","High")</f>
        <v/>
      </c>
      <c r="F200" s="43">
        <f>IF(_calc!$E$202="","",TRIM(IF(LEN(IF(LEN(INDEX('Checks'!$B$4:$B$503,_calc!$E$202))=0,"",INDEX('Checks'!$B$4:$B$503,_calc!$E$202)))=0,"","Role: "&amp;IF(LEN(INDEX('Checks'!$B$4:$B$503,_calc!$E$202))=0,"",INDEX('Checks'!$B$4:$B$503,_calc!$E$202))&amp;". ")&amp;IF(LEN(IF(LEN(INDEX('Checks'!$D$4:$D$503,_calc!$E$202))=0,"",INDEX('Checks'!$D$4:$D$503,_calc!$E$202)))=0,"","Check type: "&amp;IF(LEN(INDEX('Checks'!$D$4:$D$503,_calc!$E$202))=0,"",INDEX('Checks'!$D$4:$D$503,_calc!$E$202))&amp;". ")&amp;IF(LEN(IF(LEN(INDEX('Checks'!$E$4:$E$503,_calc!$E$202))=0,"",INDEX('Checks'!$E$4:$E$503,_calc!$E$202)))=0,"","Evidence: "&amp;IF(LEN(INDEX('Checks'!$E$4:$E$503,_calc!$E$202))=0,"",INDEX('Checks'!$E$4:$E$503,_calc!$E$202))&amp;". ")&amp;IF(LEN(IF(LEN(INDEX('Checks'!$G$4:$G$503,_calc!$E$202))=0,"",INDEX('Checks'!$G$4:$G$503,_calc!$E$202)))=0,"","Checked by: "&amp;IF(LEN(INDEX('Checks'!$G$4:$G$503,_calc!$E$202))=0,"",INDEX('Checks'!$G$4:$G$503,_calc!$E$202))&amp;". ")&amp;IF(LEN(IF(LEN(INDEX('Checks'!$Q$4:$Q$503,_calc!$E$202))=0,"",INDEX('Checks'!$Q$4:$Q$503,_calc!$E$202)))=0,"",IF(LEN(INDEX('Checks'!$Q$4:$Q$503,_calc!$E$202))=0,"",INDEX('Checks'!$Q$4:$Q$503,_calc!$E$202)))))</f>
        <v/>
      </c>
      <c r="G200" s="43">
        <f>IF(_calc!$E$202="","",IF(LEN(INDEX('Checks'!$P$4:$P$503,_calc!$E$202))=0,"",INDEX('Checks'!$P$4:$P$503,_calc!$E$202)))</f>
        <v/>
      </c>
      <c r="K200" s="43">
        <f>IF(_calc!$E$202="","",IF(LEN(INDEX('Checks'!$O$4:$O$503,_calc!$E$202))=0,"",INDEX('Checks'!$O$4:$O$503,_calc!$E$202)))</f>
        <v/>
      </c>
    </row>
    <row r="201">
      <c r="A201" s="43">
        <f>IF(_calc!$E$203="","","Right to work follow-up – "&amp;IF(LEN(INDEX('Checks'!$A$4:$A$503,_calc!$E$203))=0,"",INDEX('Checks'!$A$4:$A$503,_calc!$E$203)))</f>
        <v/>
      </c>
      <c r="B201" s="43">
        <f>IF(_calc!$E$203="","",IF(ISNUMBER(INDEX('Checks'!$H$4:$H$503,_calc!$E$203)),TEXT(INDEX('Checks'!$H$4:$H$503,_calc!$E$203),"yyyy-mm-dd"),""))</f>
        <v/>
      </c>
      <c r="C201" s="43">
        <f>IF(_calc!$E$203="","","Right to work")</f>
        <v/>
      </c>
      <c r="D201" s="43">
        <f>IF(_calc!$E$203="","",IF(ISNUMBER(INDEX('Checks'!$F$4:$F$503,_calc!$E$203)),TEXT(INDEX('Checks'!$F$4:$F$503,_calc!$E$203),"yyyy-mm-dd"),""))</f>
        <v/>
      </c>
      <c r="E201" s="43">
        <f>IF(_calc!$E$203="","","High")</f>
        <v/>
      </c>
      <c r="F201" s="43">
        <f>IF(_calc!$E$203="","",TRIM(IF(LEN(IF(LEN(INDEX('Checks'!$B$4:$B$503,_calc!$E$203))=0,"",INDEX('Checks'!$B$4:$B$503,_calc!$E$203)))=0,"","Role: "&amp;IF(LEN(INDEX('Checks'!$B$4:$B$503,_calc!$E$203))=0,"",INDEX('Checks'!$B$4:$B$503,_calc!$E$203))&amp;". ")&amp;IF(LEN(IF(LEN(INDEX('Checks'!$D$4:$D$503,_calc!$E$203))=0,"",INDEX('Checks'!$D$4:$D$503,_calc!$E$203)))=0,"","Check type: "&amp;IF(LEN(INDEX('Checks'!$D$4:$D$503,_calc!$E$203))=0,"",INDEX('Checks'!$D$4:$D$503,_calc!$E$203))&amp;". ")&amp;IF(LEN(IF(LEN(INDEX('Checks'!$E$4:$E$503,_calc!$E$203))=0,"",INDEX('Checks'!$E$4:$E$503,_calc!$E$203)))=0,"","Evidence: "&amp;IF(LEN(INDEX('Checks'!$E$4:$E$503,_calc!$E$203))=0,"",INDEX('Checks'!$E$4:$E$503,_calc!$E$203))&amp;". ")&amp;IF(LEN(IF(LEN(INDEX('Checks'!$G$4:$G$503,_calc!$E$203))=0,"",INDEX('Checks'!$G$4:$G$503,_calc!$E$203)))=0,"","Checked by: "&amp;IF(LEN(INDEX('Checks'!$G$4:$G$503,_calc!$E$203))=0,"",INDEX('Checks'!$G$4:$G$503,_calc!$E$203))&amp;". ")&amp;IF(LEN(IF(LEN(INDEX('Checks'!$Q$4:$Q$503,_calc!$E$203))=0,"",INDEX('Checks'!$Q$4:$Q$503,_calc!$E$203)))=0,"",IF(LEN(INDEX('Checks'!$Q$4:$Q$503,_calc!$E$203))=0,"",INDEX('Checks'!$Q$4:$Q$503,_calc!$E$203)))))</f>
        <v/>
      </c>
      <c r="G201" s="43">
        <f>IF(_calc!$E$203="","",IF(LEN(INDEX('Checks'!$P$4:$P$503,_calc!$E$203))=0,"",INDEX('Checks'!$P$4:$P$503,_calc!$E$203)))</f>
        <v/>
      </c>
      <c r="K201" s="43">
        <f>IF(_calc!$E$203="","",IF(LEN(INDEX('Checks'!$O$4:$O$503,_calc!$E$203))=0,"",INDEX('Checks'!$O$4:$O$503,_calc!$E$203)))</f>
        <v/>
      </c>
    </row>
    <row r="202">
      <c r="A202" s="43">
        <f>IF(_calc!$E$204="","","Right to work follow-up – "&amp;IF(LEN(INDEX('Checks'!$A$4:$A$503,_calc!$E$204))=0,"",INDEX('Checks'!$A$4:$A$503,_calc!$E$204)))</f>
        <v/>
      </c>
      <c r="B202" s="43">
        <f>IF(_calc!$E$204="","",IF(ISNUMBER(INDEX('Checks'!$H$4:$H$503,_calc!$E$204)),TEXT(INDEX('Checks'!$H$4:$H$503,_calc!$E$204),"yyyy-mm-dd"),""))</f>
        <v/>
      </c>
      <c r="C202" s="43">
        <f>IF(_calc!$E$204="","","Right to work")</f>
        <v/>
      </c>
      <c r="D202" s="43">
        <f>IF(_calc!$E$204="","",IF(ISNUMBER(INDEX('Checks'!$F$4:$F$503,_calc!$E$204)),TEXT(INDEX('Checks'!$F$4:$F$503,_calc!$E$204),"yyyy-mm-dd"),""))</f>
        <v/>
      </c>
      <c r="E202" s="43">
        <f>IF(_calc!$E$204="","","High")</f>
        <v/>
      </c>
      <c r="F202" s="43">
        <f>IF(_calc!$E$204="","",TRIM(IF(LEN(IF(LEN(INDEX('Checks'!$B$4:$B$503,_calc!$E$204))=0,"",INDEX('Checks'!$B$4:$B$503,_calc!$E$204)))=0,"","Role: "&amp;IF(LEN(INDEX('Checks'!$B$4:$B$503,_calc!$E$204))=0,"",INDEX('Checks'!$B$4:$B$503,_calc!$E$204))&amp;". ")&amp;IF(LEN(IF(LEN(INDEX('Checks'!$D$4:$D$503,_calc!$E$204))=0,"",INDEX('Checks'!$D$4:$D$503,_calc!$E$204)))=0,"","Check type: "&amp;IF(LEN(INDEX('Checks'!$D$4:$D$503,_calc!$E$204))=0,"",INDEX('Checks'!$D$4:$D$503,_calc!$E$204))&amp;". ")&amp;IF(LEN(IF(LEN(INDEX('Checks'!$E$4:$E$503,_calc!$E$204))=0,"",INDEX('Checks'!$E$4:$E$503,_calc!$E$204)))=0,"","Evidence: "&amp;IF(LEN(INDEX('Checks'!$E$4:$E$503,_calc!$E$204))=0,"",INDEX('Checks'!$E$4:$E$503,_calc!$E$204))&amp;". ")&amp;IF(LEN(IF(LEN(INDEX('Checks'!$G$4:$G$503,_calc!$E$204))=0,"",INDEX('Checks'!$G$4:$G$503,_calc!$E$204)))=0,"","Checked by: "&amp;IF(LEN(INDEX('Checks'!$G$4:$G$503,_calc!$E$204))=0,"",INDEX('Checks'!$G$4:$G$503,_calc!$E$204))&amp;". ")&amp;IF(LEN(IF(LEN(INDEX('Checks'!$Q$4:$Q$503,_calc!$E$204))=0,"",INDEX('Checks'!$Q$4:$Q$503,_calc!$E$204)))=0,"",IF(LEN(INDEX('Checks'!$Q$4:$Q$503,_calc!$E$204))=0,"",INDEX('Checks'!$Q$4:$Q$503,_calc!$E$204)))))</f>
        <v/>
      </c>
      <c r="G202" s="43">
        <f>IF(_calc!$E$204="","",IF(LEN(INDEX('Checks'!$P$4:$P$503,_calc!$E$204))=0,"",INDEX('Checks'!$P$4:$P$503,_calc!$E$204)))</f>
        <v/>
      </c>
      <c r="K202" s="43">
        <f>IF(_calc!$E$204="","",IF(LEN(INDEX('Checks'!$O$4:$O$503,_calc!$E$204))=0,"",INDEX('Checks'!$O$4:$O$503,_calc!$E$204)))</f>
        <v/>
      </c>
    </row>
    <row r="203">
      <c r="A203" s="43">
        <f>IF(_calc!$E$205="","","Right to work follow-up – "&amp;IF(LEN(INDEX('Checks'!$A$4:$A$503,_calc!$E$205))=0,"",INDEX('Checks'!$A$4:$A$503,_calc!$E$205)))</f>
        <v/>
      </c>
      <c r="B203" s="43">
        <f>IF(_calc!$E$205="","",IF(ISNUMBER(INDEX('Checks'!$H$4:$H$503,_calc!$E$205)),TEXT(INDEX('Checks'!$H$4:$H$503,_calc!$E$205),"yyyy-mm-dd"),""))</f>
        <v/>
      </c>
      <c r="C203" s="43">
        <f>IF(_calc!$E$205="","","Right to work")</f>
        <v/>
      </c>
      <c r="D203" s="43">
        <f>IF(_calc!$E$205="","",IF(ISNUMBER(INDEX('Checks'!$F$4:$F$503,_calc!$E$205)),TEXT(INDEX('Checks'!$F$4:$F$503,_calc!$E$205),"yyyy-mm-dd"),""))</f>
        <v/>
      </c>
      <c r="E203" s="43">
        <f>IF(_calc!$E$205="","","High")</f>
        <v/>
      </c>
      <c r="F203" s="43">
        <f>IF(_calc!$E$205="","",TRIM(IF(LEN(IF(LEN(INDEX('Checks'!$B$4:$B$503,_calc!$E$205))=0,"",INDEX('Checks'!$B$4:$B$503,_calc!$E$205)))=0,"","Role: "&amp;IF(LEN(INDEX('Checks'!$B$4:$B$503,_calc!$E$205))=0,"",INDEX('Checks'!$B$4:$B$503,_calc!$E$205))&amp;". ")&amp;IF(LEN(IF(LEN(INDEX('Checks'!$D$4:$D$503,_calc!$E$205))=0,"",INDEX('Checks'!$D$4:$D$503,_calc!$E$205)))=0,"","Check type: "&amp;IF(LEN(INDEX('Checks'!$D$4:$D$503,_calc!$E$205))=0,"",INDEX('Checks'!$D$4:$D$503,_calc!$E$205))&amp;". ")&amp;IF(LEN(IF(LEN(INDEX('Checks'!$E$4:$E$503,_calc!$E$205))=0,"",INDEX('Checks'!$E$4:$E$503,_calc!$E$205)))=0,"","Evidence: "&amp;IF(LEN(INDEX('Checks'!$E$4:$E$503,_calc!$E$205))=0,"",INDEX('Checks'!$E$4:$E$503,_calc!$E$205))&amp;". ")&amp;IF(LEN(IF(LEN(INDEX('Checks'!$G$4:$G$503,_calc!$E$205))=0,"",INDEX('Checks'!$G$4:$G$503,_calc!$E$205)))=0,"","Checked by: "&amp;IF(LEN(INDEX('Checks'!$G$4:$G$503,_calc!$E$205))=0,"",INDEX('Checks'!$G$4:$G$503,_calc!$E$205))&amp;". ")&amp;IF(LEN(IF(LEN(INDEX('Checks'!$Q$4:$Q$503,_calc!$E$205))=0,"",INDEX('Checks'!$Q$4:$Q$503,_calc!$E$205)))=0,"",IF(LEN(INDEX('Checks'!$Q$4:$Q$503,_calc!$E$205))=0,"",INDEX('Checks'!$Q$4:$Q$503,_calc!$E$205)))))</f>
        <v/>
      </c>
      <c r="G203" s="43">
        <f>IF(_calc!$E$205="","",IF(LEN(INDEX('Checks'!$P$4:$P$503,_calc!$E$205))=0,"",INDEX('Checks'!$P$4:$P$503,_calc!$E$205)))</f>
        <v/>
      </c>
      <c r="K203" s="43">
        <f>IF(_calc!$E$205="","",IF(LEN(INDEX('Checks'!$O$4:$O$503,_calc!$E$205))=0,"",INDEX('Checks'!$O$4:$O$503,_calc!$E$205)))</f>
        <v/>
      </c>
    </row>
    <row r="204">
      <c r="A204" s="43">
        <f>IF(_calc!$E$206="","","Right to work follow-up – "&amp;IF(LEN(INDEX('Checks'!$A$4:$A$503,_calc!$E$206))=0,"",INDEX('Checks'!$A$4:$A$503,_calc!$E$206)))</f>
        <v/>
      </c>
      <c r="B204" s="43">
        <f>IF(_calc!$E$206="","",IF(ISNUMBER(INDEX('Checks'!$H$4:$H$503,_calc!$E$206)),TEXT(INDEX('Checks'!$H$4:$H$503,_calc!$E$206),"yyyy-mm-dd"),""))</f>
        <v/>
      </c>
      <c r="C204" s="43">
        <f>IF(_calc!$E$206="","","Right to work")</f>
        <v/>
      </c>
      <c r="D204" s="43">
        <f>IF(_calc!$E$206="","",IF(ISNUMBER(INDEX('Checks'!$F$4:$F$503,_calc!$E$206)),TEXT(INDEX('Checks'!$F$4:$F$503,_calc!$E$206),"yyyy-mm-dd"),""))</f>
        <v/>
      </c>
      <c r="E204" s="43">
        <f>IF(_calc!$E$206="","","High")</f>
        <v/>
      </c>
      <c r="F204" s="43">
        <f>IF(_calc!$E$206="","",TRIM(IF(LEN(IF(LEN(INDEX('Checks'!$B$4:$B$503,_calc!$E$206))=0,"",INDEX('Checks'!$B$4:$B$503,_calc!$E$206)))=0,"","Role: "&amp;IF(LEN(INDEX('Checks'!$B$4:$B$503,_calc!$E$206))=0,"",INDEX('Checks'!$B$4:$B$503,_calc!$E$206))&amp;". ")&amp;IF(LEN(IF(LEN(INDEX('Checks'!$D$4:$D$503,_calc!$E$206))=0,"",INDEX('Checks'!$D$4:$D$503,_calc!$E$206)))=0,"","Check type: "&amp;IF(LEN(INDEX('Checks'!$D$4:$D$503,_calc!$E$206))=0,"",INDEX('Checks'!$D$4:$D$503,_calc!$E$206))&amp;". ")&amp;IF(LEN(IF(LEN(INDEX('Checks'!$E$4:$E$503,_calc!$E$206))=0,"",INDEX('Checks'!$E$4:$E$503,_calc!$E$206)))=0,"","Evidence: "&amp;IF(LEN(INDEX('Checks'!$E$4:$E$503,_calc!$E$206))=0,"",INDEX('Checks'!$E$4:$E$503,_calc!$E$206))&amp;". ")&amp;IF(LEN(IF(LEN(INDEX('Checks'!$G$4:$G$503,_calc!$E$206))=0,"",INDEX('Checks'!$G$4:$G$503,_calc!$E$206)))=0,"","Checked by: "&amp;IF(LEN(INDEX('Checks'!$G$4:$G$503,_calc!$E$206))=0,"",INDEX('Checks'!$G$4:$G$503,_calc!$E$206))&amp;". ")&amp;IF(LEN(IF(LEN(INDEX('Checks'!$Q$4:$Q$503,_calc!$E$206))=0,"",INDEX('Checks'!$Q$4:$Q$503,_calc!$E$206)))=0,"",IF(LEN(INDEX('Checks'!$Q$4:$Q$503,_calc!$E$206))=0,"",INDEX('Checks'!$Q$4:$Q$503,_calc!$E$206)))))</f>
        <v/>
      </c>
      <c r="G204" s="43">
        <f>IF(_calc!$E$206="","",IF(LEN(INDEX('Checks'!$P$4:$P$503,_calc!$E$206))=0,"",INDEX('Checks'!$P$4:$P$503,_calc!$E$206)))</f>
        <v/>
      </c>
      <c r="K204" s="43">
        <f>IF(_calc!$E$206="","",IF(LEN(INDEX('Checks'!$O$4:$O$503,_calc!$E$206))=0,"",INDEX('Checks'!$O$4:$O$503,_calc!$E$206)))</f>
        <v/>
      </c>
    </row>
    <row r="205">
      <c r="A205" s="43">
        <f>IF(_calc!$E$207="","","Right to work follow-up – "&amp;IF(LEN(INDEX('Checks'!$A$4:$A$503,_calc!$E$207))=0,"",INDEX('Checks'!$A$4:$A$503,_calc!$E$207)))</f>
        <v/>
      </c>
      <c r="B205" s="43">
        <f>IF(_calc!$E$207="","",IF(ISNUMBER(INDEX('Checks'!$H$4:$H$503,_calc!$E$207)),TEXT(INDEX('Checks'!$H$4:$H$503,_calc!$E$207),"yyyy-mm-dd"),""))</f>
        <v/>
      </c>
      <c r="C205" s="43">
        <f>IF(_calc!$E$207="","","Right to work")</f>
        <v/>
      </c>
      <c r="D205" s="43">
        <f>IF(_calc!$E$207="","",IF(ISNUMBER(INDEX('Checks'!$F$4:$F$503,_calc!$E$207)),TEXT(INDEX('Checks'!$F$4:$F$503,_calc!$E$207),"yyyy-mm-dd"),""))</f>
        <v/>
      </c>
      <c r="E205" s="43">
        <f>IF(_calc!$E$207="","","High")</f>
        <v/>
      </c>
      <c r="F205" s="43">
        <f>IF(_calc!$E$207="","",TRIM(IF(LEN(IF(LEN(INDEX('Checks'!$B$4:$B$503,_calc!$E$207))=0,"",INDEX('Checks'!$B$4:$B$503,_calc!$E$207)))=0,"","Role: "&amp;IF(LEN(INDEX('Checks'!$B$4:$B$503,_calc!$E$207))=0,"",INDEX('Checks'!$B$4:$B$503,_calc!$E$207))&amp;". ")&amp;IF(LEN(IF(LEN(INDEX('Checks'!$D$4:$D$503,_calc!$E$207))=0,"",INDEX('Checks'!$D$4:$D$503,_calc!$E$207)))=0,"","Check type: "&amp;IF(LEN(INDEX('Checks'!$D$4:$D$503,_calc!$E$207))=0,"",INDEX('Checks'!$D$4:$D$503,_calc!$E$207))&amp;". ")&amp;IF(LEN(IF(LEN(INDEX('Checks'!$E$4:$E$503,_calc!$E$207))=0,"",INDEX('Checks'!$E$4:$E$503,_calc!$E$207)))=0,"","Evidence: "&amp;IF(LEN(INDEX('Checks'!$E$4:$E$503,_calc!$E$207))=0,"",INDEX('Checks'!$E$4:$E$503,_calc!$E$207))&amp;". ")&amp;IF(LEN(IF(LEN(INDEX('Checks'!$G$4:$G$503,_calc!$E$207))=0,"",INDEX('Checks'!$G$4:$G$503,_calc!$E$207)))=0,"","Checked by: "&amp;IF(LEN(INDEX('Checks'!$G$4:$G$503,_calc!$E$207))=0,"",INDEX('Checks'!$G$4:$G$503,_calc!$E$207))&amp;". ")&amp;IF(LEN(IF(LEN(INDEX('Checks'!$Q$4:$Q$503,_calc!$E$207))=0,"",INDEX('Checks'!$Q$4:$Q$503,_calc!$E$207)))=0,"",IF(LEN(INDEX('Checks'!$Q$4:$Q$503,_calc!$E$207))=0,"",INDEX('Checks'!$Q$4:$Q$503,_calc!$E$207)))))</f>
        <v/>
      </c>
      <c r="G205" s="43">
        <f>IF(_calc!$E$207="","",IF(LEN(INDEX('Checks'!$P$4:$P$503,_calc!$E$207))=0,"",INDEX('Checks'!$P$4:$P$503,_calc!$E$207)))</f>
        <v/>
      </c>
      <c r="K205" s="43">
        <f>IF(_calc!$E$207="","",IF(LEN(INDEX('Checks'!$O$4:$O$503,_calc!$E$207))=0,"",INDEX('Checks'!$O$4:$O$503,_calc!$E$207)))</f>
        <v/>
      </c>
    </row>
    <row r="206">
      <c r="A206" s="43">
        <f>IF(_calc!$E$208="","","Right to work follow-up – "&amp;IF(LEN(INDEX('Checks'!$A$4:$A$503,_calc!$E$208))=0,"",INDEX('Checks'!$A$4:$A$503,_calc!$E$208)))</f>
        <v/>
      </c>
      <c r="B206" s="43">
        <f>IF(_calc!$E$208="","",IF(ISNUMBER(INDEX('Checks'!$H$4:$H$503,_calc!$E$208)),TEXT(INDEX('Checks'!$H$4:$H$503,_calc!$E$208),"yyyy-mm-dd"),""))</f>
        <v/>
      </c>
      <c r="C206" s="43">
        <f>IF(_calc!$E$208="","","Right to work")</f>
        <v/>
      </c>
      <c r="D206" s="43">
        <f>IF(_calc!$E$208="","",IF(ISNUMBER(INDEX('Checks'!$F$4:$F$503,_calc!$E$208)),TEXT(INDEX('Checks'!$F$4:$F$503,_calc!$E$208),"yyyy-mm-dd"),""))</f>
        <v/>
      </c>
      <c r="E206" s="43">
        <f>IF(_calc!$E$208="","","High")</f>
        <v/>
      </c>
      <c r="F206" s="43">
        <f>IF(_calc!$E$208="","",TRIM(IF(LEN(IF(LEN(INDEX('Checks'!$B$4:$B$503,_calc!$E$208))=0,"",INDEX('Checks'!$B$4:$B$503,_calc!$E$208)))=0,"","Role: "&amp;IF(LEN(INDEX('Checks'!$B$4:$B$503,_calc!$E$208))=0,"",INDEX('Checks'!$B$4:$B$503,_calc!$E$208))&amp;". ")&amp;IF(LEN(IF(LEN(INDEX('Checks'!$D$4:$D$503,_calc!$E$208))=0,"",INDEX('Checks'!$D$4:$D$503,_calc!$E$208)))=0,"","Check type: "&amp;IF(LEN(INDEX('Checks'!$D$4:$D$503,_calc!$E$208))=0,"",INDEX('Checks'!$D$4:$D$503,_calc!$E$208))&amp;". ")&amp;IF(LEN(IF(LEN(INDEX('Checks'!$E$4:$E$503,_calc!$E$208))=0,"",INDEX('Checks'!$E$4:$E$503,_calc!$E$208)))=0,"","Evidence: "&amp;IF(LEN(INDEX('Checks'!$E$4:$E$503,_calc!$E$208))=0,"",INDEX('Checks'!$E$4:$E$503,_calc!$E$208))&amp;". ")&amp;IF(LEN(IF(LEN(INDEX('Checks'!$G$4:$G$503,_calc!$E$208))=0,"",INDEX('Checks'!$G$4:$G$503,_calc!$E$208)))=0,"","Checked by: "&amp;IF(LEN(INDEX('Checks'!$G$4:$G$503,_calc!$E$208))=0,"",INDEX('Checks'!$G$4:$G$503,_calc!$E$208))&amp;". ")&amp;IF(LEN(IF(LEN(INDEX('Checks'!$Q$4:$Q$503,_calc!$E$208))=0,"",INDEX('Checks'!$Q$4:$Q$503,_calc!$E$208)))=0,"",IF(LEN(INDEX('Checks'!$Q$4:$Q$503,_calc!$E$208))=0,"",INDEX('Checks'!$Q$4:$Q$503,_calc!$E$208)))))</f>
        <v/>
      </c>
      <c r="G206" s="43">
        <f>IF(_calc!$E$208="","",IF(LEN(INDEX('Checks'!$P$4:$P$503,_calc!$E$208))=0,"",INDEX('Checks'!$P$4:$P$503,_calc!$E$208)))</f>
        <v/>
      </c>
      <c r="K206" s="43">
        <f>IF(_calc!$E$208="","",IF(LEN(INDEX('Checks'!$O$4:$O$503,_calc!$E$208))=0,"",INDEX('Checks'!$O$4:$O$503,_calc!$E$208)))</f>
        <v/>
      </c>
    </row>
    <row r="207">
      <c r="A207" s="43">
        <f>IF(_calc!$E$209="","","Right to work follow-up – "&amp;IF(LEN(INDEX('Checks'!$A$4:$A$503,_calc!$E$209))=0,"",INDEX('Checks'!$A$4:$A$503,_calc!$E$209)))</f>
        <v/>
      </c>
      <c r="B207" s="43">
        <f>IF(_calc!$E$209="","",IF(ISNUMBER(INDEX('Checks'!$H$4:$H$503,_calc!$E$209)),TEXT(INDEX('Checks'!$H$4:$H$503,_calc!$E$209),"yyyy-mm-dd"),""))</f>
        <v/>
      </c>
      <c r="C207" s="43">
        <f>IF(_calc!$E$209="","","Right to work")</f>
        <v/>
      </c>
      <c r="D207" s="43">
        <f>IF(_calc!$E$209="","",IF(ISNUMBER(INDEX('Checks'!$F$4:$F$503,_calc!$E$209)),TEXT(INDEX('Checks'!$F$4:$F$503,_calc!$E$209),"yyyy-mm-dd"),""))</f>
        <v/>
      </c>
      <c r="E207" s="43">
        <f>IF(_calc!$E$209="","","High")</f>
        <v/>
      </c>
      <c r="F207" s="43">
        <f>IF(_calc!$E$209="","",TRIM(IF(LEN(IF(LEN(INDEX('Checks'!$B$4:$B$503,_calc!$E$209))=0,"",INDEX('Checks'!$B$4:$B$503,_calc!$E$209)))=0,"","Role: "&amp;IF(LEN(INDEX('Checks'!$B$4:$B$503,_calc!$E$209))=0,"",INDEX('Checks'!$B$4:$B$503,_calc!$E$209))&amp;". ")&amp;IF(LEN(IF(LEN(INDEX('Checks'!$D$4:$D$503,_calc!$E$209))=0,"",INDEX('Checks'!$D$4:$D$503,_calc!$E$209)))=0,"","Check type: "&amp;IF(LEN(INDEX('Checks'!$D$4:$D$503,_calc!$E$209))=0,"",INDEX('Checks'!$D$4:$D$503,_calc!$E$209))&amp;". ")&amp;IF(LEN(IF(LEN(INDEX('Checks'!$E$4:$E$503,_calc!$E$209))=0,"",INDEX('Checks'!$E$4:$E$503,_calc!$E$209)))=0,"","Evidence: "&amp;IF(LEN(INDEX('Checks'!$E$4:$E$503,_calc!$E$209))=0,"",INDEX('Checks'!$E$4:$E$503,_calc!$E$209))&amp;". ")&amp;IF(LEN(IF(LEN(INDEX('Checks'!$G$4:$G$503,_calc!$E$209))=0,"",INDEX('Checks'!$G$4:$G$503,_calc!$E$209)))=0,"","Checked by: "&amp;IF(LEN(INDEX('Checks'!$G$4:$G$503,_calc!$E$209))=0,"",INDEX('Checks'!$G$4:$G$503,_calc!$E$209))&amp;". ")&amp;IF(LEN(IF(LEN(INDEX('Checks'!$Q$4:$Q$503,_calc!$E$209))=0,"",INDEX('Checks'!$Q$4:$Q$503,_calc!$E$209)))=0,"",IF(LEN(INDEX('Checks'!$Q$4:$Q$503,_calc!$E$209))=0,"",INDEX('Checks'!$Q$4:$Q$503,_calc!$E$209)))))</f>
        <v/>
      </c>
      <c r="G207" s="43">
        <f>IF(_calc!$E$209="","",IF(LEN(INDEX('Checks'!$P$4:$P$503,_calc!$E$209))=0,"",INDEX('Checks'!$P$4:$P$503,_calc!$E$209)))</f>
        <v/>
      </c>
      <c r="K207" s="43">
        <f>IF(_calc!$E$209="","",IF(LEN(INDEX('Checks'!$O$4:$O$503,_calc!$E$209))=0,"",INDEX('Checks'!$O$4:$O$503,_calc!$E$209)))</f>
        <v/>
      </c>
    </row>
    <row r="208">
      <c r="A208" s="43">
        <f>IF(_calc!$E$210="","","Right to work follow-up – "&amp;IF(LEN(INDEX('Checks'!$A$4:$A$503,_calc!$E$210))=0,"",INDEX('Checks'!$A$4:$A$503,_calc!$E$210)))</f>
        <v/>
      </c>
      <c r="B208" s="43">
        <f>IF(_calc!$E$210="","",IF(ISNUMBER(INDEX('Checks'!$H$4:$H$503,_calc!$E$210)),TEXT(INDEX('Checks'!$H$4:$H$503,_calc!$E$210),"yyyy-mm-dd"),""))</f>
        <v/>
      </c>
      <c r="C208" s="43">
        <f>IF(_calc!$E$210="","","Right to work")</f>
        <v/>
      </c>
      <c r="D208" s="43">
        <f>IF(_calc!$E$210="","",IF(ISNUMBER(INDEX('Checks'!$F$4:$F$503,_calc!$E$210)),TEXT(INDEX('Checks'!$F$4:$F$503,_calc!$E$210),"yyyy-mm-dd"),""))</f>
        <v/>
      </c>
      <c r="E208" s="43">
        <f>IF(_calc!$E$210="","","High")</f>
        <v/>
      </c>
      <c r="F208" s="43">
        <f>IF(_calc!$E$210="","",TRIM(IF(LEN(IF(LEN(INDEX('Checks'!$B$4:$B$503,_calc!$E$210))=0,"",INDEX('Checks'!$B$4:$B$503,_calc!$E$210)))=0,"","Role: "&amp;IF(LEN(INDEX('Checks'!$B$4:$B$503,_calc!$E$210))=0,"",INDEX('Checks'!$B$4:$B$503,_calc!$E$210))&amp;". ")&amp;IF(LEN(IF(LEN(INDEX('Checks'!$D$4:$D$503,_calc!$E$210))=0,"",INDEX('Checks'!$D$4:$D$503,_calc!$E$210)))=0,"","Check type: "&amp;IF(LEN(INDEX('Checks'!$D$4:$D$503,_calc!$E$210))=0,"",INDEX('Checks'!$D$4:$D$503,_calc!$E$210))&amp;". ")&amp;IF(LEN(IF(LEN(INDEX('Checks'!$E$4:$E$503,_calc!$E$210))=0,"",INDEX('Checks'!$E$4:$E$503,_calc!$E$210)))=0,"","Evidence: "&amp;IF(LEN(INDEX('Checks'!$E$4:$E$503,_calc!$E$210))=0,"",INDEX('Checks'!$E$4:$E$503,_calc!$E$210))&amp;". ")&amp;IF(LEN(IF(LEN(INDEX('Checks'!$G$4:$G$503,_calc!$E$210))=0,"",INDEX('Checks'!$G$4:$G$503,_calc!$E$210)))=0,"","Checked by: "&amp;IF(LEN(INDEX('Checks'!$G$4:$G$503,_calc!$E$210))=0,"",INDEX('Checks'!$G$4:$G$503,_calc!$E$210))&amp;". ")&amp;IF(LEN(IF(LEN(INDEX('Checks'!$Q$4:$Q$503,_calc!$E$210))=0,"",INDEX('Checks'!$Q$4:$Q$503,_calc!$E$210)))=0,"",IF(LEN(INDEX('Checks'!$Q$4:$Q$503,_calc!$E$210))=0,"",INDEX('Checks'!$Q$4:$Q$503,_calc!$E$210)))))</f>
        <v/>
      </c>
      <c r="G208" s="43">
        <f>IF(_calc!$E$210="","",IF(LEN(INDEX('Checks'!$P$4:$P$503,_calc!$E$210))=0,"",INDEX('Checks'!$P$4:$P$503,_calc!$E$210)))</f>
        <v/>
      </c>
      <c r="K208" s="43">
        <f>IF(_calc!$E$210="","",IF(LEN(INDEX('Checks'!$O$4:$O$503,_calc!$E$210))=0,"",INDEX('Checks'!$O$4:$O$503,_calc!$E$210)))</f>
        <v/>
      </c>
    </row>
    <row r="209">
      <c r="A209" s="43">
        <f>IF(_calc!$E$211="","","Right to work follow-up – "&amp;IF(LEN(INDEX('Checks'!$A$4:$A$503,_calc!$E$211))=0,"",INDEX('Checks'!$A$4:$A$503,_calc!$E$211)))</f>
        <v/>
      </c>
      <c r="B209" s="43">
        <f>IF(_calc!$E$211="","",IF(ISNUMBER(INDEX('Checks'!$H$4:$H$503,_calc!$E$211)),TEXT(INDEX('Checks'!$H$4:$H$503,_calc!$E$211),"yyyy-mm-dd"),""))</f>
        <v/>
      </c>
      <c r="C209" s="43">
        <f>IF(_calc!$E$211="","","Right to work")</f>
        <v/>
      </c>
      <c r="D209" s="43">
        <f>IF(_calc!$E$211="","",IF(ISNUMBER(INDEX('Checks'!$F$4:$F$503,_calc!$E$211)),TEXT(INDEX('Checks'!$F$4:$F$503,_calc!$E$211),"yyyy-mm-dd"),""))</f>
        <v/>
      </c>
      <c r="E209" s="43">
        <f>IF(_calc!$E$211="","","High")</f>
        <v/>
      </c>
      <c r="F209" s="43">
        <f>IF(_calc!$E$211="","",TRIM(IF(LEN(IF(LEN(INDEX('Checks'!$B$4:$B$503,_calc!$E$211))=0,"",INDEX('Checks'!$B$4:$B$503,_calc!$E$211)))=0,"","Role: "&amp;IF(LEN(INDEX('Checks'!$B$4:$B$503,_calc!$E$211))=0,"",INDEX('Checks'!$B$4:$B$503,_calc!$E$211))&amp;". ")&amp;IF(LEN(IF(LEN(INDEX('Checks'!$D$4:$D$503,_calc!$E$211))=0,"",INDEX('Checks'!$D$4:$D$503,_calc!$E$211)))=0,"","Check type: "&amp;IF(LEN(INDEX('Checks'!$D$4:$D$503,_calc!$E$211))=0,"",INDEX('Checks'!$D$4:$D$503,_calc!$E$211))&amp;". ")&amp;IF(LEN(IF(LEN(INDEX('Checks'!$E$4:$E$503,_calc!$E$211))=0,"",INDEX('Checks'!$E$4:$E$503,_calc!$E$211)))=0,"","Evidence: "&amp;IF(LEN(INDEX('Checks'!$E$4:$E$503,_calc!$E$211))=0,"",INDEX('Checks'!$E$4:$E$503,_calc!$E$211))&amp;". ")&amp;IF(LEN(IF(LEN(INDEX('Checks'!$G$4:$G$503,_calc!$E$211))=0,"",INDEX('Checks'!$G$4:$G$503,_calc!$E$211)))=0,"","Checked by: "&amp;IF(LEN(INDEX('Checks'!$G$4:$G$503,_calc!$E$211))=0,"",INDEX('Checks'!$G$4:$G$503,_calc!$E$211))&amp;". ")&amp;IF(LEN(IF(LEN(INDEX('Checks'!$Q$4:$Q$503,_calc!$E$211))=0,"",INDEX('Checks'!$Q$4:$Q$503,_calc!$E$211)))=0,"",IF(LEN(INDEX('Checks'!$Q$4:$Q$503,_calc!$E$211))=0,"",INDEX('Checks'!$Q$4:$Q$503,_calc!$E$211)))))</f>
        <v/>
      </c>
      <c r="G209" s="43">
        <f>IF(_calc!$E$211="","",IF(LEN(INDEX('Checks'!$P$4:$P$503,_calc!$E$211))=0,"",INDEX('Checks'!$P$4:$P$503,_calc!$E$211)))</f>
        <v/>
      </c>
      <c r="K209" s="43">
        <f>IF(_calc!$E$211="","",IF(LEN(INDEX('Checks'!$O$4:$O$503,_calc!$E$211))=0,"",INDEX('Checks'!$O$4:$O$503,_calc!$E$211)))</f>
        <v/>
      </c>
    </row>
    <row r="210">
      <c r="A210" s="43">
        <f>IF(_calc!$E$212="","","Right to work follow-up – "&amp;IF(LEN(INDEX('Checks'!$A$4:$A$503,_calc!$E$212))=0,"",INDEX('Checks'!$A$4:$A$503,_calc!$E$212)))</f>
        <v/>
      </c>
      <c r="B210" s="43">
        <f>IF(_calc!$E$212="","",IF(ISNUMBER(INDEX('Checks'!$H$4:$H$503,_calc!$E$212)),TEXT(INDEX('Checks'!$H$4:$H$503,_calc!$E$212),"yyyy-mm-dd"),""))</f>
        <v/>
      </c>
      <c r="C210" s="43">
        <f>IF(_calc!$E$212="","","Right to work")</f>
        <v/>
      </c>
      <c r="D210" s="43">
        <f>IF(_calc!$E$212="","",IF(ISNUMBER(INDEX('Checks'!$F$4:$F$503,_calc!$E$212)),TEXT(INDEX('Checks'!$F$4:$F$503,_calc!$E$212),"yyyy-mm-dd"),""))</f>
        <v/>
      </c>
      <c r="E210" s="43">
        <f>IF(_calc!$E$212="","","High")</f>
        <v/>
      </c>
      <c r="F210" s="43">
        <f>IF(_calc!$E$212="","",TRIM(IF(LEN(IF(LEN(INDEX('Checks'!$B$4:$B$503,_calc!$E$212))=0,"",INDEX('Checks'!$B$4:$B$503,_calc!$E$212)))=0,"","Role: "&amp;IF(LEN(INDEX('Checks'!$B$4:$B$503,_calc!$E$212))=0,"",INDEX('Checks'!$B$4:$B$503,_calc!$E$212))&amp;". ")&amp;IF(LEN(IF(LEN(INDEX('Checks'!$D$4:$D$503,_calc!$E$212))=0,"",INDEX('Checks'!$D$4:$D$503,_calc!$E$212)))=0,"","Check type: "&amp;IF(LEN(INDEX('Checks'!$D$4:$D$503,_calc!$E$212))=0,"",INDEX('Checks'!$D$4:$D$503,_calc!$E$212))&amp;". ")&amp;IF(LEN(IF(LEN(INDEX('Checks'!$E$4:$E$503,_calc!$E$212))=0,"",INDEX('Checks'!$E$4:$E$503,_calc!$E$212)))=0,"","Evidence: "&amp;IF(LEN(INDEX('Checks'!$E$4:$E$503,_calc!$E$212))=0,"",INDEX('Checks'!$E$4:$E$503,_calc!$E$212))&amp;". ")&amp;IF(LEN(IF(LEN(INDEX('Checks'!$G$4:$G$503,_calc!$E$212))=0,"",INDEX('Checks'!$G$4:$G$503,_calc!$E$212)))=0,"","Checked by: "&amp;IF(LEN(INDEX('Checks'!$G$4:$G$503,_calc!$E$212))=0,"",INDEX('Checks'!$G$4:$G$503,_calc!$E$212))&amp;". ")&amp;IF(LEN(IF(LEN(INDEX('Checks'!$Q$4:$Q$503,_calc!$E$212))=0,"",INDEX('Checks'!$Q$4:$Q$503,_calc!$E$212)))=0,"",IF(LEN(INDEX('Checks'!$Q$4:$Q$503,_calc!$E$212))=0,"",INDEX('Checks'!$Q$4:$Q$503,_calc!$E$212)))))</f>
        <v/>
      </c>
      <c r="G210" s="43">
        <f>IF(_calc!$E$212="","",IF(LEN(INDEX('Checks'!$P$4:$P$503,_calc!$E$212))=0,"",INDEX('Checks'!$P$4:$P$503,_calc!$E$212)))</f>
        <v/>
      </c>
      <c r="K210" s="43">
        <f>IF(_calc!$E$212="","",IF(LEN(INDEX('Checks'!$O$4:$O$503,_calc!$E$212))=0,"",INDEX('Checks'!$O$4:$O$503,_calc!$E$212)))</f>
        <v/>
      </c>
    </row>
    <row r="211">
      <c r="A211" s="43">
        <f>IF(_calc!$E$213="","","Right to work follow-up – "&amp;IF(LEN(INDEX('Checks'!$A$4:$A$503,_calc!$E$213))=0,"",INDEX('Checks'!$A$4:$A$503,_calc!$E$213)))</f>
        <v/>
      </c>
      <c r="B211" s="43">
        <f>IF(_calc!$E$213="","",IF(ISNUMBER(INDEX('Checks'!$H$4:$H$503,_calc!$E$213)),TEXT(INDEX('Checks'!$H$4:$H$503,_calc!$E$213),"yyyy-mm-dd"),""))</f>
        <v/>
      </c>
      <c r="C211" s="43">
        <f>IF(_calc!$E$213="","","Right to work")</f>
        <v/>
      </c>
      <c r="D211" s="43">
        <f>IF(_calc!$E$213="","",IF(ISNUMBER(INDEX('Checks'!$F$4:$F$503,_calc!$E$213)),TEXT(INDEX('Checks'!$F$4:$F$503,_calc!$E$213),"yyyy-mm-dd"),""))</f>
        <v/>
      </c>
      <c r="E211" s="43">
        <f>IF(_calc!$E$213="","","High")</f>
        <v/>
      </c>
      <c r="F211" s="43">
        <f>IF(_calc!$E$213="","",TRIM(IF(LEN(IF(LEN(INDEX('Checks'!$B$4:$B$503,_calc!$E$213))=0,"",INDEX('Checks'!$B$4:$B$503,_calc!$E$213)))=0,"","Role: "&amp;IF(LEN(INDEX('Checks'!$B$4:$B$503,_calc!$E$213))=0,"",INDEX('Checks'!$B$4:$B$503,_calc!$E$213))&amp;". ")&amp;IF(LEN(IF(LEN(INDEX('Checks'!$D$4:$D$503,_calc!$E$213))=0,"",INDEX('Checks'!$D$4:$D$503,_calc!$E$213)))=0,"","Check type: "&amp;IF(LEN(INDEX('Checks'!$D$4:$D$503,_calc!$E$213))=0,"",INDEX('Checks'!$D$4:$D$503,_calc!$E$213))&amp;". ")&amp;IF(LEN(IF(LEN(INDEX('Checks'!$E$4:$E$503,_calc!$E$213))=0,"",INDEX('Checks'!$E$4:$E$503,_calc!$E$213)))=0,"","Evidence: "&amp;IF(LEN(INDEX('Checks'!$E$4:$E$503,_calc!$E$213))=0,"",INDEX('Checks'!$E$4:$E$503,_calc!$E$213))&amp;". ")&amp;IF(LEN(IF(LEN(INDEX('Checks'!$G$4:$G$503,_calc!$E$213))=0,"",INDEX('Checks'!$G$4:$G$503,_calc!$E$213)))=0,"","Checked by: "&amp;IF(LEN(INDEX('Checks'!$G$4:$G$503,_calc!$E$213))=0,"",INDEX('Checks'!$G$4:$G$503,_calc!$E$213))&amp;". ")&amp;IF(LEN(IF(LEN(INDEX('Checks'!$Q$4:$Q$503,_calc!$E$213))=0,"",INDEX('Checks'!$Q$4:$Q$503,_calc!$E$213)))=0,"",IF(LEN(INDEX('Checks'!$Q$4:$Q$503,_calc!$E$213))=0,"",INDEX('Checks'!$Q$4:$Q$503,_calc!$E$213)))))</f>
        <v/>
      </c>
      <c r="G211" s="43">
        <f>IF(_calc!$E$213="","",IF(LEN(INDEX('Checks'!$P$4:$P$503,_calc!$E$213))=0,"",INDEX('Checks'!$P$4:$P$503,_calc!$E$213)))</f>
        <v/>
      </c>
      <c r="K211" s="43">
        <f>IF(_calc!$E$213="","",IF(LEN(INDEX('Checks'!$O$4:$O$503,_calc!$E$213))=0,"",INDEX('Checks'!$O$4:$O$503,_calc!$E$213)))</f>
        <v/>
      </c>
    </row>
    <row r="212">
      <c r="A212" s="43">
        <f>IF(_calc!$E$214="","","Right to work follow-up – "&amp;IF(LEN(INDEX('Checks'!$A$4:$A$503,_calc!$E$214))=0,"",INDEX('Checks'!$A$4:$A$503,_calc!$E$214)))</f>
        <v/>
      </c>
      <c r="B212" s="43">
        <f>IF(_calc!$E$214="","",IF(ISNUMBER(INDEX('Checks'!$H$4:$H$503,_calc!$E$214)),TEXT(INDEX('Checks'!$H$4:$H$503,_calc!$E$214),"yyyy-mm-dd"),""))</f>
        <v/>
      </c>
      <c r="C212" s="43">
        <f>IF(_calc!$E$214="","","Right to work")</f>
        <v/>
      </c>
      <c r="D212" s="43">
        <f>IF(_calc!$E$214="","",IF(ISNUMBER(INDEX('Checks'!$F$4:$F$503,_calc!$E$214)),TEXT(INDEX('Checks'!$F$4:$F$503,_calc!$E$214),"yyyy-mm-dd"),""))</f>
        <v/>
      </c>
      <c r="E212" s="43">
        <f>IF(_calc!$E$214="","","High")</f>
        <v/>
      </c>
      <c r="F212" s="43">
        <f>IF(_calc!$E$214="","",TRIM(IF(LEN(IF(LEN(INDEX('Checks'!$B$4:$B$503,_calc!$E$214))=0,"",INDEX('Checks'!$B$4:$B$503,_calc!$E$214)))=0,"","Role: "&amp;IF(LEN(INDEX('Checks'!$B$4:$B$503,_calc!$E$214))=0,"",INDEX('Checks'!$B$4:$B$503,_calc!$E$214))&amp;". ")&amp;IF(LEN(IF(LEN(INDEX('Checks'!$D$4:$D$503,_calc!$E$214))=0,"",INDEX('Checks'!$D$4:$D$503,_calc!$E$214)))=0,"","Check type: "&amp;IF(LEN(INDEX('Checks'!$D$4:$D$503,_calc!$E$214))=0,"",INDEX('Checks'!$D$4:$D$503,_calc!$E$214))&amp;". ")&amp;IF(LEN(IF(LEN(INDEX('Checks'!$E$4:$E$503,_calc!$E$214))=0,"",INDEX('Checks'!$E$4:$E$503,_calc!$E$214)))=0,"","Evidence: "&amp;IF(LEN(INDEX('Checks'!$E$4:$E$503,_calc!$E$214))=0,"",INDEX('Checks'!$E$4:$E$503,_calc!$E$214))&amp;". ")&amp;IF(LEN(IF(LEN(INDEX('Checks'!$G$4:$G$503,_calc!$E$214))=0,"",INDEX('Checks'!$G$4:$G$503,_calc!$E$214)))=0,"","Checked by: "&amp;IF(LEN(INDEX('Checks'!$G$4:$G$503,_calc!$E$214))=0,"",INDEX('Checks'!$G$4:$G$503,_calc!$E$214))&amp;". ")&amp;IF(LEN(IF(LEN(INDEX('Checks'!$Q$4:$Q$503,_calc!$E$214))=0,"",INDEX('Checks'!$Q$4:$Q$503,_calc!$E$214)))=0,"",IF(LEN(INDEX('Checks'!$Q$4:$Q$503,_calc!$E$214))=0,"",INDEX('Checks'!$Q$4:$Q$503,_calc!$E$214)))))</f>
        <v/>
      </c>
      <c r="G212" s="43">
        <f>IF(_calc!$E$214="","",IF(LEN(INDEX('Checks'!$P$4:$P$503,_calc!$E$214))=0,"",INDEX('Checks'!$P$4:$P$503,_calc!$E$214)))</f>
        <v/>
      </c>
      <c r="K212" s="43">
        <f>IF(_calc!$E$214="","",IF(LEN(INDEX('Checks'!$O$4:$O$503,_calc!$E$214))=0,"",INDEX('Checks'!$O$4:$O$503,_calc!$E$214)))</f>
        <v/>
      </c>
    </row>
    <row r="213">
      <c r="A213" s="43">
        <f>IF(_calc!$E$215="","","Right to work follow-up – "&amp;IF(LEN(INDEX('Checks'!$A$4:$A$503,_calc!$E$215))=0,"",INDEX('Checks'!$A$4:$A$503,_calc!$E$215)))</f>
        <v/>
      </c>
      <c r="B213" s="43">
        <f>IF(_calc!$E$215="","",IF(ISNUMBER(INDEX('Checks'!$H$4:$H$503,_calc!$E$215)),TEXT(INDEX('Checks'!$H$4:$H$503,_calc!$E$215),"yyyy-mm-dd"),""))</f>
        <v/>
      </c>
      <c r="C213" s="43">
        <f>IF(_calc!$E$215="","","Right to work")</f>
        <v/>
      </c>
      <c r="D213" s="43">
        <f>IF(_calc!$E$215="","",IF(ISNUMBER(INDEX('Checks'!$F$4:$F$503,_calc!$E$215)),TEXT(INDEX('Checks'!$F$4:$F$503,_calc!$E$215),"yyyy-mm-dd"),""))</f>
        <v/>
      </c>
      <c r="E213" s="43">
        <f>IF(_calc!$E$215="","","High")</f>
        <v/>
      </c>
      <c r="F213" s="43">
        <f>IF(_calc!$E$215="","",TRIM(IF(LEN(IF(LEN(INDEX('Checks'!$B$4:$B$503,_calc!$E$215))=0,"",INDEX('Checks'!$B$4:$B$503,_calc!$E$215)))=0,"","Role: "&amp;IF(LEN(INDEX('Checks'!$B$4:$B$503,_calc!$E$215))=0,"",INDEX('Checks'!$B$4:$B$503,_calc!$E$215))&amp;". ")&amp;IF(LEN(IF(LEN(INDEX('Checks'!$D$4:$D$503,_calc!$E$215))=0,"",INDEX('Checks'!$D$4:$D$503,_calc!$E$215)))=0,"","Check type: "&amp;IF(LEN(INDEX('Checks'!$D$4:$D$503,_calc!$E$215))=0,"",INDEX('Checks'!$D$4:$D$503,_calc!$E$215))&amp;". ")&amp;IF(LEN(IF(LEN(INDEX('Checks'!$E$4:$E$503,_calc!$E$215))=0,"",INDEX('Checks'!$E$4:$E$503,_calc!$E$215)))=0,"","Evidence: "&amp;IF(LEN(INDEX('Checks'!$E$4:$E$503,_calc!$E$215))=0,"",INDEX('Checks'!$E$4:$E$503,_calc!$E$215))&amp;". ")&amp;IF(LEN(IF(LEN(INDEX('Checks'!$G$4:$G$503,_calc!$E$215))=0,"",INDEX('Checks'!$G$4:$G$503,_calc!$E$215)))=0,"","Checked by: "&amp;IF(LEN(INDEX('Checks'!$G$4:$G$503,_calc!$E$215))=0,"",INDEX('Checks'!$G$4:$G$503,_calc!$E$215))&amp;". ")&amp;IF(LEN(IF(LEN(INDEX('Checks'!$Q$4:$Q$503,_calc!$E$215))=0,"",INDEX('Checks'!$Q$4:$Q$503,_calc!$E$215)))=0,"",IF(LEN(INDEX('Checks'!$Q$4:$Q$503,_calc!$E$215))=0,"",INDEX('Checks'!$Q$4:$Q$503,_calc!$E$215)))))</f>
        <v/>
      </c>
      <c r="G213" s="43">
        <f>IF(_calc!$E$215="","",IF(LEN(INDEX('Checks'!$P$4:$P$503,_calc!$E$215))=0,"",INDEX('Checks'!$P$4:$P$503,_calc!$E$215)))</f>
        <v/>
      </c>
      <c r="K213" s="43">
        <f>IF(_calc!$E$215="","",IF(LEN(INDEX('Checks'!$O$4:$O$503,_calc!$E$215))=0,"",INDEX('Checks'!$O$4:$O$503,_calc!$E$215)))</f>
        <v/>
      </c>
    </row>
    <row r="214">
      <c r="A214" s="43">
        <f>IF(_calc!$E$216="","","Right to work follow-up – "&amp;IF(LEN(INDEX('Checks'!$A$4:$A$503,_calc!$E$216))=0,"",INDEX('Checks'!$A$4:$A$503,_calc!$E$216)))</f>
        <v/>
      </c>
      <c r="B214" s="43">
        <f>IF(_calc!$E$216="","",IF(ISNUMBER(INDEX('Checks'!$H$4:$H$503,_calc!$E$216)),TEXT(INDEX('Checks'!$H$4:$H$503,_calc!$E$216),"yyyy-mm-dd"),""))</f>
        <v/>
      </c>
      <c r="C214" s="43">
        <f>IF(_calc!$E$216="","","Right to work")</f>
        <v/>
      </c>
      <c r="D214" s="43">
        <f>IF(_calc!$E$216="","",IF(ISNUMBER(INDEX('Checks'!$F$4:$F$503,_calc!$E$216)),TEXT(INDEX('Checks'!$F$4:$F$503,_calc!$E$216),"yyyy-mm-dd"),""))</f>
        <v/>
      </c>
      <c r="E214" s="43">
        <f>IF(_calc!$E$216="","","High")</f>
        <v/>
      </c>
      <c r="F214" s="43">
        <f>IF(_calc!$E$216="","",TRIM(IF(LEN(IF(LEN(INDEX('Checks'!$B$4:$B$503,_calc!$E$216))=0,"",INDEX('Checks'!$B$4:$B$503,_calc!$E$216)))=0,"","Role: "&amp;IF(LEN(INDEX('Checks'!$B$4:$B$503,_calc!$E$216))=0,"",INDEX('Checks'!$B$4:$B$503,_calc!$E$216))&amp;". ")&amp;IF(LEN(IF(LEN(INDEX('Checks'!$D$4:$D$503,_calc!$E$216))=0,"",INDEX('Checks'!$D$4:$D$503,_calc!$E$216)))=0,"","Check type: "&amp;IF(LEN(INDEX('Checks'!$D$4:$D$503,_calc!$E$216))=0,"",INDEX('Checks'!$D$4:$D$503,_calc!$E$216))&amp;". ")&amp;IF(LEN(IF(LEN(INDEX('Checks'!$E$4:$E$503,_calc!$E$216))=0,"",INDEX('Checks'!$E$4:$E$503,_calc!$E$216)))=0,"","Evidence: "&amp;IF(LEN(INDEX('Checks'!$E$4:$E$503,_calc!$E$216))=0,"",INDEX('Checks'!$E$4:$E$503,_calc!$E$216))&amp;". ")&amp;IF(LEN(IF(LEN(INDEX('Checks'!$G$4:$G$503,_calc!$E$216))=0,"",INDEX('Checks'!$G$4:$G$503,_calc!$E$216)))=0,"","Checked by: "&amp;IF(LEN(INDEX('Checks'!$G$4:$G$503,_calc!$E$216))=0,"",INDEX('Checks'!$G$4:$G$503,_calc!$E$216))&amp;". ")&amp;IF(LEN(IF(LEN(INDEX('Checks'!$Q$4:$Q$503,_calc!$E$216))=0,"",INDEX('Checks'!$Q$4:$Q$503,_calc!$E$216)))=0,"",IF(LEN(INDEX('Checks'!$Q$4:$Q$503,_calc!$E$216))=0,"",INDEX('Checks'!$Q$4:$Q$503,_calc!$E$216)))))</f>
        <v/>
      </c>
      <c r="G214" s="43">
        <f>IF(_calc!$E$216="","",IF(LEN(INDEX('Checks'!$P$4:$P$503,_calc!$E$216))=0,"",INDEX('Checks'!$P$4:$P$503,_calc!$E$216)))</f>
        <v/>
      </c>
      <c r="K214" s="43">
        <f>IF(_calc!$E$216="","",IF(LEN(INDEX('Checks'!$O$4:$O$503,_calc!$E$216))=0,"",INDEX('Checks'!$O$4:$O$503,_calc!$E$216)))</f>
        <v/>
      </c>
    </row>
    <row r="215">
      <c r="A215" s="43">
        <f>IF(_calc!$E$217="","","Right to work follow-up – "&amp;IF(LEN(INDEX('Checks'!$A$4:$A$503,_calc!$E$217))=0,"",INDEX('Checks'!$A$4:$A$503,_calc!$E$217)))</f>
        <v/>
      </c>
      <c r="B215" s="43">
        <f>IF(_calc!$E$217="","",IF(ISNUMBER(INDEX('Checks'!$H$4:$H$503,_calc!$E$217)),TEXT(INDEX('Checks'!$H$4:$H$503,_calc!$E$217),"yyyy-mm-dd"),""))</f>
        <v/>
      </c>
      <c r="C215" s="43">
        <f>IF(_calc!$E$217="","","Right to work")</f>
        <v/>
      </c>
      <c r="D215" s="43">
        <f>IF(_calc!$E$217="","",IF(ISNUMBER(INDEX('Checks'!$F$4:$F$503,_calc!$E$217)),TEXT(INDEX('Checks'!$F$4:$F$503,_calc!$E$217),"yyyy-mm-dd"),""))</f>
        <v/>
      </c>
      <c r="E215" s="43">
        <f>IF(_calc!$E$217="","","High")</f>
        <v/>
      </c>
      <c r="F215" s="43">
        <f>IF(_calc!$E$217="","",TRIM(IF(LEN(IF(LEN(INDEX('Checks'!$B$4:$B$503,_calc!$E$217))=0,"",INDEX('Checks'!$B$4:$B$503,_calc!$E$217)))=0,"","Role: "&amp;IF(LEN(INDEX('Checks'!$B$4:$B$503,_calc!$E$217))=0,"",INDEX('Checks'!$B$4:$B$503,_calc!$E$217))&amp;". ")&amp;IF(LEN(IF(LEN(INDEX('Checks'!$D$4:$D$503,_calc!$E$217))=0,"",INDEX('Checks'!$D$4:$D$503,_calc!$E$217)))=0,"","Check type: "&amp;IF(LEN(INDEX('Checks'!$D$4:$D$503,_calc!$E$217))=0,"",INDEX('Checks'!$D$4:$D$503,_calc!$E$217))&amp;". ")&amp;IF(LEN(IF(LEN(INDEX('Checks'!$E$4:$E$503,_calc!$E$217))=0,"",INDEX('Checks'!$E$4:$E$503,_calc!$E$217)))=0,"","Evidence: "&amp;IF(LEN(INDEX('Checks'!$E$4:$E$503,_calc!$E$217))=0,"",INDEX('Checks'!$E$4:$E$503,_calc!$E$217))&amp;". ")&amp;IF(LEN(IF(LEN(INDEX('Checks'!$G$4:$G$503,_calc!$E$217))=0,"",INDEX('Checks'!$G$4:$G$503,_calc!$E$217)))=0,"","Checked by: "&amp;IF(LEN(INDEX('Checks'!$G$4:$G$503,_calc!$E$217))=0,"",INDEX('Checks'!$G$4:$G$503,_calc!$E$217))&amp;". ")&amp;IF(LEN(IF(LEN(INDEX('Checks'!$Q$4:$Q$503,_calc!$E$217))=0,"",INDEX('Checks'!$Q$4:$Q$503,_calc!$E$217)))=0,"",IF(LEN(INDEX('Checks'!$Q$4:$Q$503,_calc!$E$217))=0,"",INDEX('Checks'!$Q$4:$Q$503,_calc!$E$217)))))</f>
        <v/>
      </c>
      <c r="G215" s="43">
        <f>IF(_calc!$E$217="","",IF(LEN(INDEX('Checks'!$P$4:$P$503,_calc!$E$217))=0,"",INDEX('Checks'!$P$4:$P$503,_calc!$E$217)))</f>
        <v/>
      </c>
      <c r="K215" s="43">
        <f>IF(_calc!$E$217="","",IF(LEN(INDEX('Checks'!$O$4:$O$503,_calc!$E$217))=0,"",INDEX('Checks'!$O$4:$O$503,_calc!$E$217)))</f>
        <v/>
      </c>
    </row>
    <row r="216">
      <c r="A216" s="43">
        <f>IF(_calc!$E$218="","","Right to work follow-up – "&amp;IF(LEN(INDEX('Checks'!$A$4:$A$503,_calc!$E$218))=0,"",INDEX('Checks'!$A$4:$A$503,_calc!$E$218)))</f>
        <v/>
      </c>
      <c r="B216" s="43">
        <f>IF(_calc!$E$218="","",IF(ISNUMBER(INDEX('Checks'!$H$4:$H$503,_calc!$E$218)),TEXT(INDEX('Checks'!$H$4:$H$503,_calc!$E$218),"yyyy-mm-dd"),""))</f>
        <v/>
      </c>
      <c r="C216" s="43">
        <f>IF(_calc!$E$218="","","Right to work")</f>
        <v/>
      </c>
      <c r="D216" s="43">
        <f>IF(_calc!$E$218="","",IF(ISNUMBER(INDEX('Checks'!$F$4:$F$503,_calc!$E$218)),TEXT(INDEX('Checks'!$F$4:$F$503,_calc!$E$218),"yyyy-mm-dd"),""))</f>
        <v/>
      </c>
      <c r="E216" s="43">
        <f>IF(_calc!$E$218="","","High")</f>
        <v/>
      </c>
      <c r="F216" s="43">
        <f>IF(_calc!$E$218="","",TRIM(IF(LEN(IF(LEN(INDEX('Checks'!$B$4:$B$503,_calc!$E$218))=0,"",INDEX('Checks'!$B$4:$B$503,_calc!$E$218)))=0,"","Role: "&amp;IF(LEN(INDEX('Checks'!$B$4:$B$503,_calc!$E$218))=0,"",INDEX('Checks'!$B$4:$B$503,_calc!$E$218))&amp;". ")&amp;IF(LEN(IF(LEN(INDEX('Checks'!$D$4:$D$503,_calc!$E$218))=0,"",INDEX('Checks'!$D$4:$D$503,_calc!$E$218)))=0,"","Check type: "&amp;IF(LEN(INDEX('Checks'!$D$4:$D$503,_calc!$E$218))=0,"",INDEX('Checks'!$D$4:$D$503,_calc!$E$218))&amp;". ")&amp;IF(LEN(IF(LEN(INDEX('Checks'!$E$4:$E$503,_calc!$E$218))=0,"",INDEX('Checks'!$E$4:$E$503,_calc!$E$218)))=0,"","Evidence: "&amp;IF(LEN(INDEX('Checks'!$E$4:$E$503,_calc!$E$218))=0,"",INDEX('Checks'!$E$4:$E$503,_calc!$E$218))&amp;". ")&amp;IF(LEN(IF(LEN(INDEX('Checks'!$G$4:$G$503,_calc!$E$218))=0,"",INDEX('Checks'!$G$4:$G$503,_calc!$E$218)))=0,"","Checked by: "&amp;IF(LEN(INDEX('Checks'!$G$4:$G$503,_calc!$E$218))=0,"",INDEX('Checks'!$G$4:$G$503,_calc!$E$218))&amp;". ")&amp;IF(LEN(IF(LEN(INDEX('Checks'!$Q$4:$Q$503,_calc!$E$218))=0,"",INDEX('Checks'!$Q$4:$Q$503,_calc!$E$218)))=0,"",IF(LEN(INDEX('Checks'!$Q$4:$Q$503,_calc!$E$218))=0,"",INDEX('Checks'!$Q$4:$Q$503,_calc!$E$218)))))</f>
        <v/>
      </c>
      <c r="G216" s="43">
        <f>IF(_calc!$E$218="","",IF(LEN(INDEX('Checks'!$P$4:$P$503,_calc!$E$218))=0,"",INDEX('Checks'!$P$4:$P$503,_calc!$E$218)))</f>
        <v/>
      </c>
      <c r="K216" s="43">
        <f>IF(_calc!$E$218="","",IF(LEN(INDEX('Checks'!$O$4:$O$503,_calc!$E$218))=0,"",INDEX('Checks'!$O$4:$O$503,_calc!$E$218)))</f>
        <v/>
      </c>
    </row>
    <row r="217">
      <c r="A217" s="43">
        <f>IF(_calc!$E$219="","","Right to work follow-up – "&amp;IF(LEN(INDEX('Checks'!$A$4:$A$503,_calc!$E$219))=0,"",INDEX('Checks'!$A$4:$A$503,_calc!$E$219)))</f>
        <v/>
      </c>
      <c r="B217" s="43">
        <f>IF(_calc!$E$219="","",IF(ISNUMBER(INDEX('Checks'!$H$4:$H$503,_calc!$E$219)),TEXT(INDEX('Checks'!$H$4:$H$503,_calc!$E$219),"yyyy-mm-dd"),""))</f>
        <v/>
      </c>
      <c r="C217" s="43">
        <f>IF(_calc!$E$219="","","Right to work")</f>
        <v/>
      </c>
      <c r="D217" s="43">
        <f>IF(_calc!$E$219="","",IF(ISNUMBER(INDEX('Checks'!$F$4:$F$503,_calc!$E$219)),TEXT(INDEX('Checks'!$F$4:$F$503,_calc!$E$219),"yyyy-mm-dd"),""))</f>
        <v/>
      </c>
      <c r="E217" s="43">
        <f>IF(_calc!$E$219="","","High")</f>
        <v/>
      </c>
      <c r="F217" s="43">
        <f>IF(_calc!$E$219="","",TRIM(IF(LEN(IF(LEN(INDEX('Checks'!$B$4:$B$503,_calc!$E$219))=0,"",INDEX('Checks'!$B$4:$B$503,_calc!$E$219)))=0,"","Role: "&amp;IF(LEN(INDEX('Checks'!$B$4:$B$503,_calc!$E$219))=0,"",INDEX('Checks'!$B$4:$B$503,_calc!$E$219))&amp;". ")&amp;IF(LEN(IF(LEN(INDEX('Checks'!$D$4:$D$503,_calc!$E$219))=0,"",INDEX('Checks'!$D$4:$D$503,_calc!$E$219)))=0,"","Check type: "&amp;IF(LEN(INDEX('Checks'!$D$4:$D$503,_calc!$E$219))=0,"",INDEX('Checks'!$D$4:$D$503,_calc!$E$219))&amp;". ")&amp;IF(LEN(IF(LEN(INDEX('Checks'!$E$4:$E$503,_calc!$E$219))=0,"",INDEX('Checks'!$E$4:$E$503,_calc!$E$219)))=0,"","Evidence: "&amp;IF(LEN(INDEX('Checks'!$E$4:$E$503,_calc!$E$219))=0,"",INDEX('Checks'!$E$4:$E$503,_calc!$E$219))&amp;". ")&amp;IF(LEN(IF(LEN(INDEX('Checks'!$G$4:$G$503,_calc!$E$219))=0,"",INDEX('Checks'!$G$4:$G$503,_calc!$E$219)))=0,"","Checked by: "&amp;IF(LEN(INDEX('Checks'!$G$4:$G$503,_calc!$E$219))=0,"",INDEX('Checks'!$G$4:$G$503,_calc!$E$219))&amp;". ")&amp;IF(LEN(IF(LEN(INDEX('Checks'!$Q$4:$Q$503,_calc!$E$219))=0,"",INDEX('Checks'!$Q$4:$Q$503,_calc!$E$219)))=0,"",IF(LEN(INDEX('Checks'!$Q$4:$Q$503,_calc!$E$219))=0,"",INDEX('Checks'!$Q$4:$Q$503,_calc!$E$219)))))</f>
        <v/>
      </c>
      <c r="G217" s="43">
        <f>IF(_calc!$E$219="","",IF(LEN(INDEX('Checks'!$P$4:$P$503,_calc!$E$219))=0,"",INDEX('Checks'!$P$4:$P$503,_calc!$E$219)))</f>
        <v/>
      </c>
      <c r="K217" s="43">
        <f>IF(_calc!$E$219="","",IF(LEN(INDEX('Checks'!$O$4:$O$503,_calc!$E$219))=0,"",INDEX('Checks'!$O$4:$O$503,_calc!$E$219)))</f>
        <v/>
      </c>
    </row>
    <row r="218">
      <c r="A218" s="43">
        <f>IF(_calc!$E$220="","","Right to work follow-up – "&amp;IF(LEN(INDEX('Checks'!$A$4:$A$503,_calc!$E$220))=0,"",INDEX('Checks'!$A$4:$A$503,_calc!$E$220)))</f>
        <v/>
      </c>
      <c r="B218" s="43">
        <f>IF(_calc!$E$220="","",IF(ISNUMBER(INDEX('Checks'!$H$4:$H$503,_calc!$E$220)),TEXT(INDEX('Checks'!$H$4:$H$503,_calc!$E$220),"yyyy-mm-dd"),""))</f>
        <v/>
      </c>
      <c r="C218" s="43">
        <f>IF(_calc!$E$220="","","Right to work")</f>
        <v/>
      </c>
      <c r="D218" s="43">
        <f>IF(_calc!$E$220="","",IF(ISNUMBER(INDEX('Checks'!$F$4:$F$503,_calc!$E$220)),TEXT(INDEX('Checks'!$F$4:$F$503,_calc!$E$220),"yyyy-mm-dd"),""))</f>
        <v/>
      </c>
      <c r="E218" s="43">
        <f>IF(_calc!$E$220="","","High")</f>
        <v/>
      </c>
      <c r="F218" s="43">
        <f>IF(_calc!$E$220="","",TRIM(IF(LEN(IF(LEN(INDEX('Checks'!$B$4:$B$503,_calc!$E$220))=0,"",INDEX('Checks'!$B$4:$B$503,_calc!$E$220)))=0,"","Role: "&amp;IF(LEN(INDEX('Checks'!$B$4:$B$503,_calc!$E$220))=0,"",INDEX('Checks'!$B$4:$B$503,_calc!$E$220))&amp;". ")&amp;IF(LEN(IF(LEN(INDEX('Checks'!$D$4:$D$503,_calc!$E$220))=0,"",INDEX('Checks'!$D$4:$D$503,_calc!$E$220)))=0,"","Check type: "&amp;IF(LEN(INDEX('Checks'!$D$4:$D$503,_calc!$E$220))=0,"",INDEX('Checks'!$D$4:$D$503,_calc!$E$220))&amp;". ")&amp;IF(LEN(IF(LEN(INDEX('Checks'!$E$4:$E$503,_calc!$E$220))=0,"",INDEX('Checks'!$E$4:$E$503,_calc!$E$220)))=0,"","Evidence: "&amp;IF(LEN(INDEX('Checks'!$E$4:$E$503,_calc!$E$220))=0,"",INDEX('Checks'!$E$4:$E$503,_calc!$E$220))&amp;". ")&amp;IF(LEN(IF(LEN(INDEX('Checks'!$G$4:$G$503,_calc!$E$220))=0,"",INDEX('Checks'!$G$4:$G$503,_calc!$E$220)))=0,"","Checked by: "&amp;IF(LEN(INDEX('Checks'!$G$4:$G$503,_calc!$E$220))=0,"",INDEX('Checks'!$G$4:$G$503,_calc!$E$220))&amp;". ")&amp;IF(LEN(IF(LEN(INDEX('Checks'!$Q$4:$Q$503,_calc!$E$220))=0,"",INDEX('Checks'!$Q$4:$Q$503,_calc!$E$220)))=0,"",IF(LEN(INDEX('Checks'!$Q$4:$Q$503,_calc!$E$220))=0,"",INDEX('Checks'!$Q$4:$Q$503,_calc!$E$220)))))</f>
        <v/>
      </c>
      <c r="G218" s="43">
        <f>IF(_calc!$E$220="","",IF(LEN(INDEX('Checks'!$P$4:$P$503,_calc!$E$220))=0,"",INDEX('Checks'!$P$4:$P$503,_calc!$E$220)))</f>
        <v/>
      </c>
      <c r="K218" s="43">
        <f>IF(_calc!$E$220="","",IF(LEN(INDEX('Checks'!$O$4:$O$503,_calc!$E$220))=0,"",INDEX('Checks'!$O$4:$O$503,_calc!$E$220)))</f>
        <v/>
      </c>
    </row>
    <row r="219">
      <c r="A219" s="43">
        <f>IF(_calc!$E$221="","","Right to work follow-up – "&amp;IF(LEN(INDEX('Checks'!$A$4:$A$503,_calc!$E$221))=0,"",INDEX('Checks'!$A$4:$A$503,_calc!$E$221)))</f>
        <v/>
      </c>
      <c r="B219" s="43">
        <f>IF(_calc!$E$221="","",IF(ISNUMBER(INDEX('Checks'!$H$4:$H$503,_calc!$E$221)),TEXT(INDEX('Checks'!$H$4:$H$503,_calc!$E$221),"yyyy-mm-dd"),""))</f>
        <v/>
      </c>
      <c r="C219" s="43">
        <f>IF(_calc!$E$221="","","Right to work")</f>
        <v/>
      </c>
      <c r="D219" s="43">
        <f>IF(_calc!$E$221="","",IF(ISNUMBER(INDEX('Checks'!$F$4:$F$503,_calc!$E$221)),TEXT(INDEX('Checks'!$F$4:$F$503,_calc!$E$221),"yyyy-mm-dd"),""))</f>
        <v/>
      </c>
      <c r="E219" s="43">
        <f>IF(_calc!$E$221="","","High")</f>
        <v/>
      </c>
      <c r="F219" s="43">
        <f>IF(_calc!$E$221="","",TRIM(IF(LEN(IF(LEN(INDEX('Checks'!$B$4:$B$503,_calc!$E$221))=0,"",INDEX('Checks'!$B$4:$B$503,_calc!$E$221)))=0,"","Role: "&amp;IF(LEN(INDEX('Checks'!$B$4:$B$503,_calc!$E$221))=0,"",INDEX('Checks'!$B$4:$B$503,_calc!$E$221))&amp;". ")&amp;IF(LEN(IF(LEN(INDEX('Checks'!$D$4:$D$503,_calc!$E$221))=0,"",INDEX('Checks'!$D$4:$D$503,_calc!$E$221)))=0,"","Check type: "&amp;IF(LEN(INDEX('Checks'!$D$4:$D$503,_calc!$E$221))=0,"",INDEX('Checks'!$D$4:$D$503,_calc!$E$221))&amp;". ")&amp;IF(LEN(IF(LEN(INDEX('Checks'!$E$4:$E$503,_calc!$E$221))=0,"",INDEX('Checks'!$E$4:$E$503,_calc!$E$221)))=0,"","Evidence: "&amp;IF(LEN(INDEX('Checks'!$E$4:$E$503,_calc!$E$221))=0,"",INDEX('Checks'!$E$4:$E$503,_calc!$E$221))&amp;". ")&amp;IF(LEN(IF(LEN(INDEX('Checks'!$G$4:$G$503,_calc!$E$221))=0,"",INDEX('Checks'!$G$4:$G$503,_calc!$E$221)))=0,"","Checked by: "&amp;IF(LEN(INDEX('Checks'!$G$4:$G$503,_calc!$E$221))=0,"",INDEX('Checks'!$G$4:$G$503,_calc!$E$221))&amp;". ")&amp;IF(LEN(IF(LEN(INDEX('Checks'!$Q$4:$Q$503,_calc!$E$221))=0,"",INDEX('Checks'!$Q$4:$Q$503,_calc!$E$221)))=0,"",IF(LEN(INDEX('Checks'!$Q$4:$Q$503,_calc!$E$221))=0,"",INDEX('Checks'!$Q$4:$Q$503,_calc!$E$221)))))</f>
        <v/>
      </c>
      <c r="G219" s="43">
        <f>IF(_calc!$E$221="","",IF(LEN(INDEX('Checks'!$P$4:$P$503,_calc!$E$221))=0,"",INDEX('Checks'!$P$4:$P$503,_calc!$E$221)))</f>
        <v/>
      </c>
      <c r="K219" s="43">
        <f>IF(_calc!$E$221="","",IF(LEN(INDEX('Checks'!$O$4:$O$503,_calc!$E$221))=0,"",INDEX('Checks'!$O$4:$O$503,_calc!$E$221)))</f>
        <v/>
      </c>
    </row>
    <row r="220">
      <c r="A220" s="43">
        <f>IF(_calc!$E$222="","","Right to work follow-up – "&amp;IF(LEN(INDEX('Checks'!$A$4:$A$503,_calc!$E$222))=0,"",INDEX('Checks'!$A$4:$A$503,_calc!$E$222)))</f>
        <v/>
      </c>
      <c r="B220" s="43">
        <f>IF(_calc!$E$222="","",IF(ISNUMBER(INDEX('Checks'!$H$4:$H$503,_calc!$E$222)),TEXT(INDEX('Checks'!$H$4:$H$503,_calc!$E$222),"yyyy-mm-dd"),""))</f>
        <v/>
      </c>
      <c r="C220" s="43">
        <f>IF(_calc!$E$222="","","Right to work")</f>
        <v/>
      </c>
      <c r="D220" s="43">
        <f>IF(_calc!$E$222="","",IF(ISNUMBER(INDEX('Checks'!$F$4:$F$503,_calc!$E$222)),TEXT(INDEX('Checks'!$F$4:$F$503,_calc!$E$222),"yyyy-mm-dd"),""))</f>
        <v/>
      </c>
      <c r="E220" s="43">
        <f>IF(_calc!$E$222="","","High")</f>
        <v/>
      </c>
      <c r="F220" s="43">
        <f>IF(_calc!$E$222="","",TRIM(IF(LEN(IF(LEN(INDEX('Checks'!$B$4:$B$503,_calc!$E$222))=0,"",INDEX('Checks'!$B$4:$B$503,_calc!$E$222)))=0,"","Role: "&amp;IF(LEN(INDEX('Checks'!$B$4:$B$503,_calc!$E$222))=0,"",INDEX('Checks'!$B$4:$B$503,_calc!$E$222))&amp;". ")&amp;IF(LEN(IF(LEN(INDEX('Checks'!$D$4:$D$503,_calc!$E$222))=0,"",INDEX('Checks'!$D$4:$D$503,_calc!$E$222)))=0,"","Check type: "&amp;IF(LEN(INDEX('Checks'!$D$4:$D$503,_calc!$E$222))=0,"",INDEX('Checks'!$D$4:$D$503,_calc!$E$222))&amp;". ")&amp;IF(LEN(IF(LEN(INDEX('Checks'!$E$4:$E$503,_calc!$E$222))=0,"",INDEX('Checks'!$E$4:$E$503,_calc!$E$222)))=0,"","Evidence: "&amp;IF(LEN(INDEX('Checks'!$E$4:$E$503,_calc!$E$222))=0,"",INDEX('Checks'!$E$4:$E$503,_calc!$E$222))&amp;". ")&amp;IF(LEN(IF(LEN(INDEX('Checks'!$G$4:$G$503,_calc!$E$222))=0,"",INDEX('Checks'!$G$4:$G$503,_calc!$E$222)))=0,"","Checked by: "&amp;IF(LEN(INDEX('Checks'!$G$4:$G$503,_calc!$E$222))=0,"",INDEX('Checks'!$G$4:$G$503,_calc!$E$222))&amp;". ")&amp;IF(LEN(IF(LEN(INDEX('Checks'!$Q$4:$Q$503,_calc!$E$222))=0,"",INDEX('Checks'!$Q$4:$Q$503,_calc!$E$222)))=0,"",IF(LEN(INDEX('Checks'!$Q$4:$Q$503,_calc!$E$222))=0,"",INDEX('Checks'!$Q$4:$Q$503,_calc!$E$222)))))</f>
        <v/>
      </c>
      <c r="G220" s="43">
        <f>IF(_calc!$E$222="","",IF(LEN(INDEX('Checks'!$P$4:$P$503,_calc!$E$222))=0,"",INDEX('Checks'!$P$4:$P$503,_calc!$E$222)))</f>
        <v/>
      </c>
      <c r="K220" s="43">
        <f>IF(_calc!$E$222="","",IF(LEN(INDEX('Checks'!$O$4:$O$503,_calc!$E$222))=0,"",INDEX('Checks'!$O$4:$O$503,_calc!$E$222)))</f>
        <v/>
      </c>
    </row>
    <row r="221">
      <c r="A221" s="43">
        <f>IF(_calc!$E$223="","","Right to work follow-up – "&amp;IF(LEN(INDEX('Checks'!$A$4:$A$503,_calc!$E$223))=0,"",INDEX('Checks'!$A$4:$A$503,_calc!$E$223)))</f>
        <v/>
      </c>
      <c r="B221" s="43">
        <f>IF(_calc!$E$223="","",IF(ISNUMBER(INDEX('Checks'!$H$4:$H$503,_calc!$E$223)),TEXT(INDEX('Checks'!$H$4:$H$503,_calc!$E$223),"yyyy-mm-dd"),""))</f>
        <v/>
      </c>
      <c r="C221" s="43">
        <f>IF(_calc!$E$223="","","Right to work")</f>
        <v/>
      </c>
      <c r="D221" s="43">
        <f>IF(_calc!$E$223="","",IF(ISNUMBER(INDEX('Checks'!$F$4:$F$503,_calc!$E$223)),TEXT(INDEX('Checks'!$F$4:$F$503,_calc!$E$223),"yyyy-mm-dd"),""))</f>
        <v/>
      </c>
      <c r="E221" s="43">
        <f>IF(_calc!$E$223="","","High")</f>
        <v/>
      </c>
      <c r="F221" s="43">
        <f>IF(_calc!$E$223="","",TRIM(IF(LEN(IF(LEN(INDEX('Checks'!$B$4:$B$503,_calc!$E$223))=0,"",INDEX('Checks'!$B$4:$B$503,_calc!$E$223)))=0,"","Role: "&amp;IF(LEN(INDEX('Checks'!$B$4:$B$503,_calc!$E$223))=0,"",INDEX('Checks'!$B$4:$B$503,_calc!$E$223))&amp;". ")&amp;IF(LEN(IF(LEN(INDEX('Checks'!$D$4:$D$503,_calc!$E$223))=0,"",INDEX('Checks'!$D$4:$D$503,_calc!$E$223)))=0,"","Check type: "&amp;IF(LEN(INDEX('Checks'!$D$4:$D$503,_calc!$E$223))=0,"",INDEX('Checks'!$D$4:$D$503,_calc!$E$223))&amp;". ")&amp;IF(LEN(IF(LEN(INDEX('Checks'!$E$4:$E$503,_calc!$E$223))=0,"",INDEX('Checks'!$E$4:$E$503,_calc!$E$223)))=0,"","Evidence: "&amp;IF(LEN(INDEX('Checks'!$E$4:$E$503,_calc!$E$223))=0,"",INDEX('Checks'!$E$4:$E$503,_calc!$E$223))&amp;". ")&amp;IF(LEN(IF(LEN(INDEX('Checks'!$G$4:$G$503,_calc!$E$223))=0,"",INDEX('Checks'!$G$4:$G$503,_calc!$E$223)))=0,"","Checked by: "&amp;IF(LEN(INDEX('Checks'!$G$4:$G$503,_calc!$E$223))=0,"",INDEX('Checks'!$G$4:$G$503,_calc!$E$223))&amp;". ")&amp;IF(LEN(IF(LEN(INDEX('Checks'!$Q$4:$Q$503,_calc!$E$223))=0,"",INDEX('Checks'!$Q$4:$Q$503,_calc!$E$223)))=0,"",IF(LEN(INDEX('Checks'!$Q$4:$Q$503,_calc!$E$223))=0,"",INDEX('Checks'!$Q$4:$Q$503,_calc!$E$223)))))</f>
        <v/>
      </c>
      <c r="G221" s="43">
        <f>IF(_calc!$E$223="","",IF(LEN(INDEX('Checks'!$P$4:$P$503,_calc!$E$223))=0,"",INDEX('Checks'!$P$4:$P$503,_calc!$E$223)))</f>
        <v/>
      </c>
      <c r="K221" s="43">
        <f>IF(_calc!$E$223="","",IF(LEN(INDEX('Checks'!$O$4:$O$503,_calc!$E$223))=0,"",INDEX('Checks'!$O$4:$O$503,_calc!$E$223)))</f>
        <v/>
      </c>
    </row>
    <row r="222">
      <c r="A222" s="43">
        <f>IF(_calc!$E$224="","","Right to work follow-up – "&amp;IF(LEN(INDEX('Checks'!$A$4:$A$503,_calc!$E$224))=0,"",INDEX('Checks'!$A$4:$A$503,_calc!$E$224)))</f>
        <v/>
      </c>
      <c r="B222" s="43">
        <f>IF(_calc!$E$224="","",IF(ISNUMBER(INDEX('Checks'!$H$4:$H$503,_calc!$E$224)),TEXT(INDEX('Checks'!$H$4:$H$503,_calc!$E$224),"yyyy-mm-dd"),""))</f>
        <v/>
      </c>
      <c r="C222" s="43">
        <f>IF(_calc!$E$224="","","Right to work")</f>
        <v/>
      </c>
      <c r="D222" s="43">
        <f>IF(_calc!$E$224="","",IF(ISNUMBER(INDEX('Checks'!$F$4:$F$503,_calc!$E$224)),TEXT(INDEX('Checks'!$F$4:$F$503,_calc!$E$224),"yyyy-mm-dd"),""))</f>
        <v/>
      </c>
      <c r="E222" s="43">
        <f>IF(_calc!$E$224="","","High")</f>
        <v/>
      </c>
      <c r="F222" s="43">
        <f>IF(_calc!$E$224="","",TRIM(IF(LEN(IF(LEN(INDEX('Checks'!$B$4:$B$503,_calc!$E$224))=0,"",INDEX('Checks'!$B$4:$B$503,_calc!$E$224)))=0,"","Role: "&amp;IF(LEN(INDEX('Checks'!$B$4:$B$503,_calc!$E$224))=0,"",INDEX('Checks'!$B$4:$B$503,_calc!$E$224))&amp;". ")&amp;IF(LEN(IF(LEN(INDEX('Checks'!$D$4:$D$503,_calc!$E$224))=0,"",INDEX('Checks'!$D$4:$D$503,_calc!$E$224)))=0,"","Check type: "&amp;IF(LEN(INDEX('Checks'!$D$4:$D$503,_calc!$E$224))=0,"",INDEX('Checks'!$D$4:$D$503,_calc!$E$224))&amp;". ")&amp;IF(LEN(IF(LEN(INDEX('Checks'!$E$4:$E$503,_calc!$E$224))=0,"",INDEX('Checks'!$E$4:$E$503,_calc!$E$224)))=0,"","Evidence: "&amp;IF(LEN(INDEX('Checks'!$E$4:$E$503,_calc!$E$224))=0,"",INDEX('Checks'!$E$4:$E$503,_calc!$E$224))&amp;". ")&amp;IF(LEN(IF(LEN(INDEX('Checks'!$G$4:$G$503,_calc!$E$224))=0,"",INDEX('Checks'!$G$4:$G$503,_calc!$E$224)))=0,"","Checked by: "&amp;IF(LEN(INDEX('Checks'!$G$4:$G$503,_calc!$E$224))=0,"",INDEX('Checks'!$G$4:$G$503,_calc!$E$224))&amp;". ")&amp;IF(LEN(IF(LEN(INDEX('Checks'!$Q$4:$Q$503,_calc!$E$224))=0,"",INDEX('Checks'!$Q$4:$Q$503,_calc!$E$224)))=0,"",IF(LEN(INDEX('Checks'!$Q$4:$Q$503,_calc!$E$224))=0,"",INDEX('Checks'!$Q$4:$Q$503,_calc!$E$224)))))</f>
        <v/>
      </c>
      <c r="G222" s="43">
        <f>IF(_calc!$E$224="","",IF(LEN(INDEX('Checks'!$P$4:$P$503,_calc!$E$224))=0,"",INDEX('Checks'!$P$4:$P$503,_calc!$E$224)))</f>
        <v/>
      </c>
      <c r="K222" s="43">
        <f>IF(_calc!$E$224="","",IF(LEN(INDEX('Checks'!$O$4:$O$503,_calc!$E$224))=0,"",INDEX('Checks'!$O$4:$O$503,_calc!$E$224)))</f>
        <v/>
      </c>
    </row>
    <row r="223">
      <c r="A223" s="43">
        <f>IF(_calc!$E$225="","","Right to work follow-up – "&amp;IF(LEN(INDEX('Checks'!$A$4:$A$503,_calc!$E$225))=0,"",INDEX('Checks'!$A$4:$A$503,_calc!$E$225)))</f>
        <v/>
      </c>
      <c r="B223" s="43">
        <f>IF(_calc!$E$225="","",IF(ISNUMBER(INDEX('Checks'!$H$4:$H$503,_calc!$E$225)),TEXT(INDEX('Checks'!$H$4:$H$503,_calc!$E$225),"yyyy-mm-dd"),""))</f>
        <v/>
      </c>
      <c r="C223" s="43">
        <f>IF(_calc!$E$225="","","Right to work")</f>
        <v/>
      </c>
      <c r="D223" s="43">
        <f>IF(_calc!$E$225="","",IF(ISNUMBER(INDEX('Checks'!$F$4:$F$503,_calc!$E$225)),TEXT(INDEX('Checks'!$F$4:$F$503,_calc!$E$225),"yyyy-mm-dd"),""))</f>
        <v/>
      </c>
      <c r="E223" s="43">
        <f>IF(_calc!$E$225="","","High")</f>
        <v/>
      </c>
      <c r="F223" s="43">
        <f>IF(_calc!$E$225="","",TRIM(IF(LEN(IF(LEN(INDEX('Checks'!$B$4:$B$503,_calc!$E$225))=0,"",INDEX('Checks'!$B$4:$B$503,_calc!$E$225)))=0,"","Role: "&amp;IF(LEN(INDEX('Checks'!$B$4:$B$503,_calc!$E$225))=0,"",INDEX('Checks'!$B$4:$B$503,_calc!$E$225))&amp;". ")&amp;IF(LEN(IF(LEN(INDEX('Checks'!$D$4:$D$503,_calc!$E$225))=0,"",INDEX('Checks'!$D$4:$D$503,_calc!$E$225)))=0,"","Check type: "&amp;IF(LEN(INDEX('Checks'!$D$4:$D$503,_calc!$E$225))=0,"",INDEX('Checks'!$D$4:$D$503,_calc!$E$225))&amp;". ")&amp;IF(LEN(IF(LEN(INDEX('Checks'!$E$4:$E$503,_calc!$E$225))=0,"",INDEX('Checks'!$E$4:$E$503,_calc!$E$225)))=0,"","Evidence: "&amp;IF(LEN(INDEX('Checks'!$E$4:$E$503,_calc!$E$225))=0,"",INDEX('Checks'!$E$4:$E$503,_calc!$E$225))&amp;". ")&amp;IF(LEN(IF(LEN(INDEX('Checks'!$G$4:$G$503,_calc!$E$225))=0,"",INDEX('Checks'!$G$4:$G$503,_calc!$E$225)))=0,"","Checked by: "&amp;IF(LEN(INDEX('Checks'!$G$4:$G$503,_calc!$E$225))=0,"",INDEX('Checks'!$G$4:$G$503,_calc!$E$225))&amp;". ")&amp;IF(LEN(IF(LEN(INDEX('Checks'!$Q$4:$Q$503,_calc!$E$225))=0,"",INDEX('Checks'!$Q$4:$Q$503,_calc!$E$225)))=0,"",IF(LEN(INDEX('Checks'!$Q$4:$Q$503,_calc!$E$225))=0,"",INDEX('Checks'!$Q$4:$Q$503,_calc!$E$225)))))</f>
        <v/>
      </c>
      <c r="G223" s="43">
        <f>IF(_calc!$E$225="","",IF(LEN(INDEX('Checks'!$P$4:$P$503,_calc!$E$225))=0,"",INDEX('Checks'!$P$4:$P$503,_calc!$E$225)))</f>
        <v/>
      </c>
      <c r="K223" s="43">
        <f>IF(_calc!$E$225="","",IF(LEN(INDEX('Checks'!$O$4:$O$503,_calc!$E$225))=0,"",INDEX('Checks'!$O$4:$O$503,_calc!$E$225)))</f>
        <v/>
      </c>
    </row>
    <row r="224">
      <c r="A224" s="43">
        <f>IF(_calc!$E$226="","","Right to work follow-up – "&amp;IF(LEN(INDEX('Checks'!$A$4:$A$503,_calc!$E$226))=0,"",INDEX('Checks'!$A$4:$A$503,_calc!$E$226)))</f>
        <v/>
      </c>
      <c r="B224" s="43">
        <f>IF(_calc!$E$226="","",IF(ISNUMBER(INDEX('Checks'!$H$4:$H$503,_calc!$E$226)),TEXT(INDEX('Checks'!$H$4:$H$503,_calc!$E$226),"yyyy-mm-dd"),""))</f>
        <v/>
      </c>
      <c r="C224" s="43">
        <f>IF(_calc!$E$226="","","Right to work")</f>
        <v/>
      </c>
      <c r="D224" s="43">
        <f>IF(_calc!$E$226="","",IF(ISNUMBER(INDEX('Checks'!$F$4:$F$503,_calc!$E$226)),TEXT(INDEX('Checks'!$F$4:$F$503,_calc!$E$226),"yyyy-mm-dd"),""))</f>
        <v/>
      </c>
      <c r="E224" s="43">
        <f>IF(_calc!$E$226="","","High")</f>
        <v/>
      </c>
      <c r="F224" s="43">
        <f>IF(_calc!$E$226="","",TRIM(IF(LEN(IF(LEN(INDEX('Checks'!$B$4:$B$503,_calc!$E$226))=0,"",INDEX('Checks'!$B$4:$B$503,_calc!$E$226)))=0,"","Role: "&amp;IF(LEN(INDEX('Checks'!$B$4:$B$503,_calc!$E$226))=0,"",INDEX('Checks'!$B$4:$B$503,_calc!$E$226))&amp;". ")&amp;IF(LEN(IF(LEN(INDEX('Checks'!$D$4:$D$503,_calc!$E$226))=0,"",INDEX('Checks'!$D$4:$D$503,_calc!$E$226)))=0,"","Check type: "&amp;IF(LEN(INDEX('Checks'!$D$4:$D$503,_calc!$E$226))=0,"",INDEX('Checks'!$D$4:$D$503,_calc!$E$226))&amp;". ")&amp;IF(LEN(IF(LEN(INDEX('Checks'!$E$4:$E$503,_calc!$E$226))=0,"",INDEX('Checks'!$E$4:$E$503,_calc!$E$226)))=0,"","Evidence: "&amp;IF(LEN(INDEX('Checks'!$E$4:$E$503,_calc!$E$226))=0,"",INDEX('Checks'!$E$4:$E$503,_calc!$E$226))&amp;". ")&amp;IF(LEN(IF(LEN(INDEX('Checks'!$G$4:$G$503,_calc!$E$226))=0,"",INDEX('Checks'!$G$4:$G$503,_calc!$E$226)))=0,"","Checked by: "&amp;IF(LEN(INDEX('Checks'!$G$4:$G$503,_calc!$E$226))=0,"",INDEX('Checks'!$G$4:$G$503,_calc!$E$226))&amp;". ")&amp;IF(LEN(IF(LEN(INDEX('Checks'!$Q$4:$Q$503,_calc!$E$226))=0,"",INDEX('Checks'!$Q$4:$Q$503,_calc!$E$226)))=0,"",IF(LEN(INDEX('Checks'!$Q$4:$Q$503,_calc!$E$226))=0,"",INDEX('Checks'!$Q$4:$Q$503,_calc!$E$226)))))</f>
        <v/>
      </c>
      <c r="G224" s="43">
        <f>IF(_calc!$E$226="","",IF(LEN(INDEX('Checks'!$P$4:$P$503,_calc!$E$226))=0,"",INDEX('Checks'!$P$4:$P$503,_calc!$E$226)))</f>
        <v/>
      </c>
      <c r="K224" s="43">
        <f>IF(_calc!$E$226="","",IF(LEN(INDEX('Checks'!$O$4:$O$503,_calc!$E$226))=0,"",INDEX('Checks'!$O$4:$O$503,_calc!$E$226)))</f>
        <v/>
      </c>
    </row>
    <row r="225">
      <c r="A225" s="43">
        <f>IF(_calc!$E$227="","","Right to work follow-up – "&amp;IF(LEN(INDEX('Checks'!$A$4:$A$503,_calc!$E$227))=0,"",INDEX('Checks'!$A$4:$A$503,_calc!$E$227)))</f>
        <v/>
      </c>
      <c r="B225" s="43">
        <f>IF(_calc!$E$227="","",IF(ISNUMBER(INDEX('Checks'!$H$4:$H$503,_calc!$E$227)),TEXT(INDEX('Checks'!$H$4:$H$503,_calc!$E$227),"yyyy-mm-dd"),""))</f>
        <v/>
      </c>
      <c r="C225" s="43">
        <f>IF(_calc!$E$227="","","Right to work")</f>
        <v/>
      </c>
      <c r="D225" s="43">
        <f>IF(_calc!$E$227="","",IF(ISNUMBER(INDEX('Checks'!$F$4:$F$503,_calc!$E$227)),TEXT(INDEX('Checks'!$F$4:$F$503,_calc!$E$227),"yyyy-mm-dd"),""))</f>
        <v/>
      </c>
      <c r="E225" s="43">
        <f>IF(_calc!$E$227="","","High")</f>
        <v/>
      </c>
      <c r="F225" s="43">
        <f>IF(_calc!$E$227="","",TRIM(IF(LEN(IF(LEN(INDEX('Checks'!$B$4:$B$503,_calc!$E$227))=0,"",INDEX('Checks'!$B$4:$B$503,_calc!$E$227)))=0,"","Role: "&amp;IF(LEN(INDEX('Checks'!$B$4:$B$503,_calc!$E$227))=0,"",INDEX('Checks'!$B$4:$B$503,_calc!$E$227))&amp;". ")&amp;IF(LEN(IF(LEN(INDEX('Checks'!$D$4:$D$503,_calc!$E$227))=0,"",INDEX('Checks'!$D$4:$D$503,_calc!$E$227)))=0,"","Check type: "&amp;IF(LEN(INDEX('Checks'!$D$4:$D$503,_calc!$E$227))=0,"",INDEX('Checks'!$D$4:$D$503,_calc!$E$227))&amp;". ")&amp;IF(LEN(IF(LEN(INDEX('Checks'!$E$4:$E$503,_calc!$E$227))=0,"",INDEX('Checks'!$E$4:$E$503,_calc!$E$227)))=0,"","Evidence: "&amp;IF(LEN(INDEX('Checks'!$E$4:$E$503,_calc!$E$227))=0,"",INDEX('Checks'!$E$4:$E$503,_calc!$E$227))&amp;". ")&amp;IF(LEN(IF(LEN(INDEX('Checks'!$G$4:$G$503,_calc!$E$227))=0,"",INDEX('Checks'!$G$4:$G$503,_calc!$E$227)))=0,"","Checked by: "&amp;IF(LEN(INDEX('Checks'!$G$4:$G$503,_calc!$E$227))=0,"",INDEX('Checks'!$G$4:$G$503,_calc!$E$227))&amp;". ")&amp;IF(LEN(IF(LEN(INDEX('Checks'!$Q$4:$Q$503,_calc!$E$227))=0,"",INDEX('Checks'!$Q$4:$Q$503,_calc!$E$227)))=0,"",IF(LEN(INDEX('Checks'!$Q$4:$Q$503,_calc!$E$227))=0,"",INDEX('Checks'!$Q$4:$Q$503,_calc!$E$227)))))</f>
        <v/>
      </c>
      <c r="G225" s="43">
        <f>IF(_calc!$E$227="","",IF(LEN(INDEX('Checks'!$P$4:$P$503,_calc!$E$227))=0,"",INDEX('Checks'!$P$4:$P$503,_calc!$E$227)))</f>
        <v/>
      </c>
      <c r="K225" s="43">
        <f>IF(_calc!$E$227="","",IF(LEN(INDEX('Checks'!$O$4:$O$503,_calc!$E$227))=0,"",INDEX('Checks'!$O$4:$O$503,_calc!$E$227)))</f>
        <v/>
      </c>
    </row>
    <row r="226">
      <c r="A226" s="43">
        <f>IF(_calc!$E$228="","","Right to work follow-up – "&amp;IF(LEN(INDEX('Checks'!$A$4:$A$503,_calc!$E$228))=0,"",INDEX('Checks'!$A$4:$A$503,_calc!$E$228)))</f>
        <v/>
      </c>
      <c r="B226" s="43">
        <f>IF(_calc!$E$228="","",IF(ISNUMBER(INDEX('Checks'!$H$4:$H$503,_calc!$E$228)),TEXT(INDEX('Checks'!$H$4:$H$503,_calc!$E$228),"yyyy-mm-dd"),""))</f>
        <v/>
      </c>
      <c r="C226" s="43">
        <f>IF(_calc!$E$228="","","Right to work")</f>
        <v/>
      </c>
      <c r="D226" s="43">
        <f>IF(_calc!$E$228="","",IF(ISNUMBER(INDEX('Checks'!$F$4:$F$503,_calc!$E$228)),TEXT(INDEX('Checks'!$F$4:$F$503,_calc!$E$228),"yyyy-mm-dd"),""))</f>
        <v/>
      </c>
      <c r="E226" s="43">
        <f>IF(_calc!$E$228="","","High")</f>
        <v/>
      </c>
      <c r="F226" s="43">
        <f>IF(_calc!$E$228="","",TRIM(IF(LEN(IF(LEN(INDEX('Checks'!$B$4:$B$503,_calc!$E$228))=0,"",INDEX('Checks'!$B$4:$B$503,_calc!$E$228)))=0,"","Role: "&amp;IF(LEN(INDEX('Checks'!$B$4:$B$503,_calc!$E$228))=0,"",INDEX('Checks'!$B$4:$B$503,_calc!$E$228))&amp;". ")&amp;IF(LEN(IF(LEN(INDEX('Checks'!$D$4:$D$503,_calc!$E$228))=0,"",INDEX('Checks'!$D$4:$D$503,_calc!$E$228)))=0,"","Check type: "&amp;IF(LEN(INDEX('Checks'!$D$4:$D$503,_calc!$E$228))=0,"",INDEX('Checks'!$D$4:$D$503,_calc!$E$228))&amp;". ")&amp;IF(LEN(IF(LEN(INDEX('Checks'!$E$4:$E$503,_calc!$E$228))=0,"",INDEX('Checks'!$E$4:$E$503,_calc!$E$228)))=0,"","Evidence: "&amp;IF(LEN(INDEX('Checks'!$E$4:$E$503,_calc!$E$228))=0,"",INDEX('Checks'!$E$4:$E$503,_calc!$E$228))&amp;". ")&amp;IF(LEN(IF(LEN(INDEX('Checks'!$G$4:$G$503,_calc!$E$228))=0,"",INDEX('Checks'!$G$4:$G$503,_calc!$E$228)))=0,"","Checked by: "&amp;IF(LEN(INDEX('Checks'!$G$4:$G$503,_calc!$E$228))=0,"",INDEX('Checks'!$G$4:$G$503,_calc!$E$228))&amp;". ")&amp;IF(LEN(IF(LEN(INDEX('Checks'!$Q$4:$Q$503,_calc!$E$228))=0,"",INDEX('Checks'!$Q$4:$Q$503,_calc!$E$228)))=0,"",IF(LEN(INDEX('Checks'!$Q$4:$Q$503,_calc!$E$228))=0,"",INDEX('Checks'!$Q$4:$Q$503,_calc!$E$228)))))</f>
        <v/>
      </c>
      <c r="G226" s="43">
        <f>IF(_calc!$E$228="","",IF(LEN(INDEX('Checks'!$P$4:$P$503,_calc!$E$228))=0,"",INDEX('Checks'!$P$4:$P$503,_calc!$E$228)))</f>
        <v/>
      </c>
      <c r="K226" s="43">
        <f>IF(_calc!$E$228="","",IF(LEN(INDEX('Checks'!$O$4:$O$503,_calc!$E$228))=0,"",INDEX('Checks'!$O$4:$O$503,_calc!$E$228)))</f>
        <v/>
      </c>
    </row>
    <row r="227">
      <c r="A227" s="43">
        <f>IF(_calc!$E$229="","","Right to work follow-up – "&amp;IF(LEN(INDEX('Checks'!$A$4:$A$503,_calc!$E$229))=0,"",INDEX('Checks'!$A$4:$A$503,_calc!$E$229)))</f>
        <v/>
      </c>
      <c r="B227" s="43">
        <f>IF(_calc!$E$229="","",IF(ISNUMBER(INDEX('Checks'!$H$4:$H$503,_calc!$E$229)),TEXT(INDEX('Checks'!$H$4:$H$503,_calc!$E$229),"yyyy-mm-dd"),""))</f>
        <v/>
      </c>
      <c r="C227" s="43">
        <f>IF(_calc!$E$229="","","Right to work")</f>
        <v/>
      </c>
      <c r="D227" s="43">
        <f>IF(_calc!$E$229="","",IF(ISNUMBER(INDEX('Checks'!$F$4:$F$503,_calc!$E$229)),TEXT(INDEX('Checks'!$F$4:$F$503,_calc!$E$229),"yyyy-mm-dd"),""))</f>
        <v/>
      </c>
      <c r="E227" s="43">
        <f>IF(_calc!$E$229="","","High")</f>
        <v/>
      </c>
      <c r="F227" s="43">
        <f>IF(_calc!$E$229="","",TRIM(IF(LEN(IF(LEN(INDEX('Checks'!$B$4:$B$503,_calc!$E$229))=0,"",INDEX('Checks'!$B$4:$B$503,_calc!$E$229)))=0,"","Role: "&amp;IF(LEN(INDEX('Checks'!$B$4:$B$503,_calc!$E$229))=0,"",INDEX('Checks'!$B$4:$B$503,_calc!$E$229))&amp;". ")&amp;IF(LEN(IF(LEN(INDEX('Checks'!$D$4:$D$503,_calc!$E$229))=0,"",INDEX('Checks'!$D$4:$D$503,_calc!$E$229)))=0,"","Check type: "&amp;IF(LEN(INDEX('Checks'!$D$4:$D$503,_calc!$E$229))=0,"",INDEX('Checks'!$D$4:$D$503,_calc!$E$229))&amp;". ")&amp;IF(LEN(IF(LEN(INDEX('Checks'!$E$4:$E$503,_calc!$E$229))=0,"",INDEX('Checks'!$E$4:$E$503,_calc!$E$229)))=0,"","Evidence: "&amp;IF(LEN(INDEX('Checks'!$E$4:$E$503,_calc!$E$229))=0,"",INDEX('Checks'!$E$4:$E$503,_calc!$E$229))&amp;". ")&amp;IF(LEN(IF(LEN(INDEX('Checks'!$G$4:$G$503,_calc!$E$229))=0,"",INDEX('Checks'!$G$4:$G$503,_calc!$E$229)))=0,"","Checked by: "&amp;IF(LEN(INDEX('Checks'!$G$4:$G$503,_calc!$E$229))=0,"",INDEX('Checks'!$G$4:$G$503,_calc!$E$229))&amp;". ")&amp;IF(LEN(IF(LEN(INDEX('Checks'!$Q$4:$Q$503,_calc!$E$229))=0,"",INDEX('Checks'!$Q$4:$Q$503,_calc!$E$229)))=0,"",IF(LEN(INDEX('Checks'!$Q$4:$Q$503,_calc!$E$229))=0,"",INDEX('Checks'!$Q$4:$Q$503,_calc!$E$229)))))</f>
        <v/>
      </c>
      <c r="G227" s="43">
        <f>IF(_calc!$E$229="","",IF(LEN(INDEX('Checks'!$P$4:$P$503,_calc!$E$229))=0,"",INDEX('Checks'!$P$4:$P$503,_calc!$E$229)))</f>
        <v/>
      </c>
      <c r="K227" s="43">
        <f>IF(_calc!$E$229="","",IF(LEN(INDEX('Checks'!$O$4:$O$503,_calc!$E$229))=0,"",INDEX('Checks'!$O$4:$O$503,_calc!$E$229)))</f>
        <v/>
      </c>
    </row>
    <row r="228">
      <c r="A228" s="43">
        <f>IF(_calc!$E$230="","","Right to work follow-up – "&amp;IF(LEN(INDEX('Checks'!$A$4:$A$503,_calc!$E$230))=0,"",INDEX('Checks'!$A$4:$A$503,_calc!$E$230)))</f>
        <v/>
      </c>
      <c r="B228" s="43">
        <f>IF(_calc!$E$230="","",IF(ISNUMBER(INDEX('Checks'!$H$4:$H$503,_calc!$E$230)),TEXT(INDEX('Checks'!$H$4:$H$503,_calc!$E$230),"yyyy-mm-dd"),""))</f>
        <v/>
      </c>
      <c r="C228" s="43">
        <f>IF(_calc!$E$230="","","Right to work")</f>
        <v/>
      </c>
      <c r="D228" s="43">
        <f>IF(_calc!$E$230="","",IF(ISNUMBER(INDEX('Checks'!$F$4:$F$503,_calc!$E$230)),TEXT(INDEX('Checks'!$F$4:$F$503,_calc!$E$230),"yyyy-mm-dd"),""))</f>
        <v/>
      </c>
      <c r="E228" s="43">
        <f>IF(_calc!$E$230="","","High")</f>
        <v/>
      </c>
      <c r="F228" s="43">
        <f>IF(_calc!$E$230="","",TRIM(IF(LEN(IF(LEN(INDEX('Checks'!$B$4:$B$503,_calc!$E$230))=0,"",INDEX('Checks'!$B$4:$B$503,_calc!$E$230)))=0,"","Role: "&amp;IF(LEN(INDEX('Checks'!$B$4:$B$503,_calc!$E$230))=0,"",INDEX('Checks'!$B$4:$B$503,_calc!$E$230))&amp;". ")&amp;IF(LEN(IF(LEN(INDEX('Checks'!$D$4:$D$503,_calc!$E$230))=0,"",INDEX('Checks'!$D$4:$D$503,_calc!$E$230)))=0,"","Check type: "&amp;IF(LEN(INDEX('Checks'!$D$4:$D$503,_calc!$E$230))=0,"",INDEX('Checks'!$D$4:$D$503,_calc!$E$230))&amp;". ")&amp;IF(LEN(IF(LEN(INDEX('Checks'!$E$4:$E$503,_calc!$E$230))=0,"",INDEX('Checks'!$E$4:$E$503,_calc!$E$230)))=0,"","Evidence: "&amp;IF(LEN(INDEX('Checks'!$E$4:$E$503,_calc!$E$230))=0,"",INDEX('Checks'!$E$4:$E$503,_calc!$E$230))&amp;". ")&amp;IF(LEN(IF(LEN(INDEX('Checks'!$G$4:$G$503,_calc!$E$230))=0,"",INDEX('Checks'!$G$4:$G$503,_calc!$E$230)))=0,"","Checked by: "&amp;IF(LEN(INDEX('Checks'!$G$4:$G$503,_calc!$E$230))=0,"",INDEX('Checks'!$G$4:$G$503,_calc!$E$230))&amp;". ")&amp;IF(LEN(IF(LEN(INDEX('Checks'!$Q$4:$Q$503,_calc!$E$230))=0,"",INDEX('Checks'!$Q$4:$Q$503,_calc!$E$230)))=0,"",IF(LEN(INDEX('Checks'!$Q$4:$Q$503,_calc!$E$230))=0,"",INDEX('Checks'!$Q$4:$Q$503,_calc!$E$230)))))</f>
        <v/>
      </c>
      <c r="G228" s="43">
        <f>IF(_calc!$E$230="","",IF(LEN(INDEX('Checks'!$P$4:$P$503,_calc!$E$230))=0,"",INDEX('Checks'!$P$4:$P$503,_calc!$E$230)))</f>
        <v/>
      </c>
      <c r="K228" s="43">
        <f>IF(_calc!$E$230="","",IF(LEN(INDEX('Checks'!$O$4:$O$503,_calc!$E$230))=0,"",INDEX('Checks'!$O$4:$O$503,_calc!$E$230)))</f>
        <v/>
      </c>
    </row>
    <row r="229">
      <c r="A229" s="43">
        <f>IF(_calc!$E$231="","","Right to work follow-up – "&amp;IF(LEN(INDEX('Checks'!$A$4:$A$503,_calc!$E$231))=0,"",INDEX('Checks'!$A$4:$A$503,_calc!$E$231)))</f>
        <v/>
      </c>
      <c r="B229" s="43">
        <f>IF(_calc!$E$231="","",IF(ISNUMBER(INDEX('Checks'!$H$4:$H$503,_calc!$E$231)),TEXT(INDEX('Checks'!$H$4:$H$503,_calc!$E$231),"yyyy-mm-dd"),""))</f>
        <v/>
      </c>
      <c r="C229" s="43">
        <f>IF(_calc!$E$231="","","Right to work")</f>
        <v/>
      </c>
      <c r="D229" s="43">
        <f>IF(_calc!$E$231="","",IF(ISNUMBER(INDEX('Checks'!$F$4:$F$503,_calc!$E$231)),TEXT(INDEX('Checks'!$F$4:$F$503,_calc!$E$231),"yyyy-mm-dd"),""))</f>
        <v/>
      </c>
      <c r="E229" s="43">
        <f>IF(_calc!$E$231="","","High")</f>
        <v/>
      </c>
      <c r="F229" s="43">
        <f>IF(_calc!$E$231="","",TRIM(IF(LEN(IF(LEN(INDEX('Checks'!$B$4:$B$503,_calc!$E$231))=0,"",INDEX('Checks'!$B$4:$B$503,_calc!$E$231)))=0,"","Role: "&amp;IF(LEN(INDEX('Checks'!$B$4:$B$503,_calc!$E$231))=0,"",INDEX('Checks'!$B$4:$B$503,_calc!$E$231))&amp;". ")&amp;IF(LEN(IF(LEN(INDEX('Checks'!$D$4:$D$503,_calc!$E$231))=0,"",INDEX('Checks'!$D$4:$D$503,_calc!$E$231)))=0,"","Check type: "&amp;IF(LEN(INDEX('Checks'!$D$4:$D$503,_calc!$E$231))=0,"",INDEX('Checks'!$D$4:$D$503,_calc!$E$231))&amp;". ")&amp;IF(LEN(IF(LEN(INDEX('Checks'!$E$4:$E$503,_calc!$E$231))=0,"",INDEX('Checks'!$E$4:$E$503,_calc!$E$231)))=0,"","Evidence: "&amp;IF(LEN(INDEX('Checks'!$E$4:$E$503,_calc!$E$231))=0,"",INDEX('Checks'!$E$4:$E$503,_calc!$E$231))&amp;". ")&amp;IF(LEN(IF(LEN(INDEX('Checks'!$G$4:$G$503,_calc!$E$231))=0,"",INDEX('Checks'!$G$4:$G$503,_calc!$E$231)))=0,"","Checked by: "&amp;IF(LEN(INDEX('Checks'!$G$4:$G$503,_calc!$E$231))=0,"",INDEX('Checks'!$G$4:$G$503,_calc!$E$231))&amp;". ")&amp;IF(LEN(IF(LEN(INDEX('Checks'!$Q$4:$Q$503,_calc!$E$231))=0,"",INDEX('Checks'!$Q$4:$Q$503,_calc!$E$231)))=0,"",IF(LEN(INDEX('Checks'!$Q$4:$Q$503,_calc!$E$231))=0,"",INDEX('Checks'!$Q$4:$Q$503,_calc!$E$231)))))</f>
        <v/>
      </c>
      <c r="G229" s="43">
        <f>IF(_calc!$E$231="","",IF(LEN(INDEX('Checks'!$P$4:$P$503,_calc!$E$231))=0,"",INDEX('Checks'!$P$4:$P$503,_calc!$E$231)))</f>
        <v/>
      </c>
      <c r="K229" s="43">
        <f>IF(_calc!$E$231="","",IF(LEN(INDEX('Checks'!$O$4:$O$503,_calc!$E$231))=0,"",INDEX('Checks'!$O$4:$O$503,_calc!$E$231)))</f>
        <v/>
      </c>
    </row>
    <row r="230">
      <c r="A230" s="43">
        <f>IF(_calc!$E$232="","","Right to work follow-up – "&amp;IF(LEN(INDEX('Checks'!$A$4:$A$503,_calc!$E$232))=0,"",INDEX('Checks'!$A$4:$A$503,_calc!$E$232)))</f>
        <v/>
      </c>
      <c r="B230" s="43">
        <f>IF(_calc!$E$232="","",IF(ISNUMBER(INDEX('Checks'!$H$4:$H$503,_calc!$E$232)),TEXT(INDEX('Checks'!$H$4:$H$503,_calc!$E$232),"yyyy-mm-dd"),""))</f>
        <v/>
      </c>
      <c r="C230" s="43">
        <f>IF(_calc!$E$232="","","Right to work")</f>
        <v/>
      </c>
      <c r="D230" s="43">
        <f>IF(_calc!$E$232="","",IF(ISNUMBER(INDEX('Checks'!$F$4:$F$503,_calc!$E$232)),TEXT(INDEX('Checks'!$F$4:$F$503,_calc!$E$232),"yyyy-mm-dd"),""))</f>
        <v/>
      </c>
      <c r="E230" s="43">
        <f>IF(_calc!$E$232="","","High")</f>
        <v/>
      </c>
      <c r="F230" s="43">
        <f>IF(_calc!$E$232="","",TRIM(IF(LEN(IF(LEN(INDEX('Checks'!$B$4:$B$503,_calc!$E$232))=0,"",INDEX('Checks'!$B$4:$B$503,_calc!$E$232)))=0,"","Role: "&amp;IF(LEN(INDEX('Checks'!$B$4:$B$503,_calc!$E$232))=0,"",INDEX('Checks'!$B$4:$B$503,_calc!$E$232))&amp;". ")&amp;IF(LEN(IF(LEN(INDEX('Checks'!$D$4:$D$503,_calc!$E$232))=0,"",INDEX('Checks'!$D$4:$D$503,_calc!$E$232)))=0,"","Check type: "&amp;IF(LEN(INDEX('Checks'!$D$4:$D$503,_calc!$E$232))=0,"",INDEX('Checks'!$D$4:$D$503,_calc!$E$232))&amp;". ")&amp;IF(LEN(IF(LEN(INDEX('Checks'!$E$4:$E$503,_calc!$E$232))=0,"",INDEX('Checks'!$E$4:$E$503,_calc!$E$232)))=0,"","Evidence: "&amp;IF(LEN(INDEX('Checks'!$E$4:$E$503,_calc!$E$232))=0,"",INDEX('Checks'!$E$4:$E$503,_calc!$E$232))&amp;". ")&amp;IF(LEN(IF(LEN(INDEX('Checks'!$G$4:$G$503,_calc!$E$232))=0,"",INDEX('Checks'!$G$4:$G$503,_calc!$E$232)))=0,"","Checked by: "&amp;IF(LEN(INDEX('Checks'!$G$4:$G$503,_calc!$E$232))=0,"",INDEX('Checks'!$G$4:$G$503,_calc!$E$232))&amp;". ")&amp;IF(LEN(IF(LEN(INDEX('Checks'!$Q$4:$Q$503,_calc!$E$232))=0,"",INDEX('Checks'!$Q$4:$Q$503,_calc!$E$232)))=0,"",IF(LEN(INDEX('Checks'!$Q$4:$Q$503,_calc!$E$232))=0,"",INDEX('Checks'!$Q$4:$Q$503,_calc!$E$232)))))</f>
        <v/>
      </c>
      <c r="G230" s="43">
        <f>IF(_calc!$E$232="","",IF(LEN(INDEX('Checks'!$P$4:$P$503,_calc!$E$232))=0,"",INDEX('Checks'!$P$4:$P$503,_calc!$E$232)))</f>
        <v/>
      </c>
      <c r="K230" s="43">
        <f>IF(_calc!$E$232="","",IF(LEN(INDEX('Checks'!$O$4:$O$503,_calc!$E$232))=0,"",INDEX('Checks'!$O$4:$O$503,_calc!$E$232)))</f>
        <v/>
      </c>
    </row>
    <row r="231">
      <c r="A231" s="43">
        <f>IF(_calc!$E$233="","","Right to work follow-up – "&amp;IF(LEN(INDEX('Checks'!$A$4:$A$503,_calc!$E$233))=0,"",INDEX('Checks'!$A$4:$A$503,_calc!$E$233)))</f>
        <v/>
      </c>
      <c r="B231" s="43">
        <f>IF(_calc!$E$233="","",IF(ISNUMBER(INDEX('Checks'!$H$4:$H$503,_calc!$E$233)),TEXT(INDEX('Checks'!$H$4:$H$503,_calc!$E$233),"yyyy-mm-dd"),""))</f>
        <v/>
      </c>
      <c r="C231" s="43">
        <f>IF(_calc!$E$233="","","Right to work")</f>
        <v/>
      </c>
      <c r="D231" s="43">
        <f>IF(_calc!$E$233="","",IF(ISNUMBER(INDEX('Checks'!$F$4:$F$503,_calc!$E$233)),TEXT(INDEX('Checks'!$F$4:$F$503,_calc!$E$233),"yyyy-mm-dd"),""))</f>
        <v/>
      </c>
      <c r="E231" s="43">
        <f>IF(_calc!$E$233="","","High")</f>
        <v/>
      </c>
      <c r="F231" s="43">
        <f>IF(_calc!$E$233="","",TRIM(IF(LEN(IF(LEN(INDEX('Checks'!$B$4:$B$503,_calc!$E$233))=0,"",INDEX('Checks'!$B$4:$B$503,_calc!$E$233)))=0,"","Role: "&amp;IF(LEN(INDEX('Checks'!$B$4:$B$503,_calc!$E$233))=0,"",INDEX('Checks'!$B$4:$B$503,_calc!$E$233))&amp;". ")&amp;IF(LEN(IF(LEN(INDEX('Checks'!$D$4:$D$503,_calc!$E$233))=0,"",INDEX('Checks'!$D$4:$D$503,_calc!$E$233)))=0,"","Check type: "&amp;IF(LEN(INDEX('Checks'!$D$4:$D$503,_calc!$E$233))=0,"",INDEX('Checks'!$D$4:$D$503,_calc!$E$233))&amp;". ")&amp;IF(LEN(IF(LEN(INDEX('Checks'!$E$4:$E$503,_calc!$E$233))=0,"",INDEX('Checks'!$E$4:$E$503,_calc!$E$233)))=0,"","Evidence: "&amp;IF(LEN(INDEX('Checks'!$E$4:$E$503,_calc!$E$233))=0,"",INDEX('Checks'!$E$4:$E$503,_calc!$E$233))&amp;". ")&amp;IF(LEN(IF(LEN(INDEX('Checks'!$G$4:$G$503,_calc!$E$233))=0,"",INDEX('Checks'!$G$4:$G$503,_calc!$E$233)))=0,"","Checked by: "&amp;IF(LEN(INDEX('Checks'!$G$4:$G$503,_calc!$E$233))=0,"",INDEX('Checks'!$G$4:$G$503,_calc!$E$233))&amp;". ")&amp;IF(LEN(IF(LEN(INDEX('Checks'!$Q$4:$Q$503,_calc!$E$233))=0,"",INDEX('Checks'!$Q$4:$Q$503,_calc!$E$233)))=0,"",IF(LEN(INDEX('Checks'!$Q$4:$Q$503,_calc!$E$233))=0,"",INDEX('Checks'!$Q$4:$Q$503,_calc!$E$233)))))</f>
        <v/>
      </c>
      <c r="G231" s="43">
        <f>IF(_calc!$E$233="","",IF(LEN(INDEX('Checks'!$P$4:$P$503,_calc!$E$233))=0,"",INDEX('Checks'!$P$4:$P$503,_calc!$E$233)))</f>
        <v/>
      </c>
      <c r="K231" s="43">
        <f>IF(_calc!$E$233="","",IF(LEN(INDEX('Checks'!$O$4:$O$503,_calc!$E$233))=0,"",INDEX('Checks'!$O$4:$O$503,_calc!$E$233)))</f>
        <v/>
      </c>
    </row>
    <row r="232">
      <c r="A232" s="43">
        <f>IF(_calc!$E$234="","","Right to work follow-up – "&amp;IF(LEN(INDEX('Checks'!$A$4:$A$503,_calc!$E$234))=0,"",INDEX('Checks'!$A$4:$A$503,_calc!$E$234)))</f>
        <v/>
      </c>
      <c r="B232" s="43">
        <f>IF(_calc!$E$234="","",IF(ISNUMBER(INDEX('Checks'!$H$4:$H$503,_calc!$E$234)),TEXT(INDEX('Checks'!$H$4:$H$503,_calc!$E$234),"yyyy-mm-dd"),""))</f>
        <v/>
      </c>
      <c r="C232" s="43">
        <f>IF(_calc!$E$234="","","Right to work")</f>
        <v/>
      </c>
      <c r="D232" s="43">
        <f>IF(_calc!$E$234="","",IF(ISNUMBER(INDEX('Checks'!$F$4:$F$503,_calc!$E$234)),TEXT(INDEX('Checks'!$F$4:$F$503,_calc!$E$234),"yyyy-mm-dd"),""))</f>
        <v/>
      </c>
      <c r="E232" s="43">
        <f>IF(_calc!$E$234="","","High")</f>
        <v/>
      </c>
      <c r="F232" s="43">
        <f>IF(_calc!$E$234="","",TRIM(IF(LEN(IF(LEN(INDEX('Checks'!$B$4:$B$503,_calc!$E$234))=0,"",INDEX('Checks'!$B$4:$B$503,_calc!$E$234)))=0,"","Role: "&amp;IF(LEN(INDEX('Checks'!$B$4:$B$503,_calc!$E$234))=0,"",INDEX('Checks'!$B$4:$B$503,_calc!$E$234))&amp;". ")&amp;IF(LEN(IF(LEN(INDEX('Checks'!$D$4:$D$503,_calc!$E$234))=0,"",INDEX('Checks'!$D$4:$D$503,_calc!$E$234)))=0,"","Check type: "&amp;IF(LEN(INDEX('Checks'!$D$4:$D$503,_calc!$E$234))=0,"",INDEX('Checks'!$D$4:$D$503,_calc!$E$234))&amp;". ")&amp;IF(LEN(IF(LEN(INDEX('Checks'!$E$4:$E$503,_calc!$E$234))=0,"",INDEX('Checks'!$E$4:$E$503,_calc!$E$234)))=0,"","Evidence: "&amp;IF(LEN(INDEX('Checks'!$E$4:$E$503,_calc!$E$234))=0,"",INDEX('Checks'!$E$4:$E$503,_calc!$E$234))&amp;". ")&amp;IF(LEN(IF(LEN(INDEX('Checks'!$G$4:$G$503,_calc!$E$234))=0,"",INDEX('Checks'!$G$4:$G$503,_calc!$E$234)))=0,"","Checked by: "&amp;IF(LEN(INDEX('Checks'!$G$4:$G$503,_calc!$E$234))=0,"",INDEX('Checks'!$G$4:$G$503,_calc!$E$234))&amp;". ")&amp;IF(LEN(IF(LEN(INDEX('Checks'!$Q$4:$Q$503,_calc!$E$234))=0,"",INDEX('Checks'!$Q$4:$Q$503,_calc!$E$234)))=0,"",IF(LEN(INDEX('Checks'!$Q$4:$Q$503,_calc!$E$234))=0,"",INDEX('Checks'!$Q$4:$Q$503,_calc!$E$234)))))</f>
        <v/>
      </c>
      <c r="G232" s="43">
        <f>IF(_calc!$E$234="","",IF(LEN(INDEX('Checks'!$P$4:$P$503,_calc!$E$234))=0,"",INDEX('Checks'!$P$4:$P$503,_calc!$E$234)))</f>
        <v/>
      </c>
      <c r="K232" s="43">
        <f>IF(_calc!$E$234="","",IF(LEN(INDEX('Checks'!$O$4:$O$503,_calc!$E$234))=0,"",INDEX('Checks'!$O$4:$O$503,_calc!$E$234)))</f>
        <v/>
      </c>
    </row>
    <row r="233">
      <c r="A233" s="43">
        <f>IF(_calc!$E$235="","","Right to work follow-up – "&amp;IF(LEN(INDEX('Checks'!$A$4:$A$503,_calc!$E$235))=0,"",INDEX('Checks'!$A$4:$A$503,_calc!$E$235)))</f>
        <v/>
      </c>
      <c r="B233" s="43">
        <f>IF(_calc!$E$235="","",IF(ISNUMBER(INDEX('Checks'!$H$4:$H$503,_calc!$E$235)),TEXT(INDEX('Checks'!$H$4:$H$503,_calc!$E$235),"yyyy-mm-dd"),""))</f>
        <v/>
      </c>
      <c r="C233" s="43">
        <f>IF(_calc!$E$235="","","Right to work")</f>
        <v/>
      </c>
      <c r="D233" s="43">
        <f>IF(_calc!$E$235="","",IF(ISNUMBER(INDEX('Checks'!$F$4:$F$503,_calc!$E$235)),TEXT(INDEX('Checks'!$F$4:$F$503,_calc!$E$235),"yyyy-mm-dd"),""))</f>
        <v/>
      </c>
      <c r="E233" s="43">
        <f>IF(_calc!$E$235="","","High")</f>
        <v/>
      </c>
      <c r="F233" s="43">
        <f>IF(_calc!$E$235="","",TRIM(IF(LEN(IF(LEN(INDEX('Checks'!$B$4:$B$503,_calc!$E$235))=0,"",INDEX('Checks'!$B$4:$B$503,_calc!$E$235)))=0,"","Role: "&amp;IF(LEN(INDEX('Checks'!$B$4:$B$503,_calc!$E$235))=0,"",INDEX('Checks'!$B$4:$B$503,_calc!$E$235))&amp;". ")&amp;IF(LEN(IF(LEN(INDEX('Checks'!$D$4:$D$503,_calc!$E$235))=0,"",INDEX('Checks'!$D$4:$D$503,_calc!$E$235)))=0,"","Check type: "&amp;IF(LEN(INDEX('Checks'!$D$4:$D$503,_calc!$E$235))=0,"",INDEX('Checks'!$D$4:$D$503,_calc!$E$235))&amp;". ")&amp;IF(LEN(IF(LEN(INDEX('Checks'!$E$4:$E$503,_calc!$E$235))=0,"",INDEX('Checks'!$E$4:$E$503,_calc!$E$235)))=0,"","Evidence: "&amp;IF(LEN(INDEX('Checks'!$E$4:$E$503,_calc!$E$235))=0,"",INDEX('Checks'!$E$4:$E$503,_calc!$E$235))&amp;". ")&amp;IF(LEN(IF(LEN(INDEX('Checks'!$G$4:$G$503,_calc!$E$235))=0,"",INDEX('Checks'!$G$4:$G$503,_calc!$E$235)))=0,"","Checked by: "&amp;IF(LEN(INDEX('Checks'!$G$4:$G$503,_calc!$E$235))=0,"",INDEX('Checks'!$G$4:$G$503,_calc!$E$235))&amp;". ")&amp;IF(LEN(IF(LEN(INDEX('Checks'!$Q$4:$Q$503,_calc!$E$235))=0,"",INDEX('Checks'!$Q$4:$Q$503,_calc!$E$235)))=0,"",IF(LEN(INDEX('Checks'!$Q$4:$Q$503,_calc!$E$235))=0,"",INDEX('Checks'!$Q$4:$Q$503,_calc!$E$235)))))</f>
        <v/>
      </c>
      <c r="G233" s="43">
        <f>IF(_calc!$E$235="","",IF(LEN(INDEX('Checks'!$P$4:$P$503,_calc!$E$235))=0,"",INDEX('Checks'!$P$4:$P$503,_calc!$E$235)))</f>
        <v/>
      </c>
      <c r="K233" s="43">
        <f>IF(_calc!$E$235="","",IF(LEN(INDEX('Checks'!$O$4:$O$503,_calc!$E$235))=0,"",INDEX('Checks'!$O$4:$O$503,_calc!$E$235)))</f>
        <v/>
      </c>
    </row>
    <row r="234">
      <c r="A234" s="43">
        <f>IF(_calc!$E$236="","","Right to work follow-up – "&amp;IF(LEN(INDEX('Checks'!$A$4:$A$503,_calc!$E$236))=0,"",INDEX('Checks'!$A$4:$A$503,_calc!$E$236)))</f>
        <v/>
      </c>
      <c r="B234" s="43">
        <f>IF(_calc!$E$236="","",IF(ISNUMBER(INDEX('Checks'!$H$4:$H$503,_calc!$E$236)),TEXT(INDEX('Checks'!$H$4:$H$503,_calc!$E$236),"yyyy-mm-dd"),""))</f>
        <v/>
      </c>
      <c r="C234" s="43">
        <f>IF(_calc!$E$236="","","Right to work")</f>
        <v/>
      </c>
      <c r="D234" s="43">
        <f>IF(_calc!$E$236="","",IF(ISNUMBER(INDEX('Checks'!$F$4:$F$503,_calc!$E$236)),TEXT(INDEX('Checks'!$F$4:$F$503,_calc!$E$236),"yyyy-mm-dd"),""))</f>
        <v/>
      </c>
      <c r="E234" s="43">
        <f>IF(_calc!$E$236="","","High")</f>
        <v/>
      </c>
      <c r="F234" s="43">
        <f>IF(_calc!$E$236="","",TRIM(IF(LEN(IF(LEN(INDEX('Checks'!$B$4:$B$503,_calc!$E$236))=0,"",INDEX('Checks'!$B$4:$B$503,_calc!$E$236)))=0,"","Role: "&amp;IF(LEN(INDEX('Checks'!$B$4:$B$503,_calc!$E$236))=0,"",INDEX('Checks'!$B$4:$B$503,_calc!$E$236))&amp;". ")&amp;IF(LEN(IF(LEN(INDEX('Checks'!$D$4:$D$503,_calc!$E$236))=0,"",INDEX('Checks'!$D$4:$D$503,_calc!$E$236)))=0,"","Check type: "&amp;IF(LEN(INDEX('Checks'!$D$4:$D$503,_calc!$E$236))=0,"",INDEX('Checks'!$D$4:$D$503,_calc!$E$236))&amp;". ")&amp;IF(LEN(IF(LEN(INDEX('Checks'!$E$4:$E$503,_calc!$E$236))=0,"",INDEX('Checks'!$E$4:$E$503,_calc!$E$236)))=0,"","Evidence: "&amp;IF(LEN(INDEX('Checks'!$E$4:$E$503,_calc!$E$236))=0,"",INDEX('Checks'!$E$4:$E$503,_calc!$E$236))&amp;". ")&amp;IF(LEN(IF(LEN(INDEX('Checks'!$G$4:$G$503,_calc!$E$236))=0,"",INDEX('Checks'!$G$4:$G$503,_calc!$E$236)))=0,"","Checked by: "&amp;IF(LEN(INDEX('Checks'!$G$4:$G$503,_calc!$E$236))=0,"",INDEX('Checks'!$G$4:$G$503,_calc!$E$236))&amp;". ")&amp;IF(LEN(IF(LEN(INDEX('Checks'!$Q$4:$Q$503,_calc!$E$236))=0,"",INDEX('Checks'!$Q$4:$Q$503,_calc!$E$236)))=0,"",IF(LEN(INDEX('Checks'!$Q$4:$Q$503,_calc!$E$236))=0,"",INDEX('Checks'!$Q$4:$Q$503,_calc!$E$236)))))</f>
        <v/>
      </c>
      <c r="G234" s="43">
        <f>IF(_calc!$E$236="","",IF(LEN(INDEX('Checks'!$P$4:$P$503,_calc!$E$236))=0,"",INDEX('Checks'!$P$4:$P$503,_calc!$E$236)))</f>
        <v/>
      </c>
      <c r="K234" s="43">
        <f>IF(_calc!$E$236="","",IF(LEN(INDEX('Checks'!$O$4:$O$503,_calc!$E$236))=0,"",INDEX('Checks'!$O$4:$O$503,_calc!$E$236)))</f>
        <v/>
      </c>
    </row>
    <row r="235">
      <c r="A235" s="43">
        <f>IF(_calc!$E$237="","","Right to work follow-up – "&amp;IF(LEN(INDEX('Checks'!$A$4:$A$503,_calc!$E$237))=0,"",INDEX('Checks'!$A$4:$A$503,_calc!$E$237)))</f>
        <v/>
      </c>
      <c r="B235" s="43">
        <f>IF(_calc!$E$237="","",IF(ISNUMBER(INDEX('Checks'!$H$4:$H$503,_calc!$E$237)),TEXT(INDEX('Checks'!$H$4:$H$503,_calc!$E$237),"yyyy-mm-dd"),""))</f>
        <v/>
      </c>
      <c r="C235" s="43">
        <f>IF(_calc!$E$237="","","Right to work")</f>
        <v/>
      </c>
      <c r="D235" s="43">
        <f>IF(_calc!$E$237="","",IF(ISNUMBER(INDEX('Checks'!$F$4:$F$503,_calc!$E$237)),TEXT(INDEX('Checks'!$F$4:$F$503,_calc!$E$237),"yyyy-mm-dd"),""))</f>
        <v/>
      </c>
      <c r="E235" s="43">
        <f>IF(_calc!$E$237="","","High")</f>
        <v/>
      </c>
      <c r="F235" s="43">
        <f>IF(_calc!$E$237="","",TRIM(IF(LEN(IF(LEN(INDEX('Checks'!$B$4:$B$503,_calc!$E$237))=0,"",INDEX('Checks'!$B$4:$B$503,_calc!$E$237)))=0,"","Role: "&amp;IF(LEN(INDEX('Checks'!$B$4:$B$503,_calc!$E$237))=0,"",INDEX('Checks'!$B$4:$B$503,_calc!$E$237))&amp;". ")&amp;IF(LEN(IF(LEN(INDEX('Checks'!$D$4:$D$503,_calc!$E$237))=0,"",INDEX('Checks'!$D$4:$D$503,_calc!$E$237)))=0,"","Check type: "&amp;IF(LEN(INDEX('Checks'!$D$4:$D$503,_calc!$E$237))=0,"",INDEX('Checks'!$D$4:$D$503,_calc!$E$237))&amp;". ")&amp;IF(LEN(IF(LEN(INDEX('Checks'!$E$4:$E$503,_calc!$E$237))=0,"",INDEX('Checks'!$E$4:$E$503,_calc!$E$237)))=0,"","Evidence: "&amp;IF(LEN(INDEX('Checks'!$E$4:$E$503,_calc!$E$237))=0,"",INDEX('Checks'!$E$4:$E$503,_calc!$E$237))&amp;". ")&amp;IF(LEN(IF(LEN(INDEX('Checks'!$G$4:$G$503,_calc!$E$237))=0,"",INDEX('Checks'!$G$4:$G$503,_calc!$E$237)))=0,"","Checked by: "&amp;IF(LEN(INDEX('Checks'!$G$4:$G$503,_calc!$E$237))=0,"",INDEX('Checks'!$G$4:$G$503,_calc!$E$237))&amp;". ")&amp;IF(LEN(IF(LEN(INDEX('Checks'!$Q$4:$Q$503,_calc!$E$237))=0,"",INDEX('Checks'!$Q$4:$Q$503,_calc!$E$237)))=0,"",IF(LEN(INDEX('Checks'!$Q$4:$Q$503,_calc!$E$237))=0,"",INDEX('Checks'!$Q$4:$Q$503,_calc!$E$237)))))</f>
        <v/>
      </c>
      <c r="G235" s="43">
        <f>IF(_calc!$E$237="","",IF(LEN(INDEX('Checks'!$P$4:$P$503,_calc!$E$237))=0,"",INDEX('Checks'!$P$4:$P$503,_calc!$E$237)))</f>
        <v/>
      </c>
      <c r="K235" s="43">
        <f>IF(_calc!$E$237="","",IF(LEN(INDEX('Checks'!$O$4:$O$503,_calc!$E$237))=0,"",INDEX('Checks'!$O$4:$O$503,_calc!$E$237)))</f>
        <v/>
      </c>
    </row>
    <row r="236">
      <c r="A236" s="43">
        <f>IF(_calc!$E$238="","","Right to work follow-up – "&amp;IF(LEN(INDEX('Checks'!$A$4:$A$503,_calc!$E$238))=0,"",INDEX('Checks'!$A$4:$A$503,_calc!$E$238)))</f>
        <v/>
      </c>
      <c r="B236" s="43">
        <f>IF(_calc!$E$238="","",IF(ISNUMBER(INDEX('Checks'!$H$4:$H$503,_calc!$E$238)),TEXT(INDEX('Checks'!$H$4:$H$503,_calc!$E$238),"yyyy-mm-dd"),""))</f>
        <v/>
      </c>
      <c r="C236" s="43">
        <f>IF(_calc!$E$238="","","Right to work")</f>
        <v/>
      </c>
      <c r="D236" s="43">
        <f>IF(_calc!$E$238="","",IF(ISNUMBER(INDEX('Checks'!$F$4:$F$503,_calc!$E$238)),TEXT(INDEX('Checks'!$F$4:$F$503,_calc!$E$238),"yyyy-mm-dd"),""))</f>
        <v/>
      </c>
      <c r="E236" s="43">
        <f>IF(_calc!$E$238="","","High")</f>
        <v/>
      </c>
      <c r="F236" s="43">
        <f>IF(_calc!$E$238="","",TRIM(IF(LEN(IF(LEN(INDEX('Checks'!$B$4:$B$503,_calc!$E$238))=0,"",INDEX('Checks'!$B$4:$B$503,_calc!$E$238)))=0,"","Role: "&amp;IF(LEN(INDEX('Checks'!$B$4:$B$503,_calc!$E$238))=0,"",INDEX('Checks'!$B$4:$B$503,_calc!$E$238))&amp;". ")&amp;IF(LEN(IF(LEN(INDEX('Checks'!$D$4:$D$503,_calc!$E$238))=0,"",INDEX('Checks'!$D$4:$D$503,_calc!$E$238)))=0,"","Check type: "&amp;IF(LEN(INDEX('Checks'!$D$4:$D$503,_calc!$E$238))=0,"",INDEX('Checks'!$D$4:$D$503,_calc!$E$238))&amp;". ")&amp;IF(LEN(IF(LEN(INDEX('Checks'!$E$4:$E$503,_calc!$E$238))=0,"",INDEX('Checks'!$E$4:$E$503,_calc!$E$238)))=0,"","Evidence: "&amp;IF(LEN(INDEX('Checks'!$E$4:$E$503,_calc!$E$238))=0,"",INDEX('Checks'!$E$4:$E$503,_calc!$E$238))&amp;". ")&amp;IF(LEN(IF(LEN(INDEX('Checks'!$G$4:$G$503,_calc!$E$238))=0,"",INDEX('Checks'!$G$4:$G$503,_calc!$E$238)))=0,"","Checked by: "&amp;IF(LEN(INDEX('Checks'!$G$4:$G$503,_calc!$E$238))=0,"",INDEX('Checks'!$G$4:$G$503,_calc!$E$238))&amp;". ")&amp;IF(LEN(IF(LEN(INDEX('Checks'!$Q$4:$Q$503,_calc!$E$238))=0,"",INDEX('Checks'!$Q$4:$Q$503,_calc!$E$238)))=0,"",IF(LEN(INDEX('Checks'!$Q$4:$Q$503,_calc!$E$238))=0,"",INDEX('Checks'!$Q$4:$Q$503,_calc!$E$238)))))</f>
        <v/>
      </c>
      <c r="G236" s="43">
        <f>IF(_calc!$E$238="","",IF(LEN(INDEX('Checks'!$P$4:$P$503,_calc!$E$238))=0,"",INDEX('Checks'!$P$4:$P$503,_calc!$E$238)))</f>
        <v/>
      </c>
      <c r="K236" s="43">
        <f>IF(_calc!$E$238="","",IF(LEN(INDEX('Checks'!$O$4:$O$503,_calc!$E$238))=0,"",INDEX('Checks'!$O$4:$O$503,_calc!$E$238)))</f>
        <v/>
      </c>
    </row>
    <row r="237">
      <c r="A237" s="43">
        <f>IF(_calc!$E$239="","","Right to work follow-up – "&amp;IF(LEN(INDEX('Checks'!$A$4:$A$503,_calc!$E$239))=0,"",INDEX('Checks'!$A$4:$A$503,_calc!$E$239)))</f>
        <v/>
      </c>
      <c r="B237" s="43">
        <f>IF(_calc!$E$239="","",IF(ISNUMBER(INDEX('Checks'!$H$4:$H$503,_calc!$E$239)),TEXT(INDEX('Checks'!$H$4:$H$503,_calc!$E$239),"yyyy-mm-dd"),""))</f>
        <v/>
      </c>
      <c r="C237" s="43">
        <f>IF(_calc!$E$239="","","Right to work")</f>
        <v/>
      </c>
      <c r="D237" s="43">
        <f>IF(_calc!$E$239="","",IF(ISNUMBER(INDEX('Checks'!$F$4:$F$503,_calc!$E$239)),TEXT(INDEX('Checks'!$F$4:$F$503,_calc!$E$239),"yyyy-mm-dd"),""))</f>
        <v/>
      </c>
      <c r="E237" s="43">
        <f>IF(_calc!$E$239="","","High")</f>
        <v/>
      </c>
      <c r="F237" s="43">
        <f>IF(_calc!$E$239="","",TRIM(IF(LEN(IF(LEN(INDEX('Checks'!$B$4:$B$503,_calc!$E$239))=0,"",INDEX('Checks'!$B$4:$B$503,_calc!$E$239)))=0,"","Role: "&amp;IF(LEN(INDEX('Checks'!$B$4:$B$503,_calc!$E$239))=0,"",INDEX('Checks'!$B$4:$B$503,_calc!$E$239))&amp;". ")&amp;IF(LEN(IF(LEN(INDEX('Checks'!$D$4:$D$503,_calc!$E$239))=0,"",INDEX('Checks'!$D$4:$D$503,_calc!$E$239)))=0,"","Check type: "&amp;IF(LEN(INDEX('Checks'!$D$4:$D$503,_calc!$E$239))=0,"",INDEX('Checks'!$D$4:$D$503,_calc!$E$239))&amp;". ")&amp;IF(LEN(IF(LEN(INDEX('Checks'!$E$4:$E$503,_calc!$E$239))=0,"",INDEX('Checks'!$E$4:$E$503,_calc!$E$239)))=0,"","Evidence: "&amp;IF(LEN(INDEX('Checks'!$E$4:$E$503,_calc!$E$239))=0,"",INDEX('Checks'!$E$4:$E$503,_calc!$E$239))&amp;". ")&amp;IF(LEN(IF(LEN(INDEX('Checks'!$G$4:$G$503,_calc!$E$239))=0,"",INDEX('Checks'!$G$4:$G$503,_calc!$E$239)))=0,"","Checked by: "&amp;IF(LEN(INDEX('Checks'!$G$4:$G$503,_calc!$E$239))=0,"",INDEX('Checks'!$G$4:$G$503,_calc!$E$239))&amp;". ")&amp;IF(LEN(IF(LEN(INDEX('Checks'!$Q$4:$Q$503,_calc!$E$239))=0,"",INDEX('Checks'!$Q$4:$Q$503,_calc!$E$239)))=0,"",IF(LEN(INDEX('Checks'!$Q$4:$Q$503,_calc!$E$239))=0,"",INDEX('Checks'!$Q$4:$Q$503,_calc!$E$239)))))</f>
        <v/>
      </c>
      <c r="G237" s="43">
        <f>IF(_calc!$E$239="","",IF(LEN(INDEX('Checks'!$P$4:$P$503,_calc!$E$239))=0,"",INDEX('Checks'!$P$4:$P$503,_calc!$E$239)))</f>
        <v/>
      </c>
      <c r="K237" s="43">
        <f>IF(_calc!$E$239="","",IF(LEN(INDEX('Checks'!$O$4:$O$503,_calc!$E$239))=0,"",INDEX('Checks'!$O$4:$O$503,_calc!$E$239)))</f>
        <v/>
      </c>
    </row>
    <row r="238">
      <c r="A238" s="43">
        <f>IF(_calc!$E$240="","","Right to work follow-up – "&amp;IF(LEN(INDEX('Checks'!$A$4:$A$503,_calc!$E$240))=0,"",INDEX('Checks'!$A$4:$A$503,_calc!$E$240)))</f>
        <v/>
      </c>
      <c r="B238" s="43">
        <f>IF(_calc!$E$240="","",IF(ISNUMBER(INDEX('Checks'!$H$4:$H$503,_calc!$E$240)),TEXT(INDEX('Checks'!$H$4:$H$503,_calc!$E$240),"yyyy-mm-dd"),""))</f>
        <v/>
      </c>
      <c r="C238" s="43">
        <f>IF(_calc!$E$240="","","Right to work")</f>
        <v/>
      </c>
      <c r="D238" s="43">
        <f>IF(_calc!$E$240="","",IF(ISNUMBER(INDEX('Checks'!$F$4:$F$503,_calc!$E$240)),TEXT(INDEX('Checks'!$F$4:$F$503,_calc!$E$240),"yyyy-mm-dd"),""))</f>
        <v/>
      </c>
      <c r="E238" s="43">
        <f>IF(_calc!$E$240="","","High")</f>
        <v/>
      </c>
      <c r="F238" s="43">
        <f>IF(_calc!$E$240="","",TRIM(IF(LEN(IF(LEN(INDEX('Checks'!$B$4:$B$503,_calc!$E$240))=0,"",INDEX('Checks'!$B$4:$B$503,_calc!$E$240)))=0,"","Role: "&amp;IF(LEN(INDEX('Checks'!$B$4:$B$503,_calc!$E$240))=0,"",INDEX('Checks'!$B$4:$B$503,_calc!$E$240))&amp;". ")&amp;IF(LEN(IF(LEN(INDEX('Checks'!$D$4:$D$503,_calc!$E$240))=0,"",INDEX('Checks'!$D$4:$D$503,_calc!$E$240)))=0,"","Check type: "&amp;IF(LEN(INDEX('Checks'!$D$4:$D$503,_calc!$E$240))=0,"",INDEX('Checks'!$D$4:$D$503,_calc!$E$240))&amp;". ")&amp;IF(LEN(IF(LEN(INDEX('Checks'!$E$4:$E$503,_calc!$E$240))=0,"",INDEX('Checks'!$E$4:$E$503,_calc!$E$240)))=0,"","Evidence: "&amp;IF(LEN(INDEX('Checks'!$E$4:$E$503,_calc!$E$240))=0,"",INDEX('Checks'!$E$4:$E$503,_calc!$E$240))&amp;". ")&amp;IF(LEN(IF(LEN(INDEX('Checks'!$G$4:$G$503,_calc!$E$240))=0,"",INDEX('Checks'!$G$4:$G$503,_calc!$E$240)))=0,"","Checked by: "&amp;IF(LEN(INDEX('Checks'!$G$4:$G$503,_calc!$E$240))=0,"",INDEX('Checks'!$G$4:$G$503,_calc!$E$240))&amp;". ")&amp;IF(LEN(IF(LEN(INDEX('Checks'!$Q$4:$Q$503,_calc!$E$240))=0,"",INDEX('Checks'!$Q$4:$Q$503,_calc!$E$240)))=0,"",IF(LEN(INDEX('Checks'!$Q$4:$Q$503,_calc!$E$240))=0,"",INDEX('Checks'!$Q$4:$Q$503,_calc!$E$240)))))</f>
        <v/>
      </c>
      <c r="G238" s="43">
        <f>IF(_calc!$E$240="","",IF(LEN(INDEX('Checks'!$P$4:$P$503,_calc!$E$240))=0,"",INDEX('Checks'!$P$4:$P$503,_calc!$E$240)))</f>
        <v/>
      </c>
      <c r="K238" s="43">
        <f>IF(_calc!$E$240="","",IF(LEN(INDEX('Checks'!$O$4:$O$503,_calc!$E$240))=0,"",INDEX('Checks'!$O$4:$O$503,_calc!$E$240)))</f>
        <v/>
      </c>
    </row>
    <row r="239">
      <c r="A239" s="43">
        <f>IF(_calc!$E$241="","","Right to work follow-up – "&amp;IF(LEN(INDEX('Checks'!$A$4:$A$503,_calc!$E$241))=0,"",INDEX('Checks'!$A$4:$A$503,_calc!$E$241)))</f>
        <v/>
      </c>
      <c r="B239" s="43">
        <f>IF(_calc!$E$241="","",IF(ISNUMBER(INDEX('Checks'!$H$4:$H$503,_calc!$E$241)),TEXT(INDEX('Checks'!$H$4:$H$503,_calc!$E$241),"yyyy-mm-dd"),""))</f>
        <v/>
      </c>
      <c r="C239" s="43">
        <f>IF(_calc!$E$241="","","Right to work")</f>
        <v/>
      </c>
      <c r="D239" s="43">
        <f>IF(_calc!$E$241="","",IF(ISNUMBER(INDEX('Checks'!$F$4:$F$503,_calc!$E$241)),TEXT(INDEX('Checks'!$F$4:$F$503,_calc!$E$241),"yyyy-mm-dd"),""))</f>
        <v/>
      </c>
      <c r="E239" s="43">
        <f>IF(_calc!$E$241="","","High")</f>
        <v/>
      </c>
      <c r="F239" s="43">
        <f>IF(_calc!$E$241="","",TRIM(IF(LEN(IF(LEN(INDEX('Checks'!$B$4:$B$503,_calc!$E$241))=0,"",INDEX('Checks'!$B$4:$B$503,_calc!$E$241)))=0,"","Role: "&amp;IF(LEN(INDEX('Checks'!$B$4:$B$503,_calc!$E$241))=0,"",INDEX('Checks'!$B$4:$B$503,_calc!$E$241))&amp;". ")&amp;IF(LEN(IF(LEN(INDEX('Checks'!$D$4:$D$503,_calc!$E$241))=0,"",INDEX('Checks'!$D$4:$D$503,_calc!$E$241)))=0,"","Check type: "&amp;IF(LEN(INDEX('Checks'!$D$4:$D$503,_calc!$E$241))=0,"",INDEX('Checks'!$D$4:$D$503,_calc!$E$241))&amp;". ")&amp;IF(LEN(IF(LEN(INDEX('Checks'!$E$4:$E$503,_calc!$E$241))=0,"",INDEX('Checks'!$E$4:$E$503,_calc!$E$241)))=0,"","Evidence: "&amp;IF(LEN(INDEX('Checks'!$E$4:$E$503,_calc!$E$241))=0,"",INDEX('Checks'!$E$4:$E$503,_calc!$E$241))&amp;". ")&amp;IF(LEN(IF(LEN(INDEX('Checks'!$G$4:$G$503,_calc!$E$241))=0,"",INDEX('Checks'!$G$4:$G$503,_calc!$E$241)))=0,"","Checked by: "&amp;IF(LEN(INDEX('Checks'!$G$4:$G$503,_calc!$E$241))=0,"",INDEX('Checks'!$G$4:$G$503,_calc!$E$241))&amp;". ")&amp;IF(LEN(IF(LEN(INDEX('Checks'!$Q$4:$Q$503,_calc!$E$241))=0,"",INDEX('Checks'!$Q$4:$Q$503,_calc!$E$241)))=0,"",IF(LEN(INDEX('Checks'!$Q$4:$Q$503,_calc!$E$241))=0,"",INDEX('Checks'!$Q$4:$Q$503,_calc!$E$241)))))</f>
        <v/>
      </c>
      <c r="G239" s="43">
        <f>IF(_calc!$E$241="","",IF(LEN(INDEX('Checks'!$P$4:$P$503,_calc!$E$241))=0,"",INDEX('Checks'!$P$4:$P$503,_calc!$E$241)))</f>
        <v/>
      </c>
      <c r="K239" s="43">
        <f>IF(_calc!$E$241="","",IF(LEN(INDEX('Checks'!$O$4:$O$503,_calc!$E$241))=0,"",INDEX('Checks'!$O$4:$O$503,_calc!$E$241)))</f>
        <v/>
      </c>
    </row>
    <row r="240">
      <c r="A240" s="43">
        <f>IF(_calc!$E$242="","","Right to work follow-up – "&amp;IF(LEN(INDEX('Checks'!$A$4:$A$503,_calc!$E$242))=0,"",INDEX('Checks'!$A$4:$A$503,_calc!$E$242)))</f>
        <v/>
      </c>
      <c r="B240" s="43">
        <f>IF(_calc!$E$242="","",IF(ISNUMBER(INDEX('Checks'!$H$4:$H$503,_calc!$E$242)),TEXT(INDEX('Checks'!$H$4:$H$503,_calc!$E$242),"yyyy-mm-dd"),""))</f>
        <v/>
      </c>
      <c r="C240" s="43">
        <f>IF(_calc!$E$242="","","Right to work")</f>
        <v/>
      </c>
      <c r="D240" s="43">
        <f>IF(_calc!$E$242="","",IF(ISNUMBER(INDEX('Checks'!$F$4:$F$503,_calc!$E$242)),TEXT(INDEX('Checks'!$F$4:$F$503,_calc!$E$242),"yyyy-mm-dd"),""))</f>
        <v/>
      </c>
      <c r="E240" s="43">
        <f>IF(_calc!$E$242="","","High")</f>
        <v/>
      </c>
      <c r="F240" s="43">
        <f>IF(_calc!$E$242="","",TRIM(IF(LEN(IF(LEN(INDEX('Checks'!$B$4:$B$503,_calc!$E$242))=0,"",INDEX('Checks'!$B$4:$B$503,_calc!$E$242)))=0,"","Role: "&amp;IF(LEN(INDEX('Checks'!$B$4:$B$503,_calc!$E$242))=0,"",INDEX('Checks'!$B$4:$B$503,_calc!$E$242))&amp;". ")&amp;IF(LEN(IF(LEN(INDEX('Checks'!$D$4:$D$503,_calc!$E$242))=0,"",INDEX('Checks'!$D$4:$D$503,_calc!$E$242)))=0,"","Check type: "&amp;IF(LEN(INDEX('Checks'!$D$4:$D$503,_calc!$E$242))=0,"",INDEX('Checks'!$D$4:$D$503,_calc!$E$242))&amp;". ")&amp;IF(LEN(IF(LEN(INDEX('Checks'!$E$4:$E$503,_calc!$E$242))=0,"",INDEX('Checks'!$E$4:$E$503,_calc!$E$242)))=0,"","Evidence: "&amp;IF(LEN(INDEX('Checks'!$E$4:$E$503,_calc!$E$242))=0,"",INDEX('Checks'!$E$4:$E$503,_calc!$E$242))&amp;". ")&amp;IF(LEN(IF(LEN(INDEX('Checks'!$G$4:$G$503,_calc!$E$242))=0,"",INDEX('Checks'!$G$4:$G$503,_calc!$E$242)))=0,"","Checked by: "&amp;IF(LEN(INDEX('Checks'!$G$4:$G$503,_calc!$E$242))=0,"",INDEX('Checks'!$G$4:$G$503,_calc!$E$242))&amp;". ")&amp;IF(LEN(IF(LEN(INDEX('Checks'!$Q$4:$Q$503,_calc!$E$242))=0,"",INDEX('Checks'!$Q$4:$Q$503,_calc!$E$242)))=0,"",IF(LEN(INDEX('Checks'!$Q$4:$Q$503,_calc!$E$242))=0,"",INDEX('Checks'!$Q$4:$Q$503,_calc!$E$242)))))</f>
        <v/>
      </c>
      <c r="G240" s="43">
        <f>IF(_calc!$E$242="","",IF(LEN(INDEX('Checks'!$P$4:$P$503,_calc!$E$242))=0,"",INDEX('Checks'!$P$4:$P$503,_calc!$E$242)))</f>
        <v/>
      </c>
      <c r="K240" s="43">
        <f>IF(_calc!$E$242="","",IF(LEN(INDEX('Checks'!$O$4:$O$503,_calc!$E$242))=0,"",INDEX('Checks'!$O$4:$O$503,_calc!$E$242)))</f>
        <v/>
      </c>
    </row>
    <row r="241">
      <c r="A241" s="43">
        <f>IF(_calc!$E$243="","","Right to work follow-up – "&amp;IF(LEN(INDEX('Checks'!$A$4:$A$503,_calc!$E$243))=0,"",INDEX('Checks'!$A$4:$A$503,_calc!$E$243)))</f>
        <v/>
      </c>
      <c r="B241" s="43">
        <f>IF(_calc!$E$243="","",IF(ISNUMBER(INDEX('Checks'!$H$4:$H$503,_calc!$E$243)),TEXT(INDEX('Checks'!$H$4:$H$503,_calc!$E$243),"yyyy-mm-dd"),""))</f>
        <v/>
      </c>
      <c r="C241" s="43">
        <f>IF(_calc!$E$243="","","Right to work")</f>
        <v/>
      </c>
      <c r="D241" s="43">
        <f>IF(_calc!$E$243="","",IF(ISNUMBER(INDEX('Checks'!$F$4:$F$503,_calc!$E$243)),TEXT(INDEX('Checks'!$F$4:$F$503,_calc!$E$243),"yyyy-mm-dd"),""))</f>
        <v/>
      </c>
      <c r="E241" s="43">
        <f>IF(_calc!$E$243="","","High")</f>
        <v/>
      </c>
      <c r="F241" s="43">
        <f>IF(_calc!$E$243="","",TRIM(IF(LEN(IF(LEN(INDEX('Checks'!$B$4:$B$503,_calc!$E$243))=0,"",INDEX('Checks'!$B$4:$B$503,_calc!$E$243)))=0,"","Role: "&amp;IF(LEN(INDEX('Checks'!$B$4:$B$503,_calc!$E$243))=0,"",INDEX('Checks'!$B$4:$B$503,_calc!$E$243))&amp;". ")&amp;IF(LEN(IF(LEN(INDEX('Checks'!$D$4:$D$503,_calc!$E$243))=0,"",INDEX('Checks'!$D$4:$D$503,_calc!$E$243)))=0,"","Check type: "&amp;IF(LEN(INDEX('Checks'!$D$4:$D$503,_calc!$E$243))=0,"",INDEX('Checks'!$D$4:$D$503,_calc!$E$243))&amp;". ")&amp;IF(LEN(IF(LEN(INDEX('Checks'!$E$4:$E$503,_calc!$E$243))=0,"",INDEX('Checks'!$E$4:$E$503,_calc!$E$243)))=0,"","Evidence: "&amp;IF(LEN(INDEX('Checks'!$E$4:$E$503,_calc!$E$243))=0,"",INDEX('Checks'!$E$4:$E$503,_calc!$E$243))&amp;". ")&amp;IF(LEN(IF(LEN(INDEX('Checks'!$G$4:$G$503,_calc!$E$243))=0,"",INDEX('Checks'!$G$4:$G$503,_calc!$E$243)))=0,"","Checked by: "&amp;IF(LEN(INDEX('Checks'!$G$4:$G$503,_calc!$E$243))=0,"",INDEX('Checks'!$G$4:$G$503,_calc!$E$243))&amp;". ")&amp;IF(LEN(IF(LEN(INDEX('Checks'!$Q$4:$Q$503,_calc!$E$243))=0,"",INDEX('Checks'!$Q$4:$Q$503,_calc!$E$243)))=0,"",IF(LEN(INDEX('Checks'!$Q$4:$Q$503,_calc!$E$243))=0,"",INDEX('Checks'!$Q$4:$Q$503,_calc!$E$243)))))</f>
        <v/>
      </c>
      <c r="G241" s="43">
        <f>IF(_calc!$E$243="","",IF(LEN(INDEX('Checks'!$P$4:$P$503,_calc!$E$243))=0,"",INDEX('Checks'!$P$4:$P$503,_calc!$E$243)))</f>
        <v/>
      </c>
      <c r="K241" s="43">
        <f>IF(_calc!$E$243="","",IF(LEN(INDEX('Checks'!$O$4:$O$503,_calc!$E$243))=0,"",INDEX('Checks'!$O$4:$O$503,_calc!$E$243)))</f>
        <v/>
      </c>
    </row>
    <row r="242">
      <c r="A242" s="43">
        <f>IF(_calc!$E$244="","","Right to work follow-up – "&amp;IF(LEN(INDEX('Checks'!$A$4:$A$503,_calc!$E$244))=0,"",INDEX('Checks'!$A$4:$A$503,_calc!$E$244)))</f>
        <v/>
      </c>
      <c r="B242" s="43">
        <f>IF(_calc!$E$244="","",IF(ISNUMBER(INDEX('Checks'!$H$4:$H$503,_calc!$E$244)),TEXT(INDEX('Checks'!$H$4:$H$503,_calc!$E$244),"yyyy-mm-dd"),""))</f>
        <v/>
      </c>
      <c r="C242" s="43">
        <f>IF(_calc!$E$244="","","Right to work")</f>
        <v/>
      </c>
      <c r="D242" s="43">
        <f>IF(_calc!$E$244="","",IF(ISNUMBER(INDEX('Checks'!$F$4:$F$503,_calc!$E$244)),TEXT(INDEX('Checks'!$F$4:$F$503,_calc!$E$244),"yyyy-mm-dd"),""))</f>
        <v/>
      </c>
      <c r="E242" s="43">
        <f>IF(_calc!$E$244="","","High")</f>
        <v/>
      </c>
      <c r="F242" s="43">
        <f>IF(_calc!$E$244="","",TRIM(IF(LEN(IF(LEN(INDEX('Checks'!$B$4:$B$503,_calc!$E$244))=0,"",INDEX('Checks'!$B$4:$B$503,_calc!$E$244)))=0,"","Role: "&amp;IF(LEN(INDEX('Checks'!$B$4:$B$503,_calc!$E$244))=0,"",INDEX('Checks'!$B$4:$B$503,_calc!$E$244))&amp;". ")&amp;IF(LEN(IF(LEN(INDEX('Checks'!$D$4:$D$503,_calc!$E$244))=0,"",INDEX('Checks'!$D$4:$D$503,_calc!$E$244)))=0,"","Check type: "&amp;IF(LEN(INDEX('Checks'!$D$4:$D$503,_calc!$E$244))=0,"",INDEX('Checks'!$D$4:$D$503,_calc!$E$244))&amp;". ")&amp;IF(LEN(IF(LEN(INDEX('Checks'!$E$4:$E$503,_calc!$E$244))=0,"",INDEX('Checks'!$E$4:$E$503,_calc!$E$244)))=0,"","Evidence: "&amp;IF(LEN(INDEX('Checks'!$E$4:$E$503,_calc!$E$244))=0,"",INDEX('Checks'!$E$4:$E$503,_calc!$E$244))&amp;". ")&amp;IF(LEN(IF(LEN(INDEX('Checks'!$G$4:$G$503,_calc!$E$244))=0,"",INDEX('Checks'!$G$4:$G$503,_calc!$E$244)))=0,"","Checked by: "&amp;IF(LEN(INDEX('Checks'!$G$4:$G$503,_calc!$E$244))=0,"",INDEX('Checks'!$G$4:$G$503,_calc!$E$244))&amp;". ")&amp;IF(LEN(IF(LEN(INDEX('Checks'!$Q$4:$Q$503,_calc!$E$244))=0,"",INDEX('Checks'!$Q$4:$Q$503,_calc!$E$244)))=0,"",IF(LEN(INDEX('Checks'!$Q$4:$Q$503,_calc!$E$244))=0,"",INDEX('Checks'!$Q$4:$Q$503,_calc!$E$244)))))</f>
        <v/>
      </c>
      <c r="G242" s="43">
        <f>IF(_calc!$E$244="","",IF(LEN(INDEX('Checks'!$P$4:$P$503,_calc!$E$244))=0,"",INDEX('Checks'!$P$4:$P$503,_calc!$E$244)))</f>
        <v/>
      </c>
      <c r="K242" s="43">
        <f>IF(_calc!$E$244="","",IF(LEN(INDEX('Checks'!$O$4:$O$503,_calc!$E$244))=0,"",INDEX('Checks'!$O$4:$O$503,_calc!$E$244)))</f>
        <v/>
      </c>
    </row>
    <row r="243">
      <c r="A243" s="43">
        <f>IF(_calc!$E$245="","","Right to work follow-up – "&amp;IF(LEN(INDEX('Checks'!$A$4:$A$503,_calc!$E$245))=0,"",INDEX('Checks'!$A$4:$A$503,_calc!$E$245)))</f>
        <v/>
      </c>
      <c r="B243" s="43">
        <f>IF(_calc!$E$245="","",IF(ISNUMBER(INDEX('Checks'!$H$4:$H$503,_calc!$E$245)),TEXT(INDEX('Checks'!$H$4:$H$503,_calc!$E$245),"yyyy-mm-dd"),""))</f>
        <v/>
      </c>
      <c r="C243" s="43">
        <f>IF(_calc!$E$245="","","Right to work")</f>
        <v/>
      </c>
      <c r="D243" s="43">
        <f>IF(_calc!$E$245="","",IF(ISNUMBER(INDEX('Checks'!$F$4:$F$503,_calc!$E$245)),TEXT(INDEX('Checks'!$F$4:$F$503,_calc!$E$245),"yyyy-mm-dd"),""))</f>
        <v/>
      </c>
      <c r="E243" s="43">
        <f>IF(_calc!$E$245="","","High")</f>
        <v/>
      </c>
      <c r="F243" s="43">
        <f>IF(_calc!$E$245="","",TRIM(IF(LEN(IF(LEN(INDEX('Checks'!$B$4:$B$503,_calc!$E$245))=0,"",INDEX('Checks'!$B$4:$B$503,_calc!$E$245)))=0,"","Role: "&amp;IF(LEN(INDEX('Checks'!$B$4:$B$503,_calc!$E$245))=0,"",INDEX('Checks'!$B$4:$B$503,_calc!$E$245))&amp;". ")&amp;IF(LEN(IF(LEN(INDEX('Checks'!$D$4:$D$503,_calc!$E$245))=0,"",INDEX('Checks'!$D$4:$D$503,_calc!$E$245)))=0,"","Check type: "&amp;IF(LEN(INDEX('Checks'!$D$4:$D$503,_calc!$E$245))=0,"",INDEX('Checks'!$D$4:$D$503,_calc!$E$245))&amp;". ")&amp;IF(LEN(IF(LEN(INDEX('Checks'!$E$4:$E$503,_calc!$E$245))=0,"",INDEX('Checks'!$E$4:$E$503,_calc!$E$245)))=0,"","Evidence: "&amp;IF(LEN(INDEX('Checks'!$E$4:$E$503,_calc!$E$245))=0,"",INDEX('Checks'!$E$4:$E$503,_calc!$E$245))&amp;". ")&amp;IF(LEN(IF(LEN(INDEX('Checks'!$G$4:$G$503,_calc!$E$245))=0,"",INDEX('Checks'!$G$4:$G$503,_calc!$E$245)))=0,"","Checked by: "&amp;IF(LEN(INDEX('Checks'!$G$4:$G$503,_calc!$E$245))=0,"",INDEX('Checks'!$G$4:$G$503,_calc!$E$245))&amp;". ")&amp;IF(LEN(IF(LEN(INDEX('Checks'!$Q$4:$Q$503,_calc!$E$245))=0,"",INDEX('Checks'!$Q$4:$Q$503,_calc!$E$245)))=0,"",IF(LEN(INDEX('Checks'!$Q$4:$Q$503,_calc!$E$245))=0,"",INDEX('Checks'!$Q$4:$Q$503,_calc!$E$245)))))</f>
        <v/>
      </c>
      <c r="G243" s="43">
        <f>IF(_calc!$E$245="","",IF(LEN(INDEX('Checks'!$P$4:$P$503,_calc!$E$245))=0,"",INDEX('Checks'!$P$4:$P$503,_calc!$E$245)))</f>
        <v/>
      </c>
      <c r="K243" s="43">
        <f>IF(_calc!$E$245="","",IF(LEN(INDEX('Checks'!$O$4:$O$503,_calc!$E$245))=0,"",INDEX('Checks'!$O$4:$O$503,_calc!$E$245)))</f>
        <v/>
      </c>
    </row>
    <row r="244">
      <c r="A244" s="43">
        <f>IF(_calc!$E$246="","","Right to work follow-up – "&amp;IF(LEN(INDEX('Checks'!$A$4:$A$503,_calc!$E$246))=0,"",INDEX('Checks'!$A$4:$A$503,_calc!$E$246)))</f>
        <v/>
      </c>
      <c r="B244" s="43">
        <f>IF(_calc!$E$246="","",IF(ISNUMBER(INDEX('Checks'!$H$4:$H$503,_calc!$E$246)),TEXT(INDEX('Checks'!$H$4:$H$503,_calc!$E$246),"yyyy-mm-dd"),""))</f>
        <v/>
      </c>
      <c r="C244" s="43">
        <f>IF(_calc!$E$246="","","Right to work")</f>
        <v/>
      </c>
      <c r="D244" s="43">
        <f>IF(_calc!$E$246="","",IF(ISNUMBER(INDEX('Checks'!$F$4:$F$503,_calc!$E$246)),TEXT(INDEX('Checks'!$F$4:$F$503,_calc!$E$246),"yyyy-mm-dd"),""))</f>
        <v/>
      </c>
      <c r="E244" s="43">
        <f>IF(_calc!$E$246="","","High")</f>
        <v/>
      </c>
      <c r="F244" s="43">
        <f>IF(_calc!$E$246="","",TRIM(IF(LEN(IF(LEN(INDEX('Checks'!$B$4:$B$503,_calc!$E$246))=0,"",INDEX('Checks'!$B$4:$B$503,_calc!$E$246)))=0,"","Role: "&amp;IF(LEN(INDEX('Checks'!$B$4:$B$503,_calc!$E$246))=0,"",INDEX('Checks'!$B$4:$B$503,_calc!$E$246))&amp;". ")&amp;IF(LEN(IF(LEN(INDEX('Checks'!$D$4:$D$503,_calc!$E$246))=0,"",INDEX('Checks'!$D$4:$D$503,_calc!$E$246)))=0,"","Check type: "&amp;IF(LEN(INDEX('Checks'!$D$4:$D$503,_calc!$E$246))=0,"",INDEX('Checks'!$D$4:$D$503,_calc!$E$246))&amp;". ")&amp;IF(LEN(IF(LEN(INDEX('Checks'!$E$4:$E$503,_calc!$E$246))=0,"",INDEX('Checks'!$E$4:$E$503,_calc!$E$246)))=0,"","Evidence: "&amp;IF(LEN(INDEX('Checks'!$E$4:$E$503,_calc!$E$246))=0,"",INDEX('Checks'!$E$4:$E$503,_calc!$E$246))&amp;". ")&amp;IF(LEN(IF(LEN(INDEX('Checks'!$G$4:$G$503,_calc!$E$246))=0,"",INDEX('Checks'!$G$4:$G$503,_calc!$E$246)))=0,"","Checked by: "&amp;IF(LEN(INDEX('Checks'!$G$4:$G$503,_calc!$E$246))=0,"",INDEX('Checks'!$G$4:$G$503,_calc!$E$246))&amp;". ")&amp;IF(LEN(IF(LEN(INDEX('Checks'!$Q$4:$Q$503,_calc!$E$246))=0,"",INDEX('Checks'!$Q$4:$Q$503,_calc!$E$246)))=0,"",IF(LEN(INDEX('Checks'!$Q$4:$Q$503,_calc!$E$246))=0,"",INDEX('Checks'!$Q$4:$Q$503,_calc!$E$246)))))</f>
        <v/>
      </c>
      <c r="G244" s="43">
        <f>IF(_calc!$E$246="","",IF(LEN(INDEX('Checks'!$P$4:$P$503,_calc!$E$246))=0,"",INDEX('Checks'!$P$4:$P$503,_calc!$E$246)))</f>
        <v/>
      </c>
      <c r="K244" s="43">
        <f>IF(_calc!$E$246="","",IF(LEN(INDEX('Checks'!$O$4:$O$503,_calc!$E$246))=0,"",INDEX('Checks'!$O$4:$O$503,_calc!$E$246)))</f>
        <v/>
      </c>
    </row>
    <row r="245">
      <c r="A245" s="43">
        <f>IF(_calc!$E$247="","","Right to work follow-up – "&amp;IF(LEN(INDEX('Checks'!$A$4:$A$503,_calc!$E$247))=0,"",INDEX('Checks'!$A$4:$A$503,_calc!$E$247)))</f>
        <v/>
      </c>
      <c r="B245" s="43">
        <f>IF(_calc!$E$247="","",IF(ISNUMBER(INDEX('Checks'!$H$4:$H$503,_calc!$E$247)),TEXT(INDEX('Checks'!$H$4:$H$503,_calc!$E$247),"yyyy-mm-dd"),""))</f>
        <v/>
      </c>
      <c r="C245" s="43">
        <f>IF(_calc!$E$247="","","Right to work")</f>
        <v/>
      </c>
      <c r="D245" s="43">
        <f>IF(_calc!$E$247="","",IF(ISNUMBER(INDEX('Checks'!$F$4:$F$503,_calc!$E$247)),TEXT(INDEX('Checks'!$F$4:$F$503,_calc!$E$247),"yyyy-mm-dd"),""))</f>
        <v/>
      </c>
      <c r="E245" s="43">
        <f>IF(_calc!$E$247="","","High")</f>
        <v/>
      </c>
      <c r="F245" s="43">
        <f>IF(_calc!$E$247="","",TRIM(IF(LEN(IF(LEN(INDEX('Checks'!$B$4:$B$503,_calc!$E$247))=0,"",INDEX('Checks'!$B$4:$B$503,_calc!$E$247)))=0,"","Role: "&amp;IF(LEN(INDEX('Checks'!$B$4:$B$503,_calc!$E$247))=0,"",INDEX('Checks'!$B$4:$B$503,_calc!$E$247))&amp;". ")&amp;IF(LEN(IF(LEN(INDEX('Checks'!$D$4:$D$503,_calc!$E$247))=0,"",INDEX('Checks'!$D$4:$D$503,_calc!$E$247)))=0,"","Check type: "&amp;IF(LEN(INDEX('Checks'!$D$4:$D$503,_calc!$E$247))=0,"",INDEX('Checks'!$D$4:$D$503,_calc!$E$247))&amp;". ")&amp;IF(LEN(IF(LEN(INDEX('Checks'!$E$4:$E$503,_calc!$E$247))=0,"",INDEX('Checks'!$E$4:$E$503,_calc!$E$247)))=0,"","Evidence: "&amp;IF(LEN(INDEX('Checks'!$E$4:$E$503,_calc!$E$247))=0,"",INDEX('Checks'!$E$4:$E$503,_calc!$E$247))&amp;". ")&amp;IF(LEN(IF(LEN(INDEX('Checks'!$G$4:$G$503,_calc!$E$247))=0,"",INDEX('Checks'!$G$4:$G$503,_calc!$E$247)))=0,"","Checked by: "&amp;IF(LEN(INDEX('Checks'!$G$4:$G$503,_calc!$E$247))=0,"",INDEX('Checks'!$G$4:$G$503,_calc!$E$247))&amp;". ")&amp;IF(LEN(IF(LEN(INDEX('Checks'!$Q$4:$Q$503,_calc!$E$247))=0,"",INDEX('Checks'!$Q$4:$Q$503,_calc!$E$247)))=0,"",IF(LEN(INDEX('Checks'!$Q$4:$Q$503,_calc!$E$247))=0,"",INDEX('Checks'!$Q$4:$Q$503,_calc!$E$247)))))</f>
        <v/>
      </c>
      <c r="G245" s="43">
        <f>IF(_calc!$E$247="","",IF(LEN(INDEX('Checks'!$P$4:$P$503,_calc!$E$247))=0,"",INDEX('Checks'!$P$4:$P$503,_calc!$E$247)))</f>
        <v/>
      </c>
      <c r="K245" s="43">
        <f>IF(_calc!$E$247="","",IF(LEN(INDEX('Checks'!$O$4:$O$503,_calc!$E$247))=0,"",INDEX('Checks'!$O$4:$O$503,_calc!$E$247)))</f>
        <v/>
      </c>
    </row>
    <row r="246">
      <c r="A246" s="43">
        <f>IF(_calc!$E$248="","","Right to work follow-up – "&amp;IF(LEN(INDEX('Checks'!$A$4:$A$503,_calc!$E$248))=0,"",INDEX('Checks'!$A$4:$A$503,_calc!$E$248)))</f>
        <v/>
      </c>
      <c r="B246" s="43">
        <f>IF(_calc!$E$248="","",IF(ISNUMBER(INDEX('Checks'!$H$4:$H$503,_calc!$E$248)),TEXT(INDEX('Checks'!$H$4:$H$503,_calc!$E$248),"yyyy-mm-dd"),""))</f>
        <v/>
      </c>
      <c r="C246" s="43">
        <f>IF(_calc!$E$248="","","Right to work")</f>
        <v/>
      </c>
      <c r="D246" s="43">
        <f>IF(_calc!$E$248="","",IF(ISNUMBER(INDEX('Checks'!$F$4:$F$503,_calc!$E$248)),TEXT(INDEX('Checks'!$F$4:$F$503,_calc!$E$248),"yyyy-mm-dd"),""))</f>
        <v/>
      </c>
      <c r="E246" s="43">
        <f>IF(_calc!$E$248="","","High")</f>
        <v/>
      </c>
      <c r="F246" s="43">
        <f>IF(_calc!$E$248="","",TRIM(IF(LEN(IF(LEN(INDEX('Checks'!$B$4:$B$503,_calc!$E$248))=0,"",INDEX('Checks'!$B$4:$B$503,_calc!$E$248)))=0,"","Role: "&amp;IF(LEN(INDEX('Checks'!$B$4:$B$503,_calc!$E$248))=0,"",INDEX('Checks'!$B$4:$B$503,_calc!$E$248))&amp;". ")&amp;IF(LEN(IF(LEN(INDEX('Checks'!$D$4:$D$503,_calc!$E$248))=0,"",INDEX('Checks'!$D$4:$D$503,_calc!$E$248)))=0,"","Check type: "&amp;IF(LEN(INDEX('Checks'!$D$4:$D$503,_calc!$E$248))=0,"",INDEX('Checks'!$D$4:$D$503,_calc!$E$248))&amp;". ")&amp;IF(LEN(IF(LEN(INDEX('Checks'!$E$4:$E$503,_calc!$E$248))=0,"",INDEX('Checks'!$E$4:$E$503,_calc!$E$248)))=0,"","Evidence: "&amp;IF(LEN(INDEX('Checks'!$E$4:$E$503,_calc!$E$248))=0,"",INDEX('Checks'!$E$4:$E$503,_calc!$E$248))&amp;". ")&amp;IF(LEN(IF(LEN(INDEX('Checks'!$G$4:$G$503,_calc!$E$248))=0,"",INDEX('Checks'!$G$4:$G$503,_calc!$E$248)))=0,"","Checked by: "&amp;IF(LEN(INDEX('Checks'!$G$4:$G$503,_calc!$E$248))=0,"",INDEX('Checks'!$G$4:$G$503,_calc!$E$248))&amp;". ")&amp;IF(LEN(IF(LEN(INDEX('Checks'!$Q$4:$Q$503,_calc!$E$248))=0,"",INDEX('Checks'!$Q$4:$Q$503,_calc!$E$248)))=0,"",IF(LEN(INDEX('Checks'!$Q$4:$Q$503,_calc!$E$248))=0,"",INDEX('Checks'!$Q$4:$Q$503,_calc!$E$248)))))</f>
        <v/>
      </c>
      <c r="G246" s="43">
        <f>IF(_calc!$E$248="","",IF(LEN(INDEX('Checks'!$P$4:$P$503,_calc!$E$248))=0,"",INDEX('Checks'!$P$4:$P$503,_calc!$E$248)))</f>
        <v/>
      </c>
      <c r="K246" s="43">
        <f>IF(_calc!$E$248="","",IF(LEN(INDEX('Checks'!$O$4:$O$503,_calc!$E$248))=0,"",INDEX('Checks'!$O$4:$O$503,_calc!$E$248)))</f>
        <v/>
      </c>
    </row>
    <row r="247">
      <c r="A247" s="43">
        <f>IF(_calc!$E$249="","","Right to work follow-up – "&amp;IF(LEN(INDEX('Checks'!$A$4:$A$503,_calc!$E$249))=0,"",INDEX('Checks'!$A$4:$A$503,_calc!$E$249)))</f>
        <v/>
      </c>
      <c r="B247" s="43">
        <f>IF(_calc!$E$249="","",IF(ISNUMBER(INDEX('Checks'!$H$4:$H$503,_calc!$E$249)),TEXT(INDEX('Checks'!$H$4:$H$503,_calc!$E$249),"yyyy-mm-dd"),""))</f>
        <v/>
      </c>
      <c r="C247" s="43">
        <f>IF(_calc!$E$249="","","Right to work")</f>
        <v/>
      </c>
      <c r="D247" s="43">
        <f>IF(_calc!$E$249="","",IF(ISNUMBER(INDEX('Checks'!$F$4:$F$503,_calc!$E$249)),TEXT(INDEX('Checks'!$F$4:$F$503,_calc!$E$249),"yyyy-mm-dd"),""))</f>
        <v/>
      </c>
      <c r="E247" s="43">
        <f>IF(_calc!$E$249="","","High")</f>
        <v/>
      </c>
      <c r="F247" s="43">
        <f>IF(_calc!$E$249="","",TRIM(IF(LEN(IF(LEN(INDEX('Checks'!$B$4:$B$503,_calc!$E$249))=0,"",INDEX('Checks'!$B$4:$B$503,_calc!$E$249)))=0,"","Role: "&amp;IF(LEN(INDEX('Checks'!$B$4:$B$503,_calc!$E$249))=0,"",INDEX('Checks'!$B$4:$B$503,_calc!$E$249))&amp;". ")&amp;IF(LEN(IF(LEN(INDEX('Checks'!$D$4:$D$503,_calc!$E$249))=0,"",INDEX('Checks'!$D$4:$D$503,_calc!$E$249)))=0,"","Check type: "&amp;IF(LEN(INDEX('Checks'!$D$4:$D$503,_calc!$E$249))=0,"",INDEX('Checks'!$D$4:$D$503,_calc!$E$249))&amp;". ")&amp;IF(LEN(IF(LEN(INDEX('Checks'!$E$4:$E$503,_calc!$E$249))=0,"",INDEX('Checks'!$E$4:$E$503,_calc!$E$249)))=0,"","Evidence: "&amp;IF(LEN(INDEX('Checks'!$E$4:$E$503,_calc!$E$249))=0,"",INDEX('Checks'!$E$4:$E$503,_calc!$E$249))&amp;". ")&amp;IF(LEN(IF(LEN(INDEX('Checks'!$G$4:$G$503,_calc!$E$249))=0,"",INDEX('Checks'!$G$4:$G$503,_calc!$E$249)))=0,"","Checked by: "&amp;IF(LEN(INDEX('Checks'!$G$4:$G$503,_calc!$E$249))=0,"",INDEX('Checks'!$G$4:$G$503,_calc!$E$249))&amp;". ")&amp;IF(LEN(IF(LEN(INDEX('Checks'!$Q$4:$Q$503,_calc!$E$249))=0,"",INDEX('Checks'!$Q$4:$Q$503,_calc!$E$249)))=0,"",IF(LEN(INDEX('Checks'!$Q$4:$Q$503,_calc!$E$249))=0,"",INDEX('Checks'!$Q$4:$Q$503,_calc!$E$249)))))</f>
        <v/>
      </c>
      <c r="G247" s="43">
        <f>IF(_calc!$E$249="","",IF(LEN(INDEX('Checks'!$P$4:$P$503,_calc!$E$249))=0,"",INDEX('Checks'!$P$4:$P$503,_calc!$E$249)))</f>
        <v/>
      </c>
      <c r="K247" s="43">
        <f>IF(_calc!$E$249="","",IF(LEN(INDEX('Checks'!$O$4:$O$503,_calc!$E$249))=0,"",INDEX('Checks'!$O$4:$O$503,_calc!$E$249)))</f>
        <v/>
      </c>
    </row>
    <row r="248">
      <c r="A248" s="43">
        <f>IF(_calc!$E$250="","","Right to work follow-up – "&amp;IF(LEN(INDEX('Checks'!$A$4:$A$503,_calc!$E$250))=0,"",INDEX('Checks'!$A$4:$A$503,_calc!$E$250)))</f>
        <v/>
      </c>
      <c r="B248" s="43">
        <f>IF(_calc!$E$250="","",IF(ISNUMBER(INDEX('Checks'!$H$4:$H$503,_calc!$E$250)),TEXT(INDEX('Checks'!$H$4:$H$503,_calc!$E$250),"yyyy-mm-dd"),""))</f>
        <v/>
      </c>
      <c r="C248" s="43">
        <f>IF(_calc!$E$250="","","Right to work")</f>
        <v/>
      </c>
      <c r="D248" s="43">
        <f>IF(_calc!$E$250="","",IF(ISNUMBER(INDEX('Checks'!$F$4:$F$503,_calc!$E$250)),TEXT(INDEX('Checks'!$F$4:$F$503,_calc!$E$250),"yyyy-mm-dd"),""))</f>
        <v/>
      </c>
      <c r="E248" s="43">
        <f>IF(_calc!$E$250="","","High")</f>
        <v/>
      </c>
      <c r="F248" s="43">
        <f>IF(_calc!$E$250="","",TRIM(IF(LEN(IF(LEN(INDEX('Checks'!$B$4:$B$503,_calc!$E$250))=0,"",INDEX('Checks'!$B$4:$B$503,_calc!$E$250)))=0,"","Role: "&amp;IF(LEN(INDEX('Checks'!$B$4:$B$503,_calc!$E$250))=0,"",INDEX('Checks'!$B$4:$B$503,_calc!$E$250))&amp;". ")&amp;IF(LEN(IF(LEN(INDEX('Checks'!$D$4:$D$503,_calc!$E$250))=0,"",INDEX('Checks'!$D$4:$D$503,_calc!$E$250)))=0,"","Check type: "&amp;IF(LEN(INDEX('Checks'!$D$4:$D$503,_calc!$E$250))=0,"",INDEX('Checks'!$D$4:$D$503,_calc!$E$250))&amp;". ")&amp;IF(LEN(IF(LEN(INDEX('Checks'!$E$4:$E$503,_calc!$E$250))=0,"",INDEX('Checks'!$E$4:$E$503,_calc!$E$250)))=0,"","Evidence: "&amp;IF(LEN(INDEX('Checks'!$E$4:$E$503,_calc!$E$250))=0,"",INDEX('Checks'!$E$4:$E$503,_calc!$E$250))&amp;". ")&amp;IF(LEN(IF(LEN(INDEX('Checks'!$G$4:$G$503,_calc!$E$250))=0,"",INDEX('Checks'!$G$4:$G$503,_calc!$E$250)))=0,"","Checked by: "&amp;IF(LEN(INDEX('Checks'!$G$4:$G$503,_calc!$E$250))=0,"",INDEX('Checks'!$G$4:$G$503,_calc!$E$250))&amp;". ")&amp;IF(LEN(IF(LEN(INDEX('Checks'!$Q$4:$Q$503,_calc!$E$250))=0,"",INDEX('Checks'!$Q$4:$Q$503,_calc!$E$250)))=0,"",IF(LEN(INDEX('Checks'!$Q$4:$Q$503,_calc!$E$250))=0,"",INDEX('Checks'!$Q$4:$Q$503,_calc!$E$250)))))</f>
        <v/>
      </c>
      <c r="G248" s="43">
        <f>IF(_calc!$E$250="","",IF(LEN(INDEX('Checks'!$P$4:$P$503,_calc!$E$250))=0,"",INDEX('Checks'!$P$4:$P$503,_calc!$E$250)))</f>
        <v/>
      </c>
      <c r="K248" s="43">
        <f>IF(_calc!$E$250="","",IF(LEN(INDEX('Checks'!$O$4:$O$503,_calc!$E$250))=0,"",INDEX('Checks'!$O$4:$O$503,_calc!$E$250)))</f>
        <v/>
      </c>
    </row>
    <row r="249">
      <c r="A249" s="43">
        <f>IF(_calc!$E$251="","","Right to work follow-up – "&amp;IF(LEN(INDEX('Checks'!$A$4:$A$503,_calc!$E$251))=0,"",INDEX('Checks'!$A$4:$A$503,_calc!$E$251)))</f>
        <v/>
      </c>
      <c r="B249" s="43">
        <f>IF(_calc!$E$251="","",IF(ISNUMBER(INDEX('Checks'!$H$4:$H$503,_calc!$E$251)),TEXT(INDEX('Checks'!$H$4:$H$503,_calc!$E$251),"yyyy-mm-dd"),""))</f>
        <v/>
      </c>
      <c r="C249" s="43">
        <f>IF(_calc!$E$251="","","Right to work")</f>
        <v/>
      </c>
      <c r="D249" s="43">
        <f>IF(_calc!$E$251="","",IF(ISNUMBER(INDEX('Checks'!$F$4:$F$503,_calc!$E$251)),TEXT(INDEX('Checks'!$F$4:$F$503,_calc!$E$251),"yyyy-mm-dd"),""))</f>
        <v/>
      </c>
      <c r="E249" s="43">
        <f>IF(_calc!$E$251="","","High")</f>
        <v/>
      </c>
      <c r="F249" s="43">
        <f>IF(_calc!$E$251="","",TRIM(IF(LEN(IF(LEN(INDEX('Checks'!$B$4:$B$503,_calc!$E$251))=0,"",INDEX('Checks'!$B$4:$B$503,_calc!$E$251)))=0,"","Role: "&amp;IF(LEN(INDEX('Checks'!$B$4:$B$503,_calc!$E$251))=0,"",INDEX('Checks'!$B$4:$B$503,_calc!$E$251))&amp;". ")&amp;IF(LEN(IF(LEN(INDEX('Checks'!$D$4:$D$503,_calc!$E$251))=0,"",INDEX('Checks'!$D$4:$D$503,_calc!$E$251)))=0,"","Check type: "&amp;IF(LEN(INDEX('Checks'!$D$4:$D$503,_calc!$E$251))=0,"",INDEX('Checks'!$D$4:$D$503,_calc!$E$251))&amp;". ")&amp;IF(LEN(IF(LEN(INDEX('Checks'!$E$4:$E$503,_calc!$E$251))=0,"",INDEX('Checks'!$E$4:$E$503,_calc!$E$251)))=0,"","Evidence: "&amp;IF(LEN(INDEX('Checks'!$E$4:$E$503,_calc!$E$251))=0,"",INDEX('Checks'!$E$4:$E$503,_calc!$E$251))&amp;". ")&amp;IF(LEN(IF(LEN(INDEX('Checks'!$G$4:$G$503,_calc!$E$251))=0,"",INDEX('Checks'!$G$4:$G$503,_calc!$E$251)))=0,"","Checked by: "&amp;IF(LEN(INDEX('Checks'!$G$4:$G$503,_calc!$E$251))=0,"",INDEX('Checks'!$G$4:$G$503,_calc!$E$251))&amp;". ")&amp;IF(LEN(IF(LEN(INDEX('Checks'!$Q$4:$Q$503,_calc!$E$251))=0,"",INDEX('Checks'!$Q$4:$Q$503,_calc!$E$251)))=0,"",IF(LEN(INDEX('Checks'!$Q$4:$Q$503,_calc!$E$251))=0,"",INDEX('Checks'!$Q$4:$Q$503,_calc!$E$251)))))</f>
        <v/>
      </c>
      <c r="G249" s="43">
        <f>IF(_calc!$E$251="","",IF(LEN(INDEX('Checks'!$P$4:$P$503,_calc!$E$251))=0,"",INDEX('Checks'!$P$4:$P$503,_calc!$E$251)))</f>
        <v/>
      </c>
      <c r="K249" s="43">
        <f>IF(_calc!$E$251="","",IF(LEN(INDEX('Checks'!$O$4:$O$503,_calc!$E$251))=0,"",INDEX('Checks'!$O$4:$O$503,_calc!$E$251)))</f>
        <v/>
      </c>
    </row>
    <row r="250">
      <c r="A250" s="43">
        <f>IF(_calc!$E$252="","","Right to work follow-up – "&amp;IF(LEN(INDEX('Checks'!$A$4:$A$503,_calc!$E$252))=0,"",INDEX('Checks'!$A$4:$A$503,_calc!$E$252)))</f>
        <v/>
      </c>
      <c r="B250" s="43">
        <f>IF(_calc!$E$252="","",IF(ISNUMBER(INDEX('Checks'!$H$4:$H$503,_calc!$E$252)),TEXT(INDEX('Checks'!$H$4:$H$503,_calc!$E$252),"yyyy-mm-dd"),""))</f>
        <v/>
      </c>
      <c r="C250" s="43">
        <f>IF(_calc!$E$252="","","Right to work")</f>
        <v/>
      </c>
      <c r="D250" s="43">
        <f>IF(_calc!$E$252="","",IF(ISNUMBER(INDEX('Checks'!$F$4:$F$503,_calc!$E$252)),TEXT(INDEX('Checks'!$F$4:$F$503,_calc!$E$252),"yyyy-mm-dd"),""))</f>
        <v/>
      </c>
      <c r="E250" s="43">
        <f>IF(_calc!$E$252="","","High")</f>
        <v/>
      </c>
      <c r="F250" s="43">
        <f>IF(_calc!$E$252="","",TRIM(IF(LEN(IF(LEN(INDEX('Checks'!$B$4:$B$503,_calc!$E$252))=0,"",INDEX('Checks'!$B$4:$B$503,_calc!$E$252)))=0,"","Role: "&amp;IF(LEN(INDEX('Checks'!$B$4:$B$503,_calc!$E$252))=0,"",INDEX('Checks'!$B$4:$B$503,_calc!$E$252))&amp;". ")&amp;IF(LEN(IF(LEN(INDEX('Checks'!$D$4:$D$503,_calc!$E$252))=0,"",INDEX('Checks'!$D$4:$D$503,_calc!$E$252)))=0,"","Check type: "&amp;IF(LEN(INDEX('Checks'!$D$4:$D$503,_calc!$E$252))=0,"",INDEX('Checks'!$D$4:$D$503,_calc!$E$252))&amp;". ")&amp;IF(LEN(IF(LEN(INDEX('Checks'!$E$4:$E$503,_calc!$E$252))=0,"",INDEX('Checks'!$E$4:$E$503,_calc!$E$252)))=0,"","Evidence: "&amp;IF(LEN(INDEX('Checks'!$E$4:$E$503,_calc!$E$252))=0,"",INDEX('Checks'!$E$4:$E$503,_calc!$E$252))&amp;". ")&amp;IF(LEN(IF(LEN(INDEX('Checks'!$G$4:$G$503,_calc!$E$252))=0,"",INDEX('Checks'!$G$4:$G$503,_calc!$E$252)))=0,"","Checked by: "&amp;IF(LEN(INDEX('Checks'!$G$4:$G$503,_calc!$E$252))=0,"",INDEX('Checks'!$G$4:$G$503,_calc!$E$252))&amp;". ")&amp;IF(LEN(IF(LEN(INDEX('Checks'!$Q$4:$Q$503,_calc!$E$252))=0,"",INDEX('Checks'!$Q$4:$Q$503,_calc!$E$252)))=0,"",IF(LEN(INDEX('Checks'!$Q$4:$Q$503,_calc!$E$252))=0,"",INDEX('Checks'!$Q$4:$Q$503,_calc!$E$252)))))</f>
        <v/>
      </c>
      <c r="G250" s="43">
        <f>IF(_calc!$E$252="","",IF(LEN(INDEX('Checks'!$P$4:$P$503,_calc!$E$252))=0,"",INDEX('Checks'!$P$4:$P$503,_calc!$E$252)))</f>
        <v/>
      </c>
      <c r="K250" s="43">
        <f>IF(_calc!$E$252="","",IF(LEN(INDEX('Checks'!$O$4:$O$503,_calc!$E$252))=0,"",INDEX('Checks'!$O$4:$O$503,_calc!$E$252)))</f>
        <v/>
      </c>
    </row>
    <row r="251">
      <c r="A251" s="43">
        <f>IF(_calc!$E$253="","","Right to work follow-up – "&amp;IF(LEN(INDEX('Checks'!$A$4:$A$503,_calc!$E$253))=0,"",INDEX('Checks'!$A$4:$A$503,_calc!$E$253)))</f>
        <v/>
      </c>
      <c r="B251" s="43">
        <f>IF(_calc!$E$253="","",IF(ISNUMBER(INDEX('Checks'!$H$4:$H$503,_calc!$E$253)),TEXT(INDEX('Checks'!$H$4:$H$503,_calc!$E$253),"yyyy-mm-dd"),""))</f>
        <v/>
      </c>
      <c r="C251" s="43">
        <f>IF(_calc!$E$253="","","Right to work")</f>
        <v/>
      </c>
      <c r="D251" s="43">
        <f>IF(_calc!$E$253="","",IF(ISNUMBER(INDEX('Checks'!$F$4:$F$503,_calc!$E$253)),TEXT(INDEX('Checks'!$F$4:$F$503,_calc!$E$253),"yyyy-mm-dd"),""))</f>
        <v/>
      </c>
      <c r="E251" s="43">
        <f>IF(_calc!$E$253="","","High")</f>
        <v/>
      </c>
      <c r="F251" s="43">
        <f>IF(_calc!$E$253="","",TRIM(IF(LEN(IF(LEN(INDEX('Checks'!$B$4:$B$503,_calc!$E$253))=0,"",INDEX('Checks'!$B$4:$B$503,_calc!$E$253)))=0,"","Role: "&amp;IF(LEN(INDEX('Checks'!$B$4:$B$503,_calc!$E$253))=0,"",INDEX('Checks'!$B$4:$B$503,_calc!$E$253))&amp;". ")&amp;IF(LEN(IF(LEN(INDEX('Checks'!$D$4:$D$503,_calc!$E$253))=0,"",INDEX('Checks'!$D$4:$D$503,_calc!$E$253)))=0,"","Check type: "&amp;IF(LEN(INDEX('Checks'!$D$4:$D$503,_calc!$E$253))=0,"",INDEX('Checks'!$D$4:$D$503,_calc!$E$253))&amp;". ")&amp;IF(LEN(IF(LEN(INDEX('Checks'!$E$4:$E$503,_calc!$E$253))=0,"",INDEX('Checks'!$E$4:$E$503,_calc!$E$253)))=0,"","Evidence: "&amp;IF(LEN(INDEX('Checks'!$E$4:$E$503,_calc!$E$253))=0,"",INDEX('Checks'!$E$4:$E$503,_calc!$E$253))&amp;". ")&amp;IF(LEN(IF(LEN(INDEX('Checks'!$G$4:$G$503,_calc!$E$253))=0,"",INDEX('Checks'!$G$4:$G$503,_calc!$E$253)))=0,"","Checked by: "&amp;IF(LEN(INDEX('Checks'!$G$4:$G$503,_calc!$E$253))=0,"",INDEX('Checks'!$G$4:$G$503,_calc!$E$253))&amp;". ")&amp;IF(LEN(IF(LEN(INDEX('Checks'!$Q$4:$Q$503,_calc!$E$253))=0,"",INDEX('Checks'!$Q$4:$Q$503,_calc!$E$253)))=0,"",IF(LEN(INDEX('Checks'!$Q$4:$Q$503,_calc!$E$253))=0,"",INDEX('Checks'!$Q$4:$Q$503,_calc!$E$253)))))</f>
        <v/>
      </c>
      <c r="G251" s="43">
        <f>IF(_calc!$E$253="","",IF(LEN(INDEX('Checks'!$P$4:$P$503,_calc!$E$253))=0,"",INDEX('Checks'!$P$4:$P$503,_calc!$E$253)))</f>
        <v/>
      </c>
      <c r="K251" s="43">
        <f>IF(_calc!$E$253="","",IF(LEN(INDEX('Checks'!$O$4:$O$503,_calc!$E$253))=0,"",INDEX('Checks'!$O$4:$O$503,_calc!$E$253)))</f>
        <v/>
      </c>
    </row>
    <row r="252">
      <c r="A252" s="43">
        <f>IF(_calc!$E$254="","","Right to work follow-up – "&amp;IF(LEN(INDEX('Checks'!$A$4:$A$503,_calc!$E$254))=0,"",INDEX('Checks'!$A$4:$A$503,_calc!$E$254)))</f>
        <v/>
      </c>
      <c r="B252" s="43">
        <f>IF(_calc!$E$254="","",IF(ISNUMBER(INDEX('Checks'!$H$4:$H$503,_calc!$E$254)),TEXT(INDEX('Checks'!$H$4:$H$503,_calc!$E$254),"yyyy-mm-dd"),""))</f>
        <v/>
      </c>
      <c r="C252" s="43">
        <f>IF(_calc!$E$254="","","Right to work")</f>
        <v/>
      </c>
      <c r="D252" s="43">
        <f>IF(_calc!$E$254="","",IF(ISNUMBER(INDEX('Checks'!$F$4:$F$503,_calc!$E$254)),TEXT(INDEX('Checks'!$F$4:$F$503,_calc!$E$254),"yyyy-mm-dd"),""))</f>
        <v/>
      </c>
      <c r="E252" s="43">
        <f>IF(_calc!$E$254="","","High")</f>
        <v/>
      </c>
      <c r="F252" s="43">
        <f>IF(_calc!$E$254="","",TRIM(IF(LEN(IF(LEN(INDEX('Checks'!$B$4:$B$503,_calc!$E$254))=0,"",INDEX('Checks'!$B$4:$B$503,_calc!$E$254)))=0,"","Role: "&amp;IF(LEN(INDEX('Checks'!$B$4:$B$503,_calc!$E$254))=0,"",INDEX('Checks'!$B$4:$B$503,_calc!$E$254))&amp;". ")&amp;IF(LEN(IF(LEN(INDEX('Checks'!$D$4:$D$503,_calc!$E$254))=0,"",INDEX('Checks'!$D$4:$D$503,_calc!$E$254)))=0,"","Check type: "&amp;IF(LEN(INDEX('Checks'!$D$4:$D$503,_calc!$E$254))=0,"",INDEX('Checks'!$D$4:$D$503,_calc!$E$254))&amp;". ")&amp;IF(LEN(IF(LEN(INDEX('Checks'!$E$4:$E$503,_calc!$E$254))=0,"",INDEX('Checks'!$E$4:$E$503,_calc!$E$254)))=0,"","Evidence: "&amp;IF(LEN(INDEX('Checks'!$E$4:$E$503,_calc!$E$254))=0,"",INDEX('Checks'!$E$4:$E$503,_calc!$E$254))&amp;". ")&amp;IF(LEN(IF(LEN(INDEX('Checks'!$G$4:$G$503,_calc!$E$254))=0,"",INDEX('Checks'!$G$4:$G$503,_calc!$E$254)))=0,"","Checked by: "&amp;IF(LEN(INDEX('Checks'!$G$4:$G$503,_calc!$E$254))=0,"",INDEX('Checks'!$G$4:$G$503,_calc!$E$254))&amp;". ")&amp;IF(LEN(IF(LEN(INDEX('Checks'!$Q$4:$Q$503,_calc!$E$254))=0,"",INDEX('Checks'!$Q$4:$Q$503,_calc!$E$254)))=0,"",IF(LEN(INDEX('Checks'!$Q$4:$Q$503,_calc!$E$254))=0,"",INDEX('Checks'!$Q$4:$Q$503,_calc!$E$254)))))</f>
        <v/>
      </c>
      <c r="G252" s="43">
        <f>IF(_calc!$E$254="","",IF(LEN(INDEX('Checks'!$P$4:$P$503,_calc!$E$254))=0,"",INDEX('Checks'!$P$4:$P$503,_calc!$E$254)))</f>
        <v/>
      </c>
      <c r="K252" s="43">
        <f>IF(_calc!$E$254="","",IF(LEN(INDEX('Checks'!$O$4:$O$503,_calc!$E$254))=0,"",INDEX('Checks'!$O$4:$O$503,_calc!$E$254)))</f>
        <v/>
      </c>
    </row>
    <row r="253">
      <c r="A253" s="43">
        <f>IF(_calc!$E$255="","","Right to work follow-up – "&amp;IF(LEN(INDEX('Checks'!$A$4:$A$503,_calc!$E$255))=0,"",INDEX('Checks'!$A$4:$A$503,_calc!$E$255)))</f>
        <v/>
      </c>
      <c r="B253" s="43">
        <f>IF(_calc!$E$255="","",IF(ISNUMBER(INDEX('Checks'!$H$4:$H$503,_calc!$E$255)),TEXT(INDEX('Checks'!$H$4:$H$503,_calc!$E$255),"yyyy-mm-dd"),""))</f>
        <v/>
      </c>
      <c r="C253" s="43">
        <f>IF(_calc!$E$255="","","Right to work")</f>
        <v/>
      </c>
      <c r="D253" s="43">
        <f>IF(_calc!$E$255="","",IF(ISNUMBER(INDEX('Checks'!$F$4:$F$503,_calc!$E$255)),TEXT(INDEX('Checks'!$F$4:$F$503,_calc!$E$255),"yyyy-mm-dd"),""))</f>
        <v/>
      </c>
      <c r="E253" s="43">
        <f>IF(_calc!$E$255="","","High")</f>
        <v/>
      </c>
      <c r="F253" s="43">
        <f>IF(_calc!$E$255="","",TRIM(IF(LEN(IF(LEN(INDEX('Checks'!$B$4:$B$503,_calc!$E$255))=0,"",INDEX('Checks'!$B$4:$B$503,_calc!$E$255)))=0,"","Role: "&amp;IF(LEN(INDEX('Checks'!$B$4:$B$503,_calc!$E$255))=0,"",INDEX('Checks'!$B$4:$B$503,_calc!$E$255))&amp;". ")&amp;IF(LEN(IF(LEN(INDEX('Checks'!$D$4:$D$503,_calc!$E$255))=0,"",INDEX('Checks'!$D$4:$D$503,_calc!$E$255)))=0,"","Check type: "&amp;IF(LEN(INDEX('Checks'!$D$4:$D$503,_calc!$E$255))=0,"",INDEX('Checks'!$D$4:$D$503,_calc!$E$255))&amp;". ")&amp;IF(LEN(IF(LEN(INDEX('Checks'!$E$4:$E$503,_calc!$E$255))=0,"",INDEX('Checks'!$E$4:$E$503,_calc!$E$255)))=0,"","Evidence: "&amp;IF(LEN(INDEX('Checks'!$E$4:$E$503,_calc!$E$255))=0,"",INDEX('Checks'!$E$4:$E$503,_calc!$E$255))&amp;". ")&amp;IF(LEN(IF(LEN(INDEX('Checks'!$G$4:$G$503,_calc!$E$255))=0,"",INDEX('Checks'!$G$4:$G$503,_calc!$E$255)))=0,"","Checked by: "&amp;IF(LEN(INDEX('Checks'!$G$4:$G$503,_calc!$E$255))=0,"",INDEX('Checks'!$G$4:$G$503,_calc!$E$255))&amp;". ")&amp;IF(LEN(IF(LEN(INDEX('Checks'!$Q$4:$Q$503,_calc!$E$255))=0,"",INDEX('Checks'!$Q$4:$Q$503,_calc!$E$255)))=0,"",IF(LEN(INDEX('Checks'!$Q$4:$Q$503,_calc!$E$255))=0,"",INDEX('Checks'!$Q$4:$Q$503,_calc!$E$255)))))</f>
        <v/>
      </c>
      <c r="G253" s="43">
        <f>IF(_calc!$E$255="","",IF(LEN(INDEX('Checks'!$P$4:$P$503,_calc!$E$255))=0,"",INDEX('Checks'!$P$4:$P$503,_calc!$E$255)))</f>
        <v/>
      </c>
      <c r="K253" s="43">
        <f>IF(_calc!$E$255="","",IF(LEN(INDEX('Checks'!$O$4:$O$503,_calc!$E$255))=0,"",INDEX('Checks'!$O$4:$O$503,_calc!$E$255)))</f>
        <v/>
      </c>
    </row>
    <row r="254">
      <c r="A254" s="43">
        <f>IF(_calc!$E$256="","","Right to work follow-up – "&amp;IF(LEN(INDEX('Checks'!$A$4:$A$503,_calc!$E$256))=0,"",INDEX('Checks'!$A$4:$A$503,_calc!$E$256)))</f>
        <v/>
      </c>
      <c r="B254" s="43">
        <f>IF(_calc!$E$256="","",IF(ISNUMBER(INDEX('Checks'!$H$4:$H$503,_calc!$E$256)),TEXT(INDEX('Checks'!$H$4:$H$503,_calc!$E$256),"yyyy-mm-dd"),""))</f>
        <v/>
      </c>
      <c r="C254" s="43">
        <f>IF(_calc!$E$256="","","Right to work")</f>
        <v/>
      </c>
      <c r="D254" s="43">
        <f>IF(_calc!$E$256="","",IF(ISNUMBER(INDEX('Checks'!$F$4:$F$503,_calc!$E$256)),TEXT(INDEX('Checks'!$F$4:$F$503,_calc!$E$256),"yyyy-mm-dd"),""))</f>
        <v/>
      </c>
      <c r="E254" s="43">
        <f>IF(_calc!$E$256="","","High")</f>
        <v/>
      </c>
      <c r="F254" s="43">
        <f>IF(_calc!$E$256="","",TRIM(IF(LEN(IF(LEN(INDEX('Checks'!$B$4:$B$503,_calc!$E$256))=0,"",INDEX('Checks'!$B$4:$B$503,_calc!$E$256)))=0,"","Role: "&amp;IF(LEN(INDEX('Checks'!$B$4:$B$503,_calc!$E$256))=0,"",INDEX('Checks'!$B$4:$B$503,_calc!$E$256))&amp;". ")&amp;IF(LEN(IF(LEN(INDEX('Checks'!$D$4:$D$503,_calc!$E$256))=0,"",INDEX('Checks'!$D$4:$D$503,_calc!$E$256)))=0,"","Check type: "&amp;IF(LEN(INDEX('Checks'!$D$4:$D$503,_calc!$E$256))=0,"",INDEX('Checks'!$D$4:$D$503,_calc!$E$256))&amp;". ")&amp;IF(LEN(IF(LEN(INDEX('Checks'!$E$4:$E$503,_calc!$E$256))=0,"",INDEX('Checks'!$E$4:$E$503,_calc!$E$256)))=0,"","Evidence: "&amp;IF(LEN(INDEX('Checks'!$E$4:$E$503,_calc!$E$256))=0,"",INDEX('Checks'!$E$4:$E$503,_calc!$E$256))&amp;". ")&amp;IF(LEN(IF(LEN(INDEX('Checks'!$G$4:$G$503,_calc!$E$256))=0,"",INDEX('Checks'!$G$4:$G$503,_calc!$E$256)))=0,"","Checked by: "&amp;IF(LEN(INDEX('Checks'!$G$4:$G$503,_calc!$E$256))=0,"",INDEX('Checks'!$G$4:$G$503,_calc!$E$256))&amp;". ")&amp;IF(LEN(IF(LEN(INDEX('Checks'!$Q$4:$Q$503,_calc!$E$256))=0,"",INDEX('Checks'!$Q$4:$Q$503,_calc!$E$256)))=0,"",IF(LEN(INDEX('Checks'!$Q$4:$Q$503,_calc!$E$256))=0,"",INDEX('Checks'!$Q$4:$Q$503,_calc!$E$256)))))</f>
        <v/>
      </c>
      <c r="G254" s="43">
        <f>IF(_calc!$E$256="","",IF(LEN(INDEX('Checks'!$P$4:$P$503,_calc!$E$256))=0,"",INDEX('Checks'!$P$4:$P$503,_calc!$E$256)))</f>
        <v/>
      </c>
      <c r="K254" s="43">
        <f>IF(_calc!$E$256="","",IF(LEN(INDEX('Checks'!$O$4:$O$503,_calc!$E$256))=0,"",INDEX('Checks'!$O$4:$O$503,_calc!$E$256)))</f>
        <v/>
      </c>
    </row>
    <row r="255">
      <c r="A255" s="43">
        <f>IF(_calc!$E$257="","","Right to work follow-up – "&amp;IF(LEN(INDEX('Checks'!$A$4:$A$503,_calc!$E$257))=0,"",INDEX('Checks'!$A$4:$A$503,_calc!$E$257)))</f>
        <v/>
      </c>
      <c r="B255" s="43">
        <f>IF(_calc!$E$257="","",IF(ISNUMBER(INDEX('Checks'!$H$4:$H$503,_calc!$E$257)),TEXT(INDEX('Checks'!$H$4:$H$503,_calc!$E$257),"yyyy-mm-dd"),""))</f>
        <v/>
      </c>
      <c r="C255" s="43">
        <f>IF(_calc!$E$257="","","Right to work")</f>
        <v/>
      </c>
      <c r="D255" s="43">
        <f>IF(_calc!$E$257="","",IF(ISNUMBER(INDEX('Checks'!$F$4:$F$503,_calc!$E$257)),TEXT(INDEX('Checks'!$F$4:$F$503,_calc!$E$257),"yyyy-mm-dd"),""))</f>
        <v/>
      </c>
      <c r="E255" s="43">
        <f>IF(_calc!$E$257="","","High")</f>
        <v/>
      </c>
      <c r="F255" s="43">
        <f>IF(_calc!$E$257="","",TRIM(IF(LEN(IF(LEN(INDEX('Checks'!$B$4:$B$503,_calc!$E$257))=0,"",INDEX('Checks'!$B$4:$B$503,_calc!$E$257)))=0,"","Role: "&amp;IF(LEN(INDEX('Checks'!$B$4:$B$503,_calc!$E$257))=0,"",INDEX('Checks'!$B$4:$B$503,_calc!$E$257))&amp;". ")&amp;IF(LEN(IF(LEN(INDEX('Checks'!$D$4:$D$503,_calc!$E$257))=0,"",INDEX('Checks'!$D$4:$D$503,_calc!$E$257)))=0,"","Check type: "&amp;IF(LEN(INDEX('Checks'!$D$4:$D$503,_calc!$E$257))=0,"",INDEX('Checks'!$D$4:$D$503,_calc!$E$257))&amp;". ")&amp;IF(LEN(IF(LEN(INDEX('Checks'!$E$4:$E$503,_calc!$E$257))=0,"",INDEX('Checks'!$E$4:$E$503,_calc!$E$257)))=0,"","Evidence: "&amp;IF(LEN(INDEX('Checks'!$E$4:$E$503,_calc!$E$257))=0,"",INDEX('Checks'!$E$4:$E$503,_calc!$E$257))&amp;". ")&amp;IF(LEN(IF(LEN(INDEX('Checks'!$G$4:$G$503,_calc!$E$257))=0,"",INDEX('Checks'!$G$4:$G$503,_calc!$E$257)))=0,"","Checked by: "&amp;IF(LEN(INDEX('Checks'!$G$4:$G$503,_calc!$E$257))=0,"",INDEX('Checks'!$G$4:$G$503,_calc!$E$257))&amp;". ")&amp;IF(LEN(IF(LEN(INDEX('Checks'!$Q$4:$Q$503,_calc!$E$257))=0,"",INDEX('Checks'!$Q$4:$Q$503,_calc!$E$257)))=0,"",IF(LEN(INDEX('Checks'!$Q$4:$Q$503,_calc!$E$257))=0,"",INDEX('Checks'!$Q$4:$Q$503,_calc!$E$257)))))</f>
        <v/>
      </c>
      <c r="G255" s="43">
        <f>IF(_calc!$E$257="","",IF(LEN(INDEX('Checks'!$P$4:$P$503,_calc!$E$257))=0,"",INDEX('Checks'!$P$4:$P$503,_calc!$E$257)))</f>
        <v/>
      </c>
      <c r="K255" s="43">
        <f>IF(_calc!$E$257="","",IF(LEN(INDEX('Checks'!$O$4:$O$503,_calc!$E$257))=0,"",INDEX('Checks'!$O$4:$O$503,_calc!$E$257)))</f>
        <v/>
      </c>
    </row>
    <row r="256">
      <c r="A256" s="43">
        <f>IF(_calc!$E$258="","","Right to work follow-up – "&amp;IF(LEN(INDEX('Checks'!$A$4:$A$503,_calc!$E$258))=0,"",INDEX('Checks'!$A$4:$A$503,_calc!$E$258)))</f>
        <v/>
      </c>
      <c r="B256" s="43">
        <f>IF(_calc!$E$258="","",IF(ISNUMBER(INDEX('Checks'!$H$4:$H$503,_calc!$E$258)),TEXT(INDEX('Checks'!$H$4:$H$503,_calc!$E$258),"yyyy-mm-dd"),""))</f>
        <v/>
      </c>
      <c r="C256" s="43">
        <f>IF(_calc!$E$258="","","Right to work")</f>
        <v/>
      </c>
      <c r="D256" s="43">
        <f>IF(_calc!$E$258="","",IF(ISNUMBER(INDEX('Checks'!$F$4:$F$503,_calc!$E$258)),TEXT(INDEX('Checks'!$F$4:$F$503,_calc!$E$258),"yyyy-mm-dd"),""))</f>
        <v/>
      </c>
      <c r="E256" s="43">
        <f>IF(_calc!$E$258="","","High")</f>
        <v/>
      </c>
      <c r="F256" s="43">
        <f>IF(_calc!$E$258="","",TRIM(IF(LEN(IF(LEN(INDEX('Checks'!$B$4:$B$503,_calc!$E$258))=0,"",INDEX('Checks'!$B$4:$B$503,_calc!$E$258)))=0,"","Role: "&amp;IF(LEN(INDEX('Checks'!$B$4:$B$503,_calc!$E$258))=0,"",INDEX('Checks'!$B$4:$B$503,_calc!$E$258))&amp;". ")&amp;IF(LEN(IF(LEN(INDEX('Checks'!$D$4:$D$503,_calc!$E$258))=0,"",INDEX('Checks'!$D$4:$D$503,_calc!$E$258)))=0,"","Check type: "&amp;IF(LEN(INDEX('Checks'!$D$4:$D$503,_calc!$E$258))=0,"",INDEX('Checks'!$D$4:$D$503,_calc!$E$258))&amp;". ")&amp;IF(LEN(IF(LEN(INDEX('Checks'!$E$4:$E$503,_calc!$E$258))=0,"",INDEX('Checks'!$E$4:$E$503,_calc!$E$258)))=0,"","Evidence: "&amp;IF(LEN(INDEX('Checks'!$E$4:$E$503,_calc!$E$258))=0,"",INDEX('Checks'!$E$4:$E$503,_calc!$E$258))&amp;". ")&amp;IF(LEN(IF(LEN(INDEX('Checks'!$G$4:$G$503,_calc!$E$258))=0,"",INDEX('Checks'!$G$4:$G$503,_calc!$E$258)))=0,"","Checked by: "&amp;IF(LEN(INDEX('Checks'!$G$4:$G$503,_calc!$E$258))=0,"",INDEX('Checks'!$G$4:$G$503,_calc!$E$258))&amp;". ")&amp;IF(LEN(IF(LEN(INDEX('Checks'!$Q$4:$Q$503,_calc!$E$258))=0,"",INDEX('Checks'!$Q$4:$Q$503,_calc!$E$258)))=0,"",IF(LEN(INDEX('Checks'!$Q$4:$Q$503,_calc!$E$258))=0,"",INDEX('Checks'!$Q$4:$Q$503,_calc!$E$258)))))</f>
        <v/>
      </c>
      <c r="G256" s="43">
        <f>IF(_calc!$E$258="","",IF(LEN(INDEX('Checks'!$P$4:$P$503,_calc!$E$258))=0,"",INDEX('Checks'!$P$4:$P$503,_calc!$E$258)))</f>
        <v/>
      </c>
      <c r="K256" s="43">
        <f>IF(_calc!$E$258="","",IF(LEN(INDEX('Checks'!$O$4:$O$503,_calc!$E$258))=0,"",INDEX('Checks'!$O$4:$O$503,_calc!$E$258)))</f>
        <v/>
      </c>
    </row>
    <row r="257">
      <c r="A257" s="43">
        <f>IF(_calc!$E$259="","","Right to work follow-up – "&amp;IF(LEN(INDEX('Checks'!$A$4:$A$503,_calc!$E$259))=0,"",INDEX('Checks'!$A$4:$A$503,_calc!$E$259)))</f>
        <v/>
      </c>
      <c r="B257" s="43">
        <f>IF(_calc!$E$259="","",IF(ISNUMBER(INDEX('Checks'!$H$4:$H$503,_calc!$E$259)),TEXT(INDEX('Checks'!$H$4:$H$503,_calc!$E$259),"yyyy-mm-dd"),""))</f>
        <v/>
      </c>
      <c r="C257" s="43">
        <f>IF(_calc!$E$259="","","Right to work")</f>
        <v/>
      </c>
      <c r="D257" s="43">
        <f>IF(_calc!$E$259="","",IF(ISNUMBER(INDEX('Checks'!$F$4:$F$503,_calc!$E$259)),TEXT(INDEX('Checks'!$F$4:$F$503,_calc!$E$259),"yyyy-mm-dd"),""))</f>
        <v/>
      </c>
      <c r="E257" s="43">
        <f>IF(_calc!$E$259="","","High")</f>
        <v/>
      </c>
      <c r="F257" s="43">
        <f>IF(_calc!$E$259="","",TRIM(IF(LEN(IF(LEN(INDEX('Checks'!$B$4:$B$503,_calc!$E$259))=0,"",INDEX('Checks'!$B$4:$B$503,_calc!$E$259)))=0,"","Role: "&amp;IF(LEN(INDEX('Checks'!$B$4:$B$503,_calc!$E$259))=0,"",INDEX('Checks'!$B$4:$B$503,_calc!$E$259))&amp;". ")&amp;IF(LEN(IF(LEN(INDEX('Checks'!$D$4:$D$503,_calc!$E$259))=0,"",INDEX('Checks'!$D$4:$D$503,_calc!$E$259)))=0,"","Check type: "&amp;IF(LEN(INDEX('Checks'!$D$4:$D$503,_calc!$E$259))=0,"",INDEX('Checks'!$D$4:$D$503,_calc!$E$259))&amp;". ")&amp;IF(LEN(IF(LEN(INDEX('Checks'!$E$4:$E$503,_calc!$E$259))=0,"",INDEX('Checks'!$E$4:$E$503,_calc!$E$259)))=0,"","Evidence: "&amp;IF(LEN(INDEX('Checks'!$E$4:$E$503,_calc!$E$259))=0,"",INDEX('Checks'!$E$4:$E$503,_calc!$E$259))&amp;". ")&amp;IF(LEN(IF(LEN(INDEX('Checks'!$G$4:$G$503,_calc!$E$259))=0,"",INDEX('Checks'!$G$4:$G$503,_calc!$E$259)))=0,"","Checked by: "&amp;IF(LEN(INDEX('Checks'!$G$4:$G$503,_calc!$E$259))=0,"",INDEX('Checks'!$G$4:$G$503,_calc!$E$259))&amp;". ")&amp;IF(LEN(IF(LEN(INDEX('Checks'!$Q$4:$Q$503,_calc!$E$259))=0,"",INDEX('Checks'!$Q$4:$Q$503,_calc!$E$259)))=0,"",IF(LEN(INDEX('Checks'!$Q$4:$Q$503,_calc!$E$259))=0,"",INDEX('Checks'!$Q$4:$Q$503,_calc!$E$259)))))</f>
        <v/>
      </c>
      <c r="G257" s="43">
        <f>IF(_calc!$E$259="","",IF(LEN(INDEX('Checks'!$P$4:$P$503,_calc!$E$259))=0,"",INDEX('Checks'!$P$4:$P$503,_calc!$E$259)))</f>
        <v/>
      </c>
      <c r="K257" s="43">
        <f>IF(_calc!$E$259="","",IF(LEN(INDEX('Checks'!$O$4:$O$503,_calc!$E$259))=0,"",INDEX('Checks'!$O$4:$O$503,_calc!$E$259)))</f>
        <v/>
      </c>
    </row>
    <row r="258">
      <c r="A258" s="43">
        <f>IF(_calc!$E$260="","","Right to work follow-up – "&amp;IF(LEN(INDEX('Checks'!$A$4:$A$503,_calc!$E$260))=0,"",INDEX('Checks'!$A$4:$A$503,_calc!$E$260)))</f>
        <v/>
      </c>
      <c r="B258" s="43">
        <f>IF(_calc!$E$260="","",IF(ISNUMBER(INDEX('Checks'!$H$4:$H$503,_calc!$E$260)),TEXT(INDEX('Checks'!$H$4:$H$503,_calc!$E$260),"yyyy-mm-dd"),""))</f>
        <v/>
      </c>
      <c r="C258" s="43">
        <f>IF(_calc!$E$260="","","Right to work")</f>
        <v/>
      </c>
      <c r="D258" s="43">
        <f>IF(_calc!$E$260="","",IF(ISNUMBER(INDEX('Checks'!$F$4:$F$503,_calc!$E$260)),TEXT(INDEX('Checks'!$F$4:$F$503,_calc!$E$260),"yyyy-mm-dd"),""))</f>
        <v/>
      </c>
      <c r="E258" s="43">
        <f>IF(_calc!$E$260="","","High")</f>
        <v/>
      </c>
      <c r="F258" s="43">
        <f>IF(_calc!$E$260="","",TRIM(IF(LEN(IF(LEN(INDEX('Checks'!$B$4:$B$503,_calc!$E$260))=0,"",INDEX('Checks'!$B$4:$B$503,_calc!$E$260)))=0,"","Role: "&amp;IF(LEN(INDEX('Checks'!$B$4:$B$503,_calc!$E$260))=0,"",INDEX('Checks'!$B$4:$B$503,_calc!$E$260))&amp;". ")&amp;IF(LEN(IF(LEN(INDEX('Checks'!$D$4:$D$503,_calc!$E$260))=0,"",INDEX('Checks'!$D$4:$D$503,_calc!$E$260)))=0,"","Check type: "&amp;IF(LEN(INDEX('Checks'!$D$4:$D$503,_calc!$E$260))=0,"",INDEX('Checks'!$D$4:$D$503,_calc!$E$260))&amp;". ")&amp;IF(LEN(IF(LEN(INDEX('Checks'!$E$4:$E$503,_calc!$E$260))=0,"",INDEX('Checks'!$E$4:$E$503,_calc!$E$260)))=0,"","Evidence: "&amp;IF(LEN(INDEX('Checks'!$E$4:$E$503,_calc!$E$260))=0,"",INDEX('Checks'!$E$4:$E$503,_calc!$E$260))&amp;". ")&amp;IF(LEN(IF(LEN(INDEX('Checks'!$G$4:$G$503,_calc!$E$260))=0,"",INDEX('Checks'!$G$4:$G$503,_calc!$E$260)))=0,"","Checked by: "&amp;IF(LEN(INDEX('Checks'!$G$4:$G$503,_calc!$E$260))=0,"",INDEX('Checks'!$G$4:$G$503,_calc!$E$260))&amp;". ")&amp;IF(LEN(IF(LEN(INDEX('Checks'!$Q$4:$Q$503,_calc!$E$260))=0,"",INDEX('Checks'!$Q$4:$Q$503,_calc!$E$260)))=0,"",IF(LEN(INDEX('Checks'!$Q$4:$Q$503,_calc!$E$260))=0,"",INDEX('Checks'!$Q$4:$Q$503,_calc!$E$260)))))</f>
        <v/>
      </c>
      <c r="G258" s="43">
        <f>IF(_calc!$E$260="","",IF(LEN(INDEX('Checks'!$P$4:$P$503,_calc!$E$260))=0,"",INDEX('Checks'!$P$4:$P$503,_calc!$E$260)))</f>
        <v/>
      </c>
      <c r="K258" s="43">
        <f>IF(_calc!$E$260="","",IF(LEN(INDEX('Checks'!$O$4:$O$503,_calc!$E$260))=0,"",INDEX('Checks'!$O$4:$O$503,_calc!$E$260)))</f>
        <v/>
      </c>
    </row>
    <row r="259">
      <c r="A259" s="43">
        <f>IF(_calc!$E$261="","","Right to work follow-up – "&amp;IF(LEN(INDEX('Checks'!$A$4:$A$503,_calc!$E$261))=0,"",INDEX('Checks'!$A$4:$A$503,_calc!$E$261)))</f>
        <v/>
      </c>
      <c r="B259" s="43">
        <f>IF(_calc!$E$261="","",IF(ISNUMBER(INDEX('Checks'!$H$4:$H$503,_calc!$E$261)),TEXT(INDEX('Checks'!$H$4:$H$503,_calc!$E$261),"yyyy-mm-dd"),""))</f>
        <v/>
      </c>
      <c r="C259" s="43">
        <f>IF(_calc!$E$261="","","Right to work")</f>
        <v/>
      </c>
      <c r="D259" s="43">
        <f>IF(_calc!$E$261="","",IF(ISNUMBER(INDEX('Checks'!$F$4:$F$503,_calc!$E$261)),TEXT(INDEX('Checks'!$F$4:$F$503,_calc!$E$261),"yyyy-mm-dd"),""))</f>
        <v/>
      </c>
      <c r="E259" s="43">
        <f>IF(_calc!$E$261="","","High")</f>
        <v/>
      </c>
      <c r="F259" s="43">
        <f>IF(_calc!$E$261="","",TRIM(IF(LEN(IF(LEN(INDEX('Checks'!$B$4:$B$503,_calc!$E$261))=0,"",INDEX('Checks'!$B$4:$B$503,_calc!$E$261)))=0,"","Role: "&amp;IF(LEN(INDEX('Checks'!$B$4:$B$503,_calc!$E$261))=0,"",INDEX('Checks'!$B$4:$B$503,_calc!$E$261))&amp;". ")&amp;IF(LEN(IF(LEN(INDEX('Checks'!$D$4:$D$503,_calc!$E$261))=0,"",INDEX('Checks'!$D$4:$D$503,_calc!$E$261)))=0,"","Check type: "&amp;IF(LEN(INDEX('Checks'!$D$4:$D$503,_calc!$E$261))=0,"",INDEX('Checks'!$D$4:$D$503,_calc!$E$261))&amp;". ")&amp;IF(LEN(IF(LEN(INDEX('Checks'!$E$4:$E$503,_calc!$E$261))=0,"",INDEX('Checks'!$E$4:$E$503,_calc!$E$261)))=0,"","Evidence: "&amp;IF(LEN(INDEX('Checks'!$E$4:$E$503,_calc!$E$261))=0,"",INDEX('Checks'!$E$4:$E$503,_calc!$E$261))&amp;". ")&amp;IF(LEN(IF(LEN(INDEX('Checks'!$G$4:$G$503,_calc!$E$261))=0,"",INDEX('Checks'!$G$4:$G$503,_calc!$E$261)))=0,"","Checked by: "&amp;IF(LEN(INDEX('Checks'!$G$4:$G$503,_calc!$E$261))=0,"",INDEX('Checks'!$G$4:$G$503,_calc!$E$261))&amp;". ")&amp;IF(LEN(IF(LEN(INDEX('Checks'!$Q$4:$Q$503,_calc!$E$261))=0,"",INDEX('Checks'!$Q$4:$Q$503,_calc!$E$261)))=0,"",IF(LEN(INDEX('Checks'!$Q$4:$Q$503,_calc!$E$261))=0,"",INDEX('Checks'!$Q$4:$Q$503,_calc!$E$261)))))</f>
        <v/>
      </c>
      <c r="G259" s="43">
        <f>IF(_calc!$E$261="","",IF(LEN(INDEX('Checks'!$P$4:$P$503,_calc!$E$261))=0,"",INDEX('Checks'!$P$4:$P$503,_calc!$E$261)))</f>
        <v/>
      </c>
      <c r="K259" s="43">
        <f>IF(_calc!$E$261="","",IF(LEN(INDEX('Checks'!$O$4:$O$503,_calc!$E$261))=0,"",INDEX('Checks'!$O$4:$O$503,_calc!$E$261)))</f>
        <v/>
      </c>
    </row>
    <row r="260">
      <c r="A260" s="43">
        <f>IF(_calc!$E$262="","","Right to work follow-up – "&amp;IF(LEN(INDEX('Checks'!$A$4:$A$503,_calc!$E$262))=0,"",INDEX('Checks'!$A$4:$A$503,_calc!$E$262)))</f>
        <v/>
      </c>
      <c r="B260" s="43">
        <f>IF(_calc!$E$262="","",IF(ISNUMBER(INDEX('Checks'!$H$4:$H$503,_calc!$E$262)),TEXT(INDEX('Checks'!$H$4:$H$503,_calc!$E$262),"yyyy-mm-dd"),""))</f>
        <v/>
      </c>
      <c r="C260" s="43">
        <f>IF(_calc!$E$262="","","Right to work")</f>
        <v/>
      </c>
      <c r="D260" s="43">
        <f>IF(_calc!$E$262="","",IF(ISNUMBER(INDEX('Checks'!$F$4:$F$503,_calc!$E$262)),TEXT(INDEX('Checks'!$F$4:$F$503,_calc!$E$262),"yyyy-mm-dd"),""))</f>
        <v/>
      </c>
      <c r="E260" s="43">
        <f>IF(_calc!$E$262="","","High")</f>
        <v/>
      </c>
      <c r="F260" s="43">
        <f>IF(_calc!$E$262="","",TRIM(IF(LEN(IF(LEN(INDEX('Checks'!$B$4:$B$503,_calc!$E$262))=0,"",INDEX('Checks'!$B$4:$B$503,_calc!$E$262)))=0,"","Role: "&amp;IF(LEN(INDEX('Checks'!$B$4:$B$503,_calc!$E$262))=0,"",INDEX('Checks'!$B$4:$B$503,_calc!$E$262))&amp;". ")&amp;IF(LEN(IF(LEN(INDEX('Checks'!$D$4:$D$503,_calc!$E$262))=0,"",INDEX('Checks'!$D$4:$D$503,_calc!$E$262)))=0,"","Check type: "&amp;IF(LEN(INDEX('Checks'!$D$4:$D$503,_calc!$E$262))=0,"",INDEX('Checks'!$D$4:$D$503,_calc!$E$262))&amp;". ")&amp;IF(LEN(IF(LEN(INDEX('Checks'!$E$4:$E$503,_calc!$E$262))=0,"",INDEX('Checks'!$E$4:$E$503,_calc!$E$262)))=0,"","Evidence: "&amp;IF(LEN(INDEX('Checks'!$E$4:$E$503,_calc!$E$262))=0,"",INDEX('Checks'!$E$4:$E$503,_calc!$E$262))&amp;". ")&amp;IF(LEN(IF(LEN(INDEX('Checks'!$G$4:$G$503,_calc!$E$262))=0,"",INDEX('Checks'!$G$4:$G$503,_calc!$E$262)))=0,"","Checked by: "&amp;IF(LEN(INDEX('Checks'!$G$4:$G$503,_calc!$E$262))=0,"",INDEX('Checks'!$G$4:$G$503,_calc!$E$262))&amp;". ")&amp;IF(LEN(IF(LEN(INDEX('Checks'!$Q$4:$Q$503,_calc!$E$262))=0,"",INDEX('Checks'!$Q$4:$Q$503,_calc!$E$262)))=0,"",IF(LEN(INDEX('Checks'!$Q$4:$Q$503,_calc!$E$262))=0,"",INDEX('Checks'!$Q$4:$Q$503,_calc!$E$262)))))</f>
        <v/>
      </c>
      <c r="G260" s="43">
        <f>IF(_calc!$E$262="","",IF(LEN(INDEX('Checks'!$P$4:$P$503,_calc!$E$262))=0,"",INDEX('Checks'!$P$4:$P$503,_calc!$E$262)))</f>
        <v/>
      </c>
      <c r="K260" s="43">
        <f>IF(_calc!$E$262="","",IF(LEN(INDEX('Checks'!$O$4:$O$503,_calc!$E$262))=0,"",INDEX('Checks'!$O$4:$O$503,_calc!$E$262)))</f>
        <v/>
      </c>
    </row>
    <row r="261">
      <c r="A261" s="43">
        <f>IF(_calc!$E$263="","","Right to work follow-up – "&amp;IF(LEN(INDEX('Checks'!$A$4:$A$503,_calc!$E$263))=0,"",INDEX('Checks'!$A$4:$A$503,_calc!$E$263)))</f>
        <v/>
      </c>
      <c r="B261" s="43">
        <f>IF(_calc!$E$263="","",IF(ISNUMBER(INDEX('Checks'!$H$4:$H$503,_calc!$E$263)),TEXT(INDEX('Checks'!$H$4:$H$503,_calc!$E$263),"yyyy-mm-dd"),""))</f>
        <v/>
      </c>
      <c r="C261" s="43">
        <f>IF(_calc!$E$263="","","Right to work")</f>
        <v/>
      </c>
      <c r="D261" s="43">
        <f>IF(_calc!$E$263="","",IF(ISNUMBER(INDEX('Checks'!$F$4:$F$503,_calc!$E$263)),TEXT(INDEX('Checks'!$F$4:$F$503,_calc!$E$263),"yyyy-mm-dd"),""))</f>
        <v/>
      </c>
      <c r="E261" s="43">
        <f>IF(_calc!$E$263="","","High")</f>
        <v/>
      </c>
      <c r="F261" s="43">
        <f>IF(_calc!$E$263="","",TRIM(IF(LEN(IF(LEN(INDEX('Checks'!$B$4:$B$503,_calc!$E$263))=0,"",INDEX('Checks'!$B$4:$B$503,_calc!$E$263)))=0,"","Role: "&amp;IF(LEN(INDEX('Checks'!$B$4:$B$503,_calc!$E$263))=0,"",INDEX('Checks'!$B$4:$B$503,_calc!$E$263))&amp;". ")&amp;IF(LEN(IF(LEN(INDEX('Checks'!$D$4:$D$503,_calc!$E$263))=0,"",INDEX('Checks'!$D$4:$D$503,_calc!$E$263)))=0,"","Check type: "&amp;IF(LEN(INDEX('Checks'!$D$4:$D$503,_calc!$E$263))=0,"",INDEX('Checks'!$D$4:$D$503,_calc!$E$263))&amp;". ")&amp;IF(LEN(IF(LEN(INDEX('Checks'!$E$4:$E$503,_calc!$E$263))=0,"",INDEX('Checks'!$E$4:$E$503,_calc!$E$263)))=0,"","Evidence: "&amp;IF(LEN(INDEX('Checks'!$E$4:$E$503,_calc!$E$263))=0,"",INDEX('Checks'!$E$4:$E$503,_calc!$E$263))&amp;". ")&amp;IF(LEN(IF(LEN(INDEX('Checks'!$G$4:$G$503,_calc!$E$263))=0,"",INDEX('Checks'!$G$4:$G$503,_calc!$E$263)))=0,"","Checked by: "&amp;IF(LEN(INDEX('Checks'!$G$4:$G$503,_calc!$E$263))=0,"",INDEX('Checks'!$G$4:$G$503,_calc!$E$263))&amp;". ")&amp;IF(LEN(IF(LEN(INDEX('Checks'!$Q$4:$Q$503,_calc!$E$263))=0,"",INDEX('Checks'!$Q$4:$Q$503,_calc!$E$263)))=0,"",IF(LEN(INDEX('Checks'!$Q$4:$Q$503,_calc!$E$263))=0,"",INDEX('Checks'!$Q$4:$Q$503,_calc!$E$263)))))</f>
        <v/>
      </c>
      <c r="G261" s="43">
        <f>IF(_calc!$E$263="","",IF(LEN(INDEX('Checks'!$P$4:$P$503,_calc!$E$263))=0,"",INDEX('Checks'!$P$4:$P$503,_calc!$E$263)))</f>
        <v/>
      </c>
      <c r="K261" s="43">
        <f>IF(_calc!$E$263="","",IF(LEN(INDEX('Checks'!$O$4:$O$503,_calc!$E$263))=0,"",INDEX('Checks'!$O$4:$O$503,_calc!$E$263)))</f>
        <v/>
      </c>
    </row>
    <row r="262">
      <c r="A262" s="43">
        <f>IF(_calc!$E$264="","","Right to work follow-up – "&amp;IF(LEN(INDEX('Checks'!$A$4:$A$503,_calc!$E$264))=0,"",INDEX('Checks'!$A$4:$A$503,_calc!$E$264)))</f>
        <v/>
      </c>
      <c r="B262" s="43">
        <f>IF(_calc!$E$264="","",IF(ISNUMBER(INDEX('Checks'!$H$4:$H$503,_calc!$E$264)),TEXT(INDEX('Checks'!$H$4:$H$503,_calc!$E$264),"yyyy-mm-dd"),""))</f>
        <v/>
      </c>
      <c r="C262" s="43">
        <f>IF(_calc!$E$264="","","Right to work")</f>
        <v/>
      </c>
      <c r="D262" s="43">
        <f>IF(_calc!$E$264="","",IF(ISNUMBER(INDEX('Checks'!$F$4:$F$503,_calc!$E$264)),TEXT(INDEX('Checks'!$F$4:$F$503,_calc!$E$264),"yyyy-mm-dd"),""))</f>
        <v/>
      </c>
      <c r="E262" s="43">
        <f>IF(_calc!$E$264="","","High")</f>
        <v/>
      </c>
      <c r="F262" s="43">
        <f>IF(_calc!$E$264="","",TRIM(IF(LEN(IF(LEN(INDEX('Checks'!$B$4:$B$503,_calc!$E$264))=0,"",INDEX('Checks'!$B$4:$B$503,_calc!$E$264)))=0,"","Role: "&amp;IF(LEN(INDEX('Checks'!$B$4:$B$503,_calc!$E$264))=0,"",INDEX('Checks'!$B$4:$B$503,_calc!$E$264))&amp;". ")&amp;IF(LEN(IF(LEN(INDEX('Checks'!$D$4:$D$503,_calc!$E$264))=0,"",INDEX('Checks'!$D$4:$D$503,_calc!$E$264)))=0,"","Check type: "&amp;IF(LEN(INDEX('Checks'!$D$4:$D$503,_calc!$E$264))=0,"",INDEX('Checks'!$D$4:$D$503,_calc!$E$264))&amp;". ")&amp;IF(LEN(IF(LEN(INDEX('Checks'!$E$4:$E$503,_calc!$E$264))=0,"",INDEX('Checks'!$E$4:$E$503,_calc!$E$264)))=0,"","Evidence: "&amp;IF(LEN(INDEX('Checks'!$E$4:$E$503,_calc!$E$264))=0,"",INDEX('Checks'!$E$4:$E$503,_calc!$E$264))&amp;". ")&amp;IF(LEN(IF(LEN(INDEX('Checks'!$G$4:$G$503,_calc!$E$264))=0,"",INDEX('Checks'!$G$4:$G$503,_calc!$E$264)))=0,"","Checked by: "&amp;IF(LEN(INDEX('Checks'!$G$4:$G$503,_calc!$E$264))=0,"",INDEX('Checks'!$G$4:$G$503,_calc!$E$264))&amp;". ")&amp;IF(LEN(IF(LEN(INDEX('Checks'!$Q$4:$Q$503,_calc!$E$264))=0,"",INDEX('Checks'!$Q$4:$Q$503,_calc!$E$264)))=0,"",IF(LEN(INDEX('Checks'!$Q$4:$Q$503,_calc!$E$264))=0,"",INDEX('Checks'!$Q$4:$Q$503,_calc!$E$264)))))</f>
        <v/>
      </c>
      <c r="G262" s="43">
        <f>IF(_calc!$E$264="","",IF(LEN(INDEX('Checks'!$P$4:$P$503,_calc!$E$264))=0,"",INDEX('Checks'!$P$4:$P$503,_calc!$E$264)))</f>
        <v/>
      </c>
      <c r="K262" s="43">
        <f>IF(_calc!$E$264="","",IF(LEN(INDEX('Checks'!$O$4:$O$503,_calc!$E$264))=0,"",INDEX('Checks'!$O$4:$O$503,_calc!$E$264)))</f>
        <v/>
      </c>
    </row>
    <row r="263">
      <c r="A263" s="43">
        <f>IF(_calc!$E$265="","","Right to work follow-up – "&amp;IF(LEN(INDEX('Checks'!$A$4:$A$503,_calc!$E$265))=0,"",INDEX('Checks'!$A$4:$A$503,_calc!$E$265)))</f>
        <v/>
      </c>
      <c r="B263" s="43">
        <f>IF(_calc!$E$265="","",IF(ISNUMBER(INDEX('Checks'!$H$4:$H$503,_calc!$E$265)),TEXT(INDEX('Checks'!$H$4:$H$503,_calc!$E$265),"yyyy-mm-dd"),""))</f>
        <v/>
      </c>
      <c r="C263" s="43">
        <f>IF(_calc!$E$265="","","Right to work")</f>
        <v/>
      </c>
      <c r="D263" s="43">
        <f>IF(_calc!$E$265="","",IF(ISNUMBER(INDEX('Checks'!$F$4:$F$503,_calc!$E$265)),TEXT(INDEX('Checks'!$F$4:$F$503,_calc!$E$265),"yyyy-mm-dd"),""))</f>
        <v/>
      </c>
      <c r="E263" s="43">
        <f>IF(_calc!$E$265="","","High")</f>
        <v/>
      </c>
      <c r="F263" s="43">
        <f>IF(_calc!$E$265="","",TRIM(IF(LEN(IF(LEN(INDEX('Checks'!$B$4:$B$503,_calc!$E$265))=0,"",INDEX('Checks'!$B$4:$B$503,_calc!$E$265)))=0,"","Role: "&amp;IF(LEN(INDEX('Checks'!$B$4:$B$503,_calc!$E$265))=0,"",INDEX('Checks'!$B$4:$B$503,_calc!$E$265))&amp;". ")&amp;IF(LEN(IF(LEN(INDEX('Checks'!$D$4:$D$503,_calc!$E$265))=0,"",INDEX('Checks'!$D$4:$D$503,_calc!$E$265)))=0,"","Check type: "&amp;IF(LEN(INDEX('Checks'!$D$4:$D$503,_calc!$E$265))=0,"",INDEX('Checks'!$D$4:$D$503,_calc!$E$265))&amp;". ")&amp;IF(LEN(IF(LEN(INDEX('Checks'!$E$4:$E$503,_calc!$E$265))=0,"",INDEX('Checks'!$E$4:$E$503,_calc!$E$265)))=0,"","Evidence: "&amp;IF(LEN(INDEX('Checks'!$E$4:$E$503,_calc!$E$265))=0,"",INDEX('Checks'!$E$4:$E$503,_calc!$E$265))&amp;". ")&amp;IF(LEN(IF(LEN(INDEX('Checks'!$G$4:$G$503,_calc!$E$265))=0,"",INDEX('Checks'!$G$4:$G$503,_calc!$E$265)))=0,"","Checked by: "&amp;IF(LEN(INDEX('Checks'!$G$4:$G$503,_calc!$E$265))=0,"",INDEX('Checks'!$G$4:$G$503,_calc!$E$265))&amp;". ")&amp;IF(LEN(IF(LEN(INDEX('Checks'!$Q$4:$Q$503,_calc!$E$265))=0,"",INDEX('Checks'!$Q$4:$Q$503,_calc!$E$265)))=0,"",IF(LEN(INDEX('Checks'!$Q$4:$Q$503,_calc!$E$265))=0,"",INDEX('Checks'!$Q$4:$Q$503,_calc!$E$265)))))</f>
        <v/>
      </c>
      <c r="G263" s="43">
        <f>IF(_calc!$E$265="","",IF(LEN(INDEX('Checks'!$P$4:$P$503,_calc!$E$265))=0,"",INDEX('Checks'!$P$4:$P$503,_calc!$E$265)))</f>
        <v/>
      </c>
      <c r="K263" s="43">
        <f>IF(_calc!$E$265="","",IF(LEN(INDEX('Checks'!$O$4:$O$503,_calc!$E$265))=0,"",INDEX('Checks'!$O$4:$O$503,_calc!$E$265)))</f>
        <v/>
      </c>
    </row>
    <row r="264">
      <c r="A264" s="43">
        <f>IF(_calc!$E$266="","","Right to work follow-up – "&amp;IF(LEN(INDEX('Checks'!$A$4:$A$503,_calc!$E$266))=0,"",INDEX('Checks'!$A$4:$A$503,_calc!$E$266)))</f>
        <v/>
      </c>
      <c r="B264" s="43">
        <f>IF(_calc!$E$266="","",IF(ISNUMBER(INDEX('Checks'!$H$4:$H$503,_calc!$E$266)),TEXT(INDEX('Checks'!$H$4:$H$503,_calc!$E$266),"yyyy-mm-dd"),""))</f>
        <v/>
      </c>
      <c r="C264" s="43">
        <f>IF(_calc!$E$266="","","Right to work")</f>
        <v/>
      </c>
      <c r="D264" s="43">
        <f>IF(_calc!$E$266="","",IF(ISNUMBER(INDEX('Checks'!$F$4:$F$503,_calc!$E$266)),TEXT(INDEX('Checks'!$F$4:$F$503,_calc!$E$266),"yyyy-mm-dd"),""))</f>
        <v/>
      </c>
      <c r="E264" s="43">
        <f>IF(_calc!$E$266="","","High")</f>
        <v/>
      </c>
      <c r="F264" s="43">
        <f>IF(_calc!$E$266="","",TRIM(IF(LEN(IF(LEN(INDEX('Checks'!$B$4:$B$503,_calc!$E$266))=0,"",INDEX('Checks'!$B$4:$B$503,_calc!$E$266)))=0,"","Role: "&amp;IF(LEN(INDEX('Checks'!$B$4:$B$503,_calc!$E$266))=0,"",INDEX('Checks'!$B$4:$B$503,_calc!$E$266))&amp;". ")&amp;IF(LEN(IF(LEN(INDEX('Checks'!$D$4:$D$503,_calc!$E$266))=0,"",INDEX('Checks'!$D$4:$D$503,_calc!$E$266)))=0,"","Check type: "&amp;IF(LEN(INDEX('Checks'!$D$4:$D$503,_calc!$E$266))=0,"",INDEX('Checks'!$D$4:$D$503,_calc!$E$266))&amp;". ")&amp;IF(LEN(IF(LEN(INDEX('Checks'!$E$4:$E$503,_calc!$E$266))=0,"",INDEX('Checks'!$E$4:$E$503,_calc!$E$266)))=0,"","Evidence: "&amp;IF(LEN(INDEX('Checks'!$E$4:$E$503,_calc!$E$266))=0,"",INDEX('Checks'!$E$4:$E$503,_calc!$E$266))&amp;". ")&amp;IF(LEN(IF(LEN(INDEX('Checks'!$G$4:$G$503,_calc!$E$266))=0,"",INDEX('Checks'!$G$4:$G$503,_calc!$E$266)))=0,"","Checked by: "&amp;IF(LEN(INDEX('Checks'!$G$4:$G$503,_calc!$E$266))=0,"",INDEX('Checks'!$G$4:$G$503,_calc!$E$266))&amp;". ")&amp;IF(LEN(IF(LEN(INDEX('Checks'!$Q$4:$Q$503,_calc!$E$266))=0,"",INDEX('Checks'!$Q$4:$Q$503,_calc!$E$266)))=0,"",IF(LEN(INDEX('Checks'!$Q$4:$Q$503,_calc!$E$266))=0,"",INDEX('Checks'!$Q$4:$Q$503,_calc!$E$266)))))</f>
        <v/>
      </c>
      <c r="G264" s="43">
        <f>IF(_calc!$E$266="","",IF(LEN(INDEX('Checks'!$P$4:$P$503,_calc!$E$266))=0,"",INDEX('Checks'!$P$4:$P$503,_calc!$E$266)))</f>
        <v/>
      </c>
      <c r="K264" s="43">
        <f>IF(_calc!$E$266="","",IF(LEN(INDEX('Checks'!$O$4:$O$503,_calc!$E$266))=0,"",INDEX('Checks'!$O$4:$O$503,_calc!$E$266)))</f>
        <v/>
      </c>
    </row>
    <row r="265">
      <c r="A265" s="43">
        <f>IF(_calc!$E$267="","","Right to work follow-up – "&amp;IF(LEN(INDEX('Checks'!$A$4:$A$503,_calc!$E$267))=0,"",INDEX('Checks'!$A$4:$A$503,_calc!$E$267)))</f>
        <v/>
      </c>
      <c r="B265" s="43">
        <f>IF(_calc!$E$267="","",IF(ISNUMBER(INDEX('Checks'!$H$4:$H$503,_calc!$E$267)),TEXT(INDEX('Checks'!$H$4:$H$503,_calc!$E$267),"yyyy-mm-dd"),""))</f>
        <v/>
      </c>
      <c r="C265" s="43">
        <f>IF(_calc!$E$267="","","Right to work")</f>
        <v/>
      </c>
      <c r="D265" s="43">
        <f>IF(_calc!$E$267="","",IF(ISNUMBER(INDEX('Checks'!$F$4:$F$503,_calc!$E$267)),TEXT(INDEX('Checks'!$F$4:$F$503,_calc!$E$267),"yyyy-mm-dd"),""))</f>
        <v/>
      </c>
      <c r="E265" s="43">
        <f>IF(_calc!$E$267="","","High")</f>
        <v/>
      </c>
      <c r="F265" s="43">
        <f>IF(_calc!$E$267="","",TRIM(IF(LEN(IF(LEN(INDEX('Checks'!$B$4:$B$503,_calc!$E$267))=0,"",INDEX('Checks'!$B$4:$B$503,_calc!$E$267)))=0,"","Role: "&amp;IF(LEN(INDEX('Checks'!$B$4:$B$503,_calc!$E$267))=0,"",INDEX('Checks'!$B$4:$B$503,_calc!$E$267))&amp;". ")&amp;IF(LEN(IF(LEN(INDEX('Checks'!$D$4:$D$503,_calc!$E$267))=0,"",INDEX('Checks'!$D$4:$D$503,_calc!$E$267)))=0,"","Check type: "&amp;IF(LEN(INDEX('Checks'!$D$4:$D$503,_calc!$E$267))=0,"",INDEX('Checks'!$D$4:$D$503,_calc!$E$267))&amp;". ")&amp;IF(LEN(IF(LEN(INDEX('Checks'!$E$4:$E$503,_calc!$E$267))=0,"",INDEX('Checks'!$E$4:$E$503,_calc!$E$267)))=0,"","Evidence: "&amp;IF(LEN(INDEX('Checks'!$E$4:$E$503,_calc!$E$267))=0,"",INDEX('Checks'!$E$4:$E$503,_calc!$E$267))&amp;". ")&amp;IF(LEN(IF(LEN(INDEX('Checks'!$G$4:$G$503,_calc!$E$267))=0,"",INDEX('Checks'!$G$4:$G$503,_calc!$E$267)))=0,"","Checked by: "&amp;IF(LEN(INDEX('Checks'!$G$4:$G$503,_calc!$E$267))=0,"",INDEX('Checks'!$G$4:$G$503,_calc!$E$267))&amp;". ")&amp;IF(LEN(IF(LEN(INDEX('Checks'!$Q$4:$Q$503,_calc!$E$267))=0,"",INDEX('Checks'!$Q$4:$Q$503,_calc!$E$267)))=0,"",IF(LEN(INDEX('Checks'!$Q$4:$Q$503,_calc!$E$267))=0,"",INDEX('Checks'!$Q$4:$Q$503,_calc!$E$267)))))</f>
        <v/>
      </c>
      <c r="G265" s="43">
        <f>IF(_calc!$E$267="","",IF(LEN(INDEX('Checks'!$P$4:$P$503,_calc!$E$267))=0,"",INDEX('Checks'!$P$4:$P$503,_calc!$E$267)))</f>
        <v/>
      </c>
      <c r="K265" s="43">
        <f>IF(_calc!$E$267="","",IF(LEN(INDEX('Checks'!$O$4:$O$503,_calc!$E$267))=0,"",INDEX('Checks'!$O$4:$O$503,_calc!$E$267)))</f>
        <v/>
      </c>
    </row>
    <row r="266">
      <c r="A266" s="43">
        <f>IF(_calc!$E$268="","","Right to work follow-up – "&amp;IF(LEN(INDEX('Checks'!$A$4:$A$503,_calc!$E$268))=0,"",INDEX('Checks'!$A$4:$A$503,_calc!$E$268)))</f>
        <v/>
      </c>
      <c r="B266" s="43">
        <f>IF(_calc!$E$268="","",IF(ISNUMBER(INDEX('Checks'!$H$4:$H$503,_calc!$E$268)),TEXT(INDEX('Checks'!$H$4:$H$503,_calc!$E$268),"yyyy-mm-dd"),""))</f>
        <v/>
      </c>
      <c r="C266" s="43">
        <f>IF(_calc!$E$268="","","Right to work")</f>
        <v/>
      </c>
      <c r="D266" s="43">
        <f>IF(_calc!$E$268="","",IF(ISNUMBER(INDEX('Checks'!$F$4:$F$503,_calc!$E$268)),TEXT(INDEX('Checks'!$F$4:$F$503,_calc!$E$268),"yyyy-mm-dd"),""))</f>
        <v/>
      </c>
      <c r="E266" s="43">
        <f>IF(_calc!$E$268="","","High")</f>
        <v/>
      </c>
      <c r="F266" s="43">
        <f>IF(_calc!$E$268="","",TRIM(IF(LEN(IF(LEN(INDEX('Checks'!$B$4:$B$503,_calc!$E$268))=0,"",INDEX('Checks'!$B$4:$B$503,_calc!$E$268)))=0,"","Role: "&amp;IF(LEN(INDEX('Checks'!$B$4:$B$503,_calc!$E$268))=0,"",INDEX('Checks'!$B$4:$B$503,_calc!$E$268))&amp;". ")&amp;IF(LEN(IF(LEN(INDEX('Checks'!$D$4:$D$503,_calc!$E$268))=0,"",INDEX('Checks'!$D$4:$D$503,_calc!$E$268)))=0,"","Check type: "&amp;IF(LEN(INDEX('Checks'!$D$4:$D$503,_calc!$E$268))=0,"",INDEX('Checks'!$D$4:$D$503,_calc!$E$268))&amp;". ")&amp;IF(LEN(IF(LEN(INDEX('Checks'!$E$4:$E$503,_calc!$E$268))=0,"",INDEX('Checks'!$E$4:$E$503,_calc!$E$268)))=0,"","Evidence: "&amp;IF(LEN(INDEX('Checks'!$E$4:$E$503,_calc!$E$268))=0,"",INDEX('Checks'!$E$4:$E$503,_calc!$E$268))&amp;". ")&amp;IF(LEN(IF(LEN(INDEX('Checks'!$G$4:$G$503,_calc!$E$268))=0,"",INDEX('Checks'!$G$4:$G$503,_calc!$E$268)))=0,"","Checked by: "&amp;IF(LEN(INDEX('Checks'!$G$4:$G$503,_calc!$E$268))=0,"",INDEX('Checks'!$G$4:$G$503,_calc!$E$268))&amp;". ")&amp;IF(LEN(IF(LEN(INDEX('Checks'!$Q$4:$Q$503,_calc!$E$268))=0,"",INDEX('Checks'!$Q$4:$Q$503,_calc!$E$268)))=0,"",IF(LEN(INDEX('Checks'!$Q$4:$Q$503,_calc!$E$268))=0,"",INDEX('Checks'!$Q$4:$Q$503,_calc!$E$268)))))</f>
        <v/>
      </c>
      <c r="G266" s="43">
        <f>IF(_calc!$E$268="","",IF(LEN(INDEX('Checks'!$P$4:$P$503,_calc!$E$268))=0,"",INDEX('Checks'!$P$4:$P$503,_calc!$E$268)))</f>
        <v/>
      </c>
      <c r="K266" s="43">
        <f>IF(_calc!$E$268="","",IF(LEN(INDEX('Checks'!$O$4:$O$503,_calc!$E$268))=0,"",INDEX('Checks'!$O$4:$O$503,_calc!$E$268)))</f>
        <v/>
      </c>
    </row>
    <row r="267">
      <c r="A267" s="43">
        <f>IF(_calc!$E$269="","","Right to work follow-up – "&amp;IF(LEN(INDEX('Checks'!$A$4:$A$503,_calc!$E$269))=0,"",INDEX('Checks'!$A$4:$A$503,_calc!$E$269)))</f>
        <v/>
      </c>
      <c r="B267" s="43">
        <f>IF(_calc!$E$269="","",IF(ISNUMBER(INDEX('Checks'!$H$4:$H$503,_calc!$E$269)),TEXT(INDEX('Checks'!$H$4:$H$503,_calc!$E$269),"yyyy-mm-dd"),""))</f>
        <v/>
      </c>
      <c r="C267" s="43">
        <f>IF(_calc!$E$269="","","Right to work")</f>
        <v/>
      </c>
      <c r="D267" s="43">
        <f>IF(_calc!$E$269="","",IF(ISNUMBER(INDEX('Checks'!$F$4:$F$503,_calc!$E$269)),TEXT(INDEX('Checks'!$F$4:$F$503,_calc!$E$269),"yyyy-mm-dd"),""))</f>
        <v/>
      </c>
      <c r="E267" s="43">
        <f>IF(_calc!$E$269="","","High")</f>
        <v/>
      </c>
      <c r="F267" s="43">
        <f>IF(_calc!$E$269="","",TRIM(IF(LEN(IF(LEN(INDEX('Checks'!$B$4:$B$503,_calc!$E$269))=0,"",INDEX('Checks'!$B$4:$B$503,_calc!$E$269)))=0,"","Role: "&amp;IF(LEN(INDEX('Checks'!$B$4:$B$503,_calc!$E$269))=0,"",INDEX('Checks'!$B$4:$B$503,_calc!$E$269))&amp;". ")&amp;IF(LEN(IF(LEN(INDEX('Checks'!$D$4:$D$503,_calc!$E$269))=0,"",INDEX('Checks'!$D$4:$D$503,_calc!$E$269)))=0,"","Check type: "&amp;IF(LEN(INDEX('Checks'!$D$4:$D$503,_calc!$E$269))=0,"",INDEX('Checks'!$D$4:$D$503,_calc!$E$269))&amp;". ")&amp;IF(LEN(IF(LEN(INDEX('Checks'!$E$4:$E$503,_calc!$E$269))=0,"",INDEX('Checks'!$E$4:$E$503,_calc!$E$269)))=0,"","Evidence: "&amp;IF(LEN(INDEX('Checks'!$E$4:$E$503,_calc!$E$269))=0,"",INDEX('Checks'!$E$4:$E$503,_calc!$E$269))&amp;". ")&amp;IF(LEN(IF(LEN(INDEX('Checks'!$G$4:$G$503,_calc!$E$269))=0,"",INDEX('Checks'!$G$4:$G$503,_calc!$E$269)))=0,"","Checked by: "&amp;IF(LEN(INDEX('Checks'!$G$4:$G$503,_calc!$E$269))=0,"",INDEX('Checks'!$G$4:$G$503,_calc!$E$269))&amp;". ")&amp;IF(LEN(IF(LEN(INDEX('Checks'!$Q$4:$Q$503,_calc!$E$269))=0,"",INDEX('Checks'!$Q$4:$Q$503,_calc!$E$269)))=0,"",IF(LEN(INDEX('Checks'!$Q$4:$Q$503,_calc!$E$269))=0,"",INDEX('Checks'!$Q$4:$Q$503,_calc!$E$269)))))</f>
        <v/>
      </c>
      <c r="G267" s="43">
        <f>IF(_calc!$E$269="","",IF(LEN(INDEX('Checks'!$P$4:$P$503,_calc!$E$269))=0,"",INDEX('Checks'!$P$4:$P$503,_calc!$E$269)))</f>
        <v/>
      </c>
      <c r="K267" s="43">
        <f>IF(_calc!$E$269="","",IF(LEN(INDEX('Checks'!$O$4:$O$503,_calc!$E$269))=0,"",INDEX('Checks'!$O$4:$O$503,_calc!$E$269)))</f>
        <v/>
      </c>
    </row>
    <row r="268">
      <c r="A268" s="43">
        <f>IF(_calc!$E$270="","","Right to work follow-up – "&amp;IF(LEN(INDEX('Checks'!$A$4:$A$503,_calc!$E$270))=0,"",INDEX('Checks'!$A$4:$A$503,_calc!$E$270)))</f>
        <v/>
      </c>
      <c r="B268" s="43">
        <f>IF(_calc!$E$270="","",IF(ISNUMBER(INDEX('Checks'!$H$4:$H$503,_calc!$E$270)),TEXT(INDEX('Checks'!$H$4:$H$503,_calc!$E$270),"yyyy-mm-dd"),""))</f>
        <v/>
      </c>
      <c r="C268" s="43">
        <f>IF(_calc!$E$270="","","Right to work")</f>
        <v/>
      </c>
      <c r="D268" s="43">
        <f>IF(_calc!$E$270="","",IF(ISNUMBER(INDEX('Checks'!$F$4:$F$503,_calc!$E$270)),TEXT(INDEX('Checks'!$F$4:$F$503,_calc!$E$270),"yyyy-mm-dd"),""))</f>
        <v/>
      </c>
      <c r="E268" s="43">
        <f>IF(_calc!$E$270="","","High")</f>
        <v/>
      </c>
      <c r="F268" s="43">
        <f>IF(_calc!$E$270="","",TRIM(IF(LEN(IF(LEN(INDEX('Checks'!$B$4:$B$503,_calc!$E$270))=0,"",INDEX('Checks'!$B$4:$B$503,_calc!$E$270)))=0,"","Role: "&amp;IF(LEN(INDEX('Checks'!$B$4:$B$503,_calc!$E$270))=0,"",INDEX('Checks'!$B$4:$B$503,_calc!$E$270))&amp;". ")&amp;IF(LEN(IF(LEN(INDEX('Checks'!$D$4:$D$503,_calc!$E$270))=0,"",INDEX('Checks'!$D$4:$D$503,_calc!$E$270)))=0,"","Check type: "&amp;IF(LEN(INDEX('Checks'!$D$4:$D$503,_calc!$E$270))=0,"",INDEX('Checks'!$D$4:$D$503,_calc!$E$270))&amp;". ")&amp;IF(LEN(IF(LEN(INDEX('Checks'!$E$4:$E$503,_calc!$E$270))=0,"",INDEX('Checks'!$E$4:$E$503,_calc!$E$270)))=0,"","Evidence: "&amp;IF(LEN(INDEX('Checks'!$E$4:$E$503,_calc!$E$270))=0,"",INDEX('Checks'!$E$4:$E$503,_calc!$E$270))&amp;". ")&amp;IF(LEN(IF(LEN(INDEX('Checks'!$G$4:$G$503,_calc!$E$270))=0,"",INDEX('Checks'!$G$4:$G$503,_calc!$E$270)))=0,"","Checked by: "&amp;IF(LEN(INDEX('Checks'!$G$4:$G$503,_calc!$E$270))=0,"",INDEX('Checks'!$G$4:$G$503,_calc!$E$270))&amp;". ")&amp;IF(LEN(IF(LEN(INDEX('Checks'!$Q$4:$Q$503,_calc!$E$270))=0,"",INDEX('Checks'!$Q$4:$Q$503,_calc!$E$270)))=0,"",IF(LEN(INDEX('Checks'!$Q$4:$Q$503,_calc!$E$270))=0,"",INDEX('Checks'!$Q$4:$Q$503,_calc!$E$270)))))</f>
        <v/>
      </c>
      <c r="G268" s="43">
        <f>IF(_calc!$E$270="","",IF(LEN(INDEX('Checks'!$P$4:$P$503,_calc!$E$270))=0,"",INDEX('Checks'!$P$4:$P$503,_calc!$E$270)))</f>
        <v/>
      </c>
      <c r="K268" s="43">
        <f>IF(_calc!$E$270="","",IF(LEN(INDEX('Checks'!$O$4:$O$503,_calc!$E$270))=0,"",INDEX('Checks'!$O$4:$O$503,_calc!$E$270)))</f>
        <v/>
      </c>
    </row>
    <row r="269">
      <c r="A269" s="43">
        <f>IF(_calc!$E$271="","","Right to work follow-up – "&amp;IF(LEN(INDEX('Checks'!$A$4:$A$503,_calc!$E$271))=0,"",INDEX('Checks'!$A$4:$A$503,_calc!$E$271)))</f>
        <v/>
      </c>
      <c r="B269" s="43">
        <f>IF(_calc!$E$271="","",IF(ISNUMBER(INDEX('Checks'!$H$4:$H$503,_calc!$E$271)),TEXT(INDEX('Checks'!$H$4:$H$503,_calc!$E$271),"yyyy-mm-dd"),""))</f>
        <v/>
      </c>
      <c r="C269" s="43">
        <f>IF(_calc!$E$271="","","Right to work")</f>
        <v/>
      </c>
      <c r="D269" s="43">
        <f>IF(_calc!$E$271="","",IF(ISNUMBER(INDEX('Checks'!$F$4:$F$503,_calc!$E$271)),TEXT(INDEX('Checks'!$F$4:$F$503,_calc!$E$271),"yyyy-mm-dd"),""))</f>
        <v/>
      </c>
      <c r="E269" s="43">
        <f>IF(_calc!$E$271="","","High")</f>
        <v/>
      </c>
      <c r="F269" s="43">
        <f>IF(_calc!$E$271="","",TRIM(IF(LEN(IF(LEN(INDEX('Checks'!$B$4:$B$503,_calc!$E$271))=0,"",INDEX('Checks'!$B$4:$B$503,_calc!$E$271)))=0,"","Role: "&amp;IF(LEN(INDEX('Checks'!$B$4:$B$503,_calc!$E$271))=0,"",INDEX('Checks'!$B$4:$B$503,_calc!$E$271))&amp;". ")&amp;IF(LEN(IF(LEN(INDEX('Checks'!$D$4:$D$503,_calc!$E$271))=0,"",INDEX('Checks'!$D$4:$D$503,_calc!$E$271)))=0,"","Check type: "&amp;IF(LEN(INDEX('Checks'!$D$4:$D$503,_calc!$E$271))=0,"",INDEX('Checks'!$D$4:$D$503,_calc!$E$271))&amp;". ")&amp;IF(LEN(IF(LEN(INDEX('Checks'!$E$4:$E$503,_calc!$E$271))=0,"",INDEX('Checks'!$E$4:$E$503,_calc!$E$271)))=0,"","Evidence: "&amp;IF(LEN(INDEX('Checks'!$E$4:$E$503,_calc!$E$271))=0,"",INDEX('Checks'!$E$4:$E$503,_calc!$E$271))&amp;". ")&amp;IF(LEN(IF(LEN(INDEX('Checks'!$G$4:$G$503,_calc!$E$271))=0,"",INDEX('Checks'!$G$4:$G$503,_calc!$E$271)))=0,"","Checked by: "&amp;IF(LEN(INDEX('Checks'!$G$4:$G$503,_calc!$E$271))=0,"",INDEX('Checks'!$G$4:$G$503,_calc!$E$271))&amp;". ")&amp;IF(LEN(IF(LEN(INDEX('Checks'!$Q$4:$Q$503,_calc!$E$271))=0,"",INDEX('Checks'!$Q$4:$Q$503,_calc!$E$271)))=0,"",IF(LEN(INDEX('Checks'!$Q$4:$Q$503,_calc!$E$271))=0,"",INDEX('Checks'!$Q$4:$Q$503,_calc!$E$271)))))</f>
        <v/>
      </c>
      <c r="G269" s="43">
        <f>IF(_calc!$E$271="","",IF(LEN(INDEX('Checks'!$P$4:$P$503,_calc!$E$271))=0,"",INDEX('Checks'!$P$4:$P$503,_calc!$E$271)))</f>
        <v/>
      </c>
      <c r="K269" s="43">
        <f>IF(_calc!$E$271="","",IF(LEN(INDEX('Checks'!$O$4:$O$503,_calc!$E$271))=0,"",INDEX('Checks'!$O$4:$O$503,_calc!$E$271)))</f>
        <v/>
      </c>
    </row>
    <row r="270">
      <c r="A270" s="43">
        <f>IF(_calc!$E$272="","","Right to work follow-up – "&amp;IF(LEN(INDEX('Checks'!$A$4:$A$503,_calc!$E$272))=0,"",INDEX('Checks'!$A$4:$A$503,_calc!$E$272)))</f>
        <v/>
      </c>
      <c r="B270" s="43">
        <f>IF(_calc!$E$272="","",IF(ISNUMBER(INDEX('Checks'!$H$4:$H$503,_calc!$E$272)),TEXT(INDEX('Checks'!$H$4:$H$503,_calc!$E$272),"yyyy-mm-dd"),""))</f>
        <v/>
      </c>
      <c r="C270" s="43">
        <f>IF(_calc!$E$272="","","Right to work")</f>
        <v/>
      </c>
      <c r="D270" s="43">
        <f>IF(_calc!$E$272="","",IF(ISNUMBER(INDEX('Checks'!$F$4:$F$503,_calc!$E$272)),TEXT(INDEX('Checks'!$F$4:$F$503,_calc!$E$272),"yyyy-mm-dd"),""))</f>
        <v/>
      </c>
      <c r="E270" s="43">
        <f>IF(_calc!$E$272="","","High")</f>
        <v/>
      </c>
      <c r="F270" s="43">
        <f>IF(_calc!$E$272="","",TRIM(IF(LEN(IF(LEN(INDEX('Checks'!$B$4:$B$503,_calc!$E$272))=0,"",INDEX('Checks'!$B$4:$B$503,_calc!$E$272)))=0,"","Role: "&amp;IF(LEN(INDEX('Checks'!$B$4:$B$503,_calc!$E$272))=0,"",INDEX('Checks'!$B$4:$B$503,_calc!$E$272))&amp;". ")&amp;IF(LEN(IF(LEN(INDEX('Checks'!$D$4:$D$503,_calc!$E$272))=0,"",INDEX('Checks'!$D$4:$D$503,_calc!$E$272)))=0,"","Check type: "&amp;IF(LEN(INDEX('Checks'!$D$4:$D$503,_calc!$E$272))=0,"",INDEX('Checks'!$D$4:$D$503,_calc!$E$272))&amp;". ")&amp;IF(LEN(IF(LEN(INDEX('Checks'!$E$4:$E$503,_calc!$E$272))=0,"",INDEX('Checks'!$E$4:$E$503,_calc!$E$272)))=0,"","Evidence: "&amp;IF(LEN(INDEX('Checks'!$E$4:$E$503,_calc!$E$272))=0,"",INDEX('Checks'!$E$4:$E$503,_calc!$E$272))&amp;". ")&amp;IF(LEN(IF(LEN(INDEX('Checks'!$G$4:$G$503,_calc!$E$272))=0,"",INDEX('Checks'!$G$4:$G$503,_calc!$E$272)))=0,"","Checked by: "&amp;IF(LEN(INDEX('Checks'!$G$4:$G$503,_calc!$E$272))=0,"",INDEX('Checks'!$G$4:$G$503,_calc!$E$272))&amp;". ")&amp;IF(LEN(IF(LEN(INDEX('Checks'!$Q$4:$Q$503,_calc!$E$272))=0,"",INDEX('Checks'!$Q$4:$Q$503,_calc!$E$272)))=0,"",IF(LEN(INDEX('Checks'!$Q$4:$Q$503,_calc!$E$272))=0,"",INDEX('Checks'!$Q$4:$Q$503,_calc!$E$272)))))</f>
        <v/>
      </c>
      <c r="G270" s="43">
        <f>IF(_calc!$E$272="","",IF(LEN(INDEX('Checks'!$P$4:$P$503,_calc!$E$272))=0,"",INDEX('Checks'!$P$4:$P$503,_calc!$E$272)))</f>
        <v/>
      </c>
      <c r="K270" s="43">
        <f>IF(_calc!$E$272="","",IF(LEN(INDEX('Checks'!$O$4:$O$503,_calc!$E$272))=0,"",INDEX('Checks'!$O$4:$O$503,_calc!$E$272)))</f>
        <v/>
      </c>
    </row>
    <row r="271">
      <c r="A271" s="43">
        <f>IF(_calc!$E$273="","","Right to work follow-up – "&amp;IF(LEN(INDEX('Checks'!$A$4:$A$503,_calc!$E$273))=0,"",INDEX('Checks'!$A$4:$A$503,_calc!$E$273)))</f>
        <v/>
      </c>
      <c r="B271" s="43">
        <f>IF(_calc!$E$273="","",IF(ISNUMBER(INDEX('Checks'!$H$4:$H$503,_calc!$E$273)),TEXT(INDEX('Checks'!$H$4:$H$503,_calc!$E$273),"yyyy-mm-dd"),""))</f>
        <v/>
      </c>
      <c r="C271" s="43">
        <f>IF(_calc!$E$273="","","Right to work")</f>
        <v/>
      </c>
      <c r="D271" s="43">
        <f>IF(_calc!$E$273="","",IF(ISNUMBER(INDEX('Checks'!$F$4:$F$503,_calc!$E$273)),TEXT(INDEX('Checks'!$F$4:$F$503,_calc!$E$273),"yyyy-mm-dd"),""))</f>
        <v/>
      </c>
      <c r="E271" s="43">
        <f>IF(_calc!$E$273="","","High")</f>
        <v/>
      </c>
      <c r="F271" s="43">
        <f>IF(_calc!$E$273="","",TRIM(IF(LEN(IF(LEN(INDEX('Checks'!$B$4:$B$503,_calc!$E$273))=0,"",INDEX('Checks'!$B$4:$B$503,_calc!$E$273)))=0,"","Role: "&amp;IF(LEN(INDEX('Checks'!$B$4:$B$503,_calc!$E$273))=0,"",INDEX('Checks'!$B$4:$B$503,_calc!$E$273))&amp;". ")&amp;IF(LEN(IF(LEN(INDEX('Checks'!$D$4:$D$503,_calc!$E$273))=0,"",INDEX('Checks'!$D$4:$D$503,_calc!$E$273)))=0,"","Check type: "&amp;IF(LEN(INDEX('Checks'!$D$4:$D$503,_calc!$E$273))=0,"",INDEX('Checks'!$D$4:$D$503,_calc!$E$273))&amp;". ")&amp;IF(LEN(IF(LEN(INDEX('Checks'!$E$4:$E$503,_calc!$E$273))=0,"",INDEX('Checks'!$E$4:$E$503,_calc!$E$273)))=0,"","Evidence: "&amp;IF(LEN(INDEX('Checks'!$E$4:$E$503,_calc!$E$273))=0,"",INDEX('Checks'!$E$4:$E$503,_calc!$E$273))&amp;". ")&amp;IF(LEN(IF(LEN(INDEX('Checks'!$G$4:$G$503,_calc!$E$273))=0,"",INDEX('Checks'!$G$4:$G$503,_calc!$E$273)))=0,"","Checked by: "&amp;IF(LEN(INDEX('Checks'!$G$4:$G$503,_calc!$E$273))=0,"",INDEX('Checks'!$G$4:$G$503,_calc!$E$273))&amp;". ")&amp;IF(LEN(IF(LEN(INDEX('Checks'!$Q$4:$Q$503,_calc!$E$273))=0,"",INDEX('Checks'!$Q$4:$Q$503,_calc!$E$273)))=0,"",IF(LEN(INDEX('Checks'!$Q$4:$Q$503,_calc!$E$273))=0,"",INDEX('Checks'!$Q$4:$Q$503,_calc!$E$273)))))</f>
        <v/>
      </c>
      <c r="G271" s="43">
        <f>IF(_calc!$E$273="","",IF(LEN(INDEX('Checks'!$P$4:$P$503,_calc!$E$273))=0,"",INDEX('Checks'!$P$4:$P$503,_calc!$E$273)))</f>
        <v/>
      </c>
      <c r="K271" s="43">
        <f>IF(_calc!$E$273="","",IF(LEN(INDEX('Checks'!$O$4:$O$503,_calc!$E$273))=0,"",INDEX('Checks'!$O$4:$O$503,_calc!$E$273)))</f>
        <v/>
      </c>
    </row>
    <row r="272">
      <c r="A272" s="43">
        <f>IF(_calc!$E$274="","","Right to work follow-up – "&amp;IF(LEN(INDEX('Checks'!$A$4:$A$503,_calc!$E$274))=0,"",INDEX('Checks'!$A$4:$A$503,_calc!$E$274)))</f>
        <v/>
      </c>
      <c r="B272" s="43">
        <f>IF(_calc!$E$274="","",IF(ISNUMBER(INDEX('Checks'!$H$4:$H$503,_calc!$E$274)),TEXT(INDEX('Checks'!$H$4:$H$503,_calc!$E$274),"yyyy-mm-dd"),""))</f>
        <v/>
      </c>
      <c r="C272" s="43">
        <f>IF(_calc!$E$274="","","Right to work")</f>
        <v/>
      </c>
      <c r="D272" s="43">
        <f>IF(_calc!$E$274="","",IF(ISNUMBER(INDEX('Checks'!$F$4:$F$503,_calc!$E$274)),TEXT(INDEX('Checks'!$F$4:$F$503,_calc!$E$274),"yyyy-mm-dd"),""))</f>
        <v/>
      </c>
      <c r="E272" s="43">
        <f>IF(_calc!$E$274="","","High")</f>
        <v/>
      </c>
      <c r="F272" s="43">
        <f>IF(_calc!$E$274="","",TRIM(IF(LEN(IF(LEN(INDEX('Checks'!$B$4:$B$503,_calc!$E$274))=0,"",INDEX('Checks'!$B$4:$B$503,_calc!$E$274)))=0,"","Role: "&amp;IF(LEN(INDEX('Checks'!$B$4:$B$503,_calc!$E$274))=0,"",INDEX('Checks'!$B$4:$B$503,_calc!$E$274))&amp;". ")&amp;IF(LEN(IF(LEN(INDEX('Checks'!$D$4:$D$503,_calc!$E$274))=0,"",INDEX('Checks'!$D$4:$D$503,_calc!$E$274)))=0,"","Check type: "&amp;IF(LEN(INDEX('Checks'!$D$4:$D$503,_calc!$E$274))=0,"",INDEX('Checks'!$D$4:$D$503,_calc!$E$274))&amp;". ")&amp;IF(LEN(IF(LEN(INDEX('Checks'!$E$4:$E$503,_calc!$E$274))=0,"",INDEX('Checks'!$E$4:$E$503,_calc!$E$274)))=0,"","Evidence: "&amp;IF(LEN(INDEX('Checks'!$E$4:$E$503,_calc!$E$274))=0,"",INDEX('Checks'!$E$4:$E$503,_calc!$E$274))&amp;". ")&amp;IF(LEN(IF(LEN(INDEX('Checks'!$G$4:$G$503,_calc!$E$274))=0,"",INDEX('Checks'!$G$4:$G$503,_calc!$E$274)))=0,"","Checked by: "&amp;IF(LEN(INDEX('Checks'!$G$4:$G$503,_calc!$E$274))=0,"",INDEX('Checks'!$G$4:$G$503,_calc!$E$274))&amp;". ")&amp;IF(LEN(IF(LEN(INDEX('Checks'!$Q$4:$Q$503,_calc!$E$274))=0,"",INDEX('Checks'!$Q$4:$Q$503,_calc!$E$274)))=0,"",IF(LEN(INDEX('Checks'!$Q$4:$Q$503,_calc!$E$274))=0,"",INDEX('Checks'!$Q$4:$Q$503,_calc!$E$274)))))</f>
        <v/>
      </c>
      <c r="G272" s="43">
        <f>IF(_calc!$E$274="","",IF(LEN(INDEX('Checks'!$P$4:$P$503,_calc!$E$274))=0,"",INDEX('Checks'!$P$4:$P$503,_calc!$E$274)))</f>
        <v/>
      </c>
      <c r="K272" s="43">
        <f>IF(_calc!$E$274="","",IF(LEN(INDEX('Checks'!$O$4:$O$503,_calc!$E$274))=0,"",INDEX('Checks'!$O$4:$O$503,_calc!$E$274)))</f>
        <v/>
      </c>
    </row>
    <row r="273">
      <c r="A273" s="43">
        <f>IF(_calc!$E$275="","","Right to work follow-up – "&amp;IF(LEN(INDEX('Checks'!$A$4:$A$503,_calc!$E$275))=0,"",INDEX('Checks'!$A$4:$A$503,_calc!$E$275)))</f>
        <v/>
      </c>
      <c r="B273" s="43">
        <f>IF(_calc!$E$275="","",IF(ISNUMBER(INDEX('Checks'!$H$4:$H$503,_calc!$E$275)),TEXT(INDEX('Checks'!$H$4:$H$503,_calc!$E$275),"yyyy-mm-dd"),""))</f>
        <v/>
      </c>
      <c r="C273" s="43">
        <f>IF(_calc!$E$275="","","Right to work")</f>
        <v/>
      </c>
      <c r="D273" s="43">
        <f>IF(_calc!$E$275="","",IF(ISNUMBER(INDEX('Checks'!$F$4:$F$503,_calc!$E$275)),TEXT(INDEX('Checks'!$F$4:$F$503,_calc!$E$275),"yyyy-mm-dd"),""))</f>
        <v/>
      </c>
      <c r="E273" s="43">
        <f>IF(_calc!$E$275="","","High")</f>
        <v/>
      </c>
      <c r="F273" s="43">
        <f>IF(_calc!$E$275="","",TRIM(IF(LEN(IF(LEN(INDEX('Checks'!$B$4:$B$503,_calc!$E$275))=0,"",INDEX('Checks'!$B$4:$B$503,_calc!$E$275)))=0,"","Role: "&amp;IF(LEN(INDEX('Checks'!$B$4:$B$503,_calc!$E$275))=0,"",INDEX('Checks'!$B$4:$B$503,_calc!$E$275))&amp;". ")&amp;IF(LEN(IF(LEN(INDEX('Checks'!$D$4:$D$503,_calc!$E$275))=0,"",INDEX('Checks'!$D$4:$D$503,_calc!$E$275)))=0,"","Check type: "&amp;IF(LEN(INDEX('Checks'!$D$4:$D$503,_calc!$E$275))=0,"",INDEX('Checks'!$D$4:$D$503,_calc!$E$275))&amp;". ")&amp;IF(LEN(IF(LEN(INDEX('Checks'!$E$4:$E$503,_calc!$E$275))=0,"",INDEX('Checks'!$E$4:$E$503,_calc!$E$275)))=0,"","Evidence: "&amp;IF(LEN(INDEX('Checks'!$E$4:$E$503,_calc!$E$275))=0,"",INDEX('Checks'!$E$4:$E$503,_calc!$E$275))&amp;". ")&amp;IF(LEN(IF(LEN(INDEX('Checks'!$G$4:$G$503,_calc!$E$275))=0,"",INDEX('Checks'!$G$4:$G$503,_calc!$E$275)))=0,"","Checked by: "&amp;IF(LEN(INDEX('Checks'!$G$4:$G$503,_calc!$E$275))=0,"",INDEX('Checks'!$G$4:$G$503,_calc!$E$275))&amp;". ")&amp;IF(LEN(IF(LEN(INDEX('Checks'!$Q$4:$Q$503,_calc!$E$275))=0,"",INDEX('Checks'!$Q$4:$Q$503,_calc!$E$275)))=0,"",IF(LEN(INDEX('Checks'!$Q$4:$Q$503,_calc!$E$275))=0,"",INDEX('Checks'!$Q$4:$Q$503,_calc!$E$275)))))</f>
        <v/>
      </c>
      <c r="G273" s="43">
        <f>IF(_calc!$E$275="","",IF(LEN(INDEX('Checks'!$P$4:$P$503,_calc!$E$275))=0,"",INDEX('Checks'!$P$4:$P$503,_calc!$E$275)))</f>
        <v/>
      </c>
      <c r="K273" s="43">
        <f>IF(_calc!$E$275="","",IF(LEN(INDEX('Checks'!$O$4:$O$503,_calc!$E$275))=0,"",INDEX('Checks'!$O$4:$O$503,_calc!$E$275)))</f>
        <v/>
      </c>
    </row>
    <row r="274">
      <c r="A274" s="43">
        <f>IF(_calc!$E$276="","","Right to work follow-up – "&amp;IF(LEN(INDEX('Checks'!$A$4:$A$503,_calc!$E$276))=0,"",INDEX('Checks'!$A$4:$A$503,_calc!$E$276)))</f>
        <v/>
      </c>
      <c r="B274" s="43">
        <f>IF(_calc!$E$276="","",IF(ISNUMBER(INDEX('Checks'!$H$4:$H$503,_calc!$E$276)),TEXT(INDEX('Checks'!$H$4:$H$503,_calc!$E$276),"yyyy-mm-dd"),""))</f>
        <v/>
      </c>
      <c r="C274" s="43">
        <f>IF(_calc!$E$276="","","Right to work")</f>
        <v/>
      </c>
      <c r="D274" s="43">
        <f>IF(_calc!$E$276="","",IF(ISNUMBER(INDEX('Checks'!$F$4:$F$503,_calc!$E$276)),TEXT(INDEX('Checks'!$F$4:$F$503,_calc!$E$276),"yyyy-mm-dd"),""))</f>
        <v/>
      </c>
      <c r="E274" s="43">
        <f>IF(_calc!$E$276="","","High")</f>
        <v/>
      </c>
      <c r="F274" s="43">
        <f>IF(_calc!$E$276="","",TRIM(IF(LEN(IF(LEN(INDEX('Checks'!$B$4:$B$503,_calc!$E$276))=0,"",INDEX('Checks'!$B$4:$B$503,_calc!$E$276)))=0,"","Role: "&amp;IF(LEN(INDEX('Checks'!$B$4:$B$503,_calc!$E$276))=0,"",INDEX('Checks'!$B$4:$B$503,_calc!$E$276))&amp;". ")&amp;IF(LEN(IF(LEN(INDEX('Checks'!$D$4:$D$503,_calc!$E$276))=0,"",INDEX('Checks'!$D$4:$D$503,_calc!$E$276)))=0,"","Check type: "&amp;IF(LEN(INDEX('Checks'!$D$4:$D$503,_calc!$E$276))=0,"",INDEX('Checks'!$D$4:$D$503,_calc!$E$276))&amp;". ")&amp;IF(LEN(IF(LEN(INDEX('Checks'!$E$4:$E$503,_calc!$E$276))=0,"",INDEX('Checks'!$E$4:$E$503,_calc!$E$276)))=0,"","Evidence: "&amp;IF(LEN(INDEX('Checks'!$E$4:$E$503,_calc!$E$276))=0,"",INDEX('Checks'!$E$4:$E$503,_calc!$E$276))&amp;". ")&amp;IF(LEN(IF(LEN(INDEX('Checks'!$G$4:$G$503,_calc!$E$276))=0,"",INDEX('Checks'!$G$4:$G$503,_calc!$E$276)))=0,"","Checked by: "&amp;IF(LEN(INDEX('Checks'!$G$4:$G$503,_calc!$E$276))=0,"",INDEX('Checks'!$G$4:$G$503,_calc!$E$276))&amp;". ")&amp;IF(LEN(IF(LEN(INDEX('Checks'!$Q$4:$Q$503,_calc!$E$276))=0,"",INDEX('Checks'!$Q$4:$Q$503,_calc!$E$276)))=0,"",IF(LEN(INDEX('Checks'!$Q$4:$Q$503,_calc!$E$276))=0,"",INDEX('Checks'!$Q$4:$Q$503,_calc!$E$276)))))</f>
        <v/>
      </c>
      <c r="G274" s="43">
        <f>IF(_calc!$E$276="","",IF(LEN(INDEX('Checks'!$P$4:$P$503,_calc!$E$276))=0,"",INDEX('Checks'!$P$4:$P$503,_calc!$E$276)))</f>
        <v/>
      </c>
      <c r="K274" s="43">
        <f>IF(_calc!$E$276="","",IF(LEN(INDEX('Checks'!$O$4:$O$503,_calc!$E$276))=0,"",INDEX('Checks'!$O$4:$O$503,_calc!$E$276)))</f>
        <v/>
      </c>
    </row>
    <row r="275">
      <c r="A275" s="43">
        <f>IF(_calc!$E$277="","","Right to work follow-up – "&amp;IF(LEN(INDEX('Checks'!$A$4:$A$503,_calc!$E$277))=0,"",INDEX('Checks'!$A$4:$A$503,_calc!$E$277)))</f>
        <v/>
      </c>
      <c r="B275" s="43">
        <f>IF(_calc!$E$277="","",IF(ISNUMBER(INDEX('Checks'!$H$4:$H$503,_calc!$E$277)),TEXT(INDEX('Checks'!$H$4:$H$503,_calc!$E$277),"yyyy-mm-dd"),""))</f>
        <v/>
      </c>
      <c r="C275" s="43">
        <f>IF(_calc!$E$277="","","Right to work")</f>
        <v/>
      </c>
      <c r="D275" s="43">
        <f>IF(_calc!$E$277="","",IF(ISNUMBER(INDEX('Checks'!$F$4:$F$503,_calc!$E$277)),TEXT(INDEX('Checks'!$F$4:$F$503,_calc!$E$277),"yyyy-mm-dd"),""))</f>
        <v/>
      </c>
      <c r="E275" s="43">
        <f>IF(_calc!$E$277="","","High")</f>
        <v/>
      </c>
      <c r="F275" s="43">
        <f>IF(_calc!$E$277="","",TRIM(IF(LEN(IF(LEN(INDEX('Checks'!$B$4:$B$503,_calc!$E$277))=0,"",INDEX('Checks'!$B$4:$B$503,_calc!$E$277)))=0,"","Role: "&amp;IF(LEN(INDEX('Checks'!$B$4:$B$503,_calc!$E$277))=0,"",INDEX('Checks'!$B$4:$B$503,_calc!$E$277))&amp;". ")&amp;IF(LEN(IF(LEN(INDEX('Checks'!$D$4:$D$503,_calc!$E$277))=0,"",INDEX('Checks'!$D$4:$D$503,_calc!$E$277)))=0,"","Check type: "&amp;IF(LEN(INDEX('Checks'!$D$4:$D$503,_calc!$E$277))=0,"",INDEX('Checks'!$D$4:$D$503,_calc!$E$277))&amp;". ")&amp;IF(LEN(IF(LEN(INDEX('Checks'!$E$4:$E$503,_calc!$E$277))=0,"",INDEX('Checks'!$E$4:$E$503,_calc!$E$277)))=0,"","Evidence: "&amp;IF(LEN(INDEX('Checks'!$E$4:$E$503,_calc!$E$277))=0,"",INDEX('Checks'!$E$4:$E$503,_calc!$E$277))&amp;". ")&amp;IF(LEN(IF(LEN(INDEX('Checks'!$G$4:$G$503,_calc!$E$277))=0,"",INDEX('Checks'!$G$4:$G$503,_calc!$E$277)))=0,"","Checked by: "&amp;IF(LEN(INDEX('Checks'!$G$4:$G$503,_calc!$E$277))=0,"",INDEX('Checks'!$G$4:$G$503,_calc!$E$277))&amp;". ")&amp;IF(LEN(IF(LEN(INDEX('Checks'!$Q$4:$Q$503,_calc!$E$277))=0,"",INDEX('Checks'!$Q$4:$Q$503,_calc!$E$277)))=0,"",IF(LEN(INDEX('Checks'!$Q$4:$Q$503,_calc!$E$277))=0,"",INDEX('Checks'!$Q$4:$Q$503,_calc!$E$277)))))</f>
        <v/>
      </c>
      <c r="G275" s="43">
        <f>IF(_calc!$E$277="","",IF(LEN(INDEX('Checks'!$P$4:$P$503,_calc!$E$277))=0,"",INDEX('Checks'!$P$4:$P$503,_calc!$E$277)))</f>
        <v/>
      </c>
      <c r="K275" s="43">
        <f>IF(_calc!$E$277="","",IF(LEN(INDEX('Checks'!$O$4:$O$503,_calc!$E$277))=0,"",INDEX('Checks'!$O$4:$O$503,_calc!$E$277)))</f>
        <v/>
      </c>
    </row>
    <row r="276">
      <c r="A276" s="43">
        <f>IF(_calc!$E$278="","","Right to work follow-up – "&amp;IF(LEN(INDEX('Checks'!$A$4:$A$503,_calc!$E$278))=0,"",INDEX('Checks'!$A$4:$A$503,_calc!$E$278)))</f>
        <v/>
      </c>
      <c r="B276" s="43">
        <f>IF(_calc!$E$278="","",IF(ISNUMBER(INDEX('Checks'!$H$4:$H$503,_calc!$E$278)),TEXT(INDEX('Checks'!$H$4:$H$503,_calc!$E$278),"yyyy-mm-dd"),""))</f>
        <v/>
      </c>
      <c r="C276" s="43">
        <f>IF(_calc!$E$278="","","Right to work")</f>
        <v/>
      </c>
      <c r="D276" s="43">
        <f>IF(_calc!$E$278="","",IF(ISNUMBER(INDEX('Checks'!$F$4:$F$503,_calc!$E$278)),TEXT(INDEX('Checks'!$F$4:$F$503,_calc!$E$278),"yyyy-mm-dd"),""))</f>
        <v/>
      </c>
      <c r="E276" s="43">
        <f>IF(_calc!$E$278="","","High")</f>
        <v/>
      </c>
      <c r="F276" s="43">
        <f>IF(_calc!$E$278="","",TRIM(IF(LEN(IF(LEN(INDEX('Checks'!$B$4:$B$503,_calc!$E$278))=0,"",INDEX('Checks'!$B$4:$B$503,_calc!$E$278)))=0,"","Role: "&amp;IF(LEN(INDEX('Checks'!$B$4:$B$503,_calc!$E$278))=0,"",INDEX('Checks'!$B$4:$B$503,_calc!$E$278))&amp;". ")&amp;IF(LEN(IF(LEN(INDEX('Checks'!$D$4:$D$503,_calc!$E$278))=0,"",INDEX('Checks'!$D$4:$D$503,_calc!$E$278)))=0,"","Check type: "&amp;IF(LEN(INDEX('Checks'!$D$4:$D$503,_calc!$E$278))=0,"",INDEX('Checks'!$D$4:$D$503,_calc!$E$278))&amp;". ")&amp;IF(LEN(IF(LEN(INDEX('Checks'!$E$4:$E$503,_calc!$E$278))=0,"",INDEX('Checks'!$E$4:$E$503,_calc!$E$278)))=0,"","Evidence: "&amp;IF(LEN(INDEX('Checks'!$E$4:$E$503,_calc!$E$278))=0,"",INDEX('Checks'!$E$4:$E$503,_calc!$E$278))&amp;". ")&amp;IF(LEN(IF(LEN(INDEX('Checks'!$G$4:$G$503,_calc!$E$278))=0,"",INDEX('Checks'!$G$4:$G$503,_calc!$E$278)))=0,"","Checked by: "&amp;IF(LEN(INDEX('Checks'!$G$4:$G$503,_calc!$E$278))=0,"",INDEX('Checks'!$G$4:$G$503,_calc!$E$278))&amp;". ")&amp;IF(LEN(IF(LEN(INDEX('Checks'!$Q$4:$Q$503,_calc!$E$278))=0,"",INDEX('Checks'!$Q$4:$Q$503,_calc!$E$278)))=0,"",IF(LEN(INDEX('Checks'!$Q$4:$Q$503,_calc!$E$278))=0,"",INDEX('Checks'!$Q$4:$Q$503,_calc!$E$278)))))</f>
        <v/>
      </c>
      <c r="G276" s="43">
        <f>IF(_calc!$E$278="","",IF(LEN(INDEX('Checks'!$P$4:$P$503,_calc!$E$278))=0,"",INDEX('Checks'!$P$4:$P$503,_calc!$E$278)))</f>
        <v/>
      </c>
      <c r="K276" s="43">
        <f>IF(_calc!$E$278="","",IF(LEN(INDEX('Checks'!$O$4:$O$503,_calc!$E$278))=0,"",INDEX('Checks'!$O$4:$O$503,_calc!$E$278)))</f>
        <v/>
      </c>
    </row>
    <row r="277">
      <c r="A277" s="43">
        <f>IF(_calc!$E$279="","","Right to work follow-up – "&amp;IF(LEN(INDEX('Checks'!$A$4:$A$503,_calc!$E$279))=0,"",INDEX('Checks'!$A$4:$A$503,_calc!$E$279)))</f>
        <v/>
      </c>
      <c r="B277" s="43">
        <f>IF(_calc!$E$279="","",IF(ISNUMBER(INDEX('Checks'!$H$4:$H$503,_calc!$E$279)),TEXT(INDEX('Checks'!$H$4:$H$503,_calc!$E$279),"yyyy-mm-dd"),""))</f>
        <v/>
      </c>
      <c r="C277" s="43">
        <f>IF(_calc!$E$279="","","Right to work")</f>
        <v/>
      </c>
      <c r="D277" s="43">
        <f>IF(_calc!$E$279="","",IF(ISNUMBER(INDEX('Checks'!$F$4:$F$503,_calc!$E$279)),TEXT(INDEX('Checks'!$F$4:$F$503,_calc!$E$279),"yyyy-mm-dd"),""))</f>
        <v/>
      </c>
      <c r="E277" s="43">
        <f>IF(_calc!$E$279="","","High")</f>
        <v/>
      </c>
      <c r="F277" s="43">
        <f>IF(_calc!$E$279="","",TRIM(IF(LEN(IF(LEN(INDEX('Checks'!$B$4:$B$503,_calc!$E$279))=0,"",INDEX('Checks'!$B$4:$B$503,_calc!$E$279)))=0,"","Role: "&amp;IF(LEN(INDEX('Checks'!$B$4:$B$503,_calc!$E$279))=0,"",INDEX('Checks'!$B$4:$B$503,_calc!$E$279))&amp;". ")&amp;IF(LEN(IF(LEN(INDEX('Checks'!$D$4:$D$503,_calc!$E$279))=0,"",INDEX('Checks'!$D$4:$D$503,_calc!$E$279)))=0,"","Check type: "&amp;IF(LEN(INDEX('Checks'!$D$4:$D$503,_calc!$E$279))=0,"",INDEX('Checks'!$D$4:$D$503,_calc!$E$279))&amp;". ")&amp;IF(LEN(IF(LEN(INDEX('Checks'!$E$4:$E$503,_calc!$E$279))=0,"",INDEX('Checks'!$E$4:$E$503,_calc!$E$279)))=0,"","Evidence: "&amp;IF(LEN(INDEX('Checks'!$E$4:$E$503,_calc!$E$279))=0,"",INDEX('Checks'!$E$4:$E$503,_calc!$E$279))&amp;". ")&amp;IF(LEN(IF(LEN(INDEX('Checks'!$G$4:$G$503,_calc!$E$279))=0,"",INDEX('Checks'!$G$4:$G$503,_calc!$E$279)))=0,"","Checked by: "&amp;IF(LEN(INDEX('Checks'!$G$4:$G$503,_calc!$E$279))=0,"",INDEX('Checks'!$G$4:$G$503,_calc!$E$279))&amp;". ")&amp;IF(LEN(IF(LEN(INDEX('Checks'!$Q$4:$Q$503,_calc!$E$279))=0,"",INDEX('Checks'!$Q$4:$Q$503,_calc!$E$279)))=0,"",IF(LEN(INDEX('Checks'!$Q$4:$Q$503,_calc!$E$279))=0,"",INDEX('Checks'!$Q$4:$Q$503,_calc!$E$279)))))</f>
        <v/>
      </c>
      <c r="G277" s="43">
        <f>IF(_calc!$E$279="","",IF(LEN(INDEX('Checks'!$P$4:$P$503,_calc!$E$279))=0,"",INDEX('Checks'!$P$4:$P$503,_calc!$E$279)))</f>
        <v/>
      </c>
      <c r="K277" s="43">
        <f>IF(_calc!$E$279="","",IF(LEN(INDEX('Checks'!$O$4:$O$503,_calc!$E$279))=0,"",INDEX('Checks'!$O$4:$O$503,_calc!$E$279)))</f>
        <v/>
      </c>
    </row>
    <row r="278">
      <c r="A278" s="43">
        <f>IF(_calc!$E$280="","","Right to work follow-up – "&amp;IF(LEN(INDEX('Checks'!$A$4:$A$503,_calc!$E$280))=0,"",INDEX('Checks'!$A$4:$A$503,_calc!$E$280)))</f>
        <v/>
      </c>
      <c r="B278" s="43">
        <f>IF(_calc!$E$280="","",IF(ISNUMBER(INDEX('Checks'!$H$4:$H$503,_calc!$E$280)),TEXT(INDEX('Checks'!$H$4:$H$503,_calc!$E$280),"yyyy-mm-dd"),""))</f>
        <v/>
      </c>
      <c r="C278" s="43">
        <f>IF(_calc!$E$280="","","Right to work")</f>
        <v/>
      </c>
      <c r="D278" s="43">
        <f>IF(_calc!$E$280="","",IF(ISNUMBER(INDEX('Checks'!$F$4:$F$503,_calc!$E$280)),TEXT(INDEX('Checks'!$F$4:$F$503,_calc!$E$280),"yyyy-mm-dd"),""))</f>
        <v/>
      </c>
      <c r="E278" s="43">
        <f>IF(_calc!$E$280="","","High")</f>
        <v/>
      </c>
      <c r="F278" s="43">
        <f>IF(_calc!$E$280="","",TRIM(IF(LEN(IF(LEN(INDEX('Checks'!$B$4:$B$503,_calc!$E$280))=0,"",INDEX('Checks'!$B$4:$B$503,_calc!$E$280)))=0,"","Role: "&amp;IF(LEN(INDEX('Checks'!$B$4:$B$503,_calc!$E$280))=0,"",INDEX('Checks'!$B$4:$B$503,_calc!$E$280))&amp;". ")&amp;IF(LEN(IF(LEN(INDEX('Checks'!$D$4:$D$503,_calc!$E$280))=0,"",INDEX('Checks'!$D$4:$D$503,_calc!$E$280)))=0,"","Check type: "&amp;IF(LEN(INDEX('Checks'!$D$4:$D$503,_calc!$E$280))=0,"",INDEX('Checks'!$D$4:$D$503,_calc!$E$280))&amp;". ")&amp;IF(LEN(IF(LEN(INDEX('Checks'!$E$4:$E$503,_calc!$E$280))=0,"",INDEX('Checks'!$E$4:$E$503,_calc!$E$280)))=0,"","Evidence: "&amp;IF(LEN(INDEX('Checks'!$E$4:$E$503,_calc!$E$280))=0,"",INDEX('Checks'!$E$4:$E$503,_calc!$E$280))&amp;". ")&amp;IF(LEN(IF(LEN(INDEX('Checks'!$G$4:$G$503,_calc!$E$280))=0,"",INDEX('Checks'!$G$4:$G$503,_calc!$E$280)))=0,"","Checked by: "&amp;IF(LEN(INDEX('Checks'!$G$4:$G$503,_calc!$E$280))=0,"",INDEX('Checks'!$G$4:$G$503,_calc!$E$280))&amp;". ")&amp;IF(LEN(IF(LEN(INDEX('Checks'!$Q$4:$Q$503,_calc!$E$280))=0,"",INDEX('Checks'!$Q$4:$Q$503,_calc!$E$280)))=0,"",IF(LEN(INDEX('Checks'!$Q$4:$Q$503,_calc!$E$280))=0,"",INDEX('Checks'!$Q$4:$Q$503,_calc!$E$280)))))</f>
        <v/>
      </c>
      <c r="G278" s="43">
        <f>IF(_calc!$E$280="","",IF(LEN(INDEX('Checks'!$P$4:$P$503,_calc!$E$280))=0,"",INDEX('Checks'!$P$4:$P$503,_calc!$E$280)))</f>
        <v/>
      </c>
      <c r="K278" s="43">
        <f>IF(_calc!$E$280="","",IF(LEN(INDEX('Checks'!$O$4:$O$503,_calc!$E$280))=0,"",INDEX('Checks'!$O$4:$O$503,_calc!$E$280)))</f>
        <v/>
      </c>
    </row>
    <row r="279">
      <c r="A279" s="43">
        <f>IF(_calc!$E$281="","","Right to work follow-up – "&amp;IF(LEN(INDEX('Checks'!$A$4:$A$503,_calc!$E$281))=0,"",INDEX('Checks'!$A$4:$A$503,_calc!$E$281)))</f>
        <v/>
      </c>
      <c r="B279" s="43">
        <f>IF(_calc!$E$281="","",IF(ISNUMBER(INDEX('Checks'!$H$4:$H$503,_calc!$E$281)),TEXT(INDEX('Checks'!$H$4:$H$503,_calc!$E$281),"yyyy-mm-dd"),""))</f>
        <v/>
      </c>
      <c r="C279" s="43">
        <f>IF(_calc!$E$281="","","Right to work")</f>
        <v/>
      </c>
      <c r="D279" s="43">
        <f>IF(_calc!$E$281="","",IF(ISNUMBER(INDEX('Checks'!$F$4:$F$503,_calc!$E$281)),TEXT(INDEX('Checks'!$F$4:$F$503,_calc!$E$281),"yyyy-mm-dd"),""))</f>
        <v/>
      </c>
      <c r="E279" s="43">
        <f>IF(_calc!$E$281="","","High")</f>
        <v/>
      </c>
      <c r="F279" s="43">
        <f>IF(_calc!$E$281="","",TRIM(IF(LEN(IF(LEN(INDEX('Checks'!$B$4:$B$503,_calc!$E$281))=0,"",INDEX('Checks'!$B$4:$B$503,_calc!$E$281)))=0,"","Role: "&amp;IF(LEN(INDEX('Checks'!$B$4:$B$503,_calc!$E$281))=0,"",INDEX('Checks'!$B$4:$B$503,_calc!$E$281))&amp;". ")&amp;IF(LEN(IF(LEN(INDEX('Checks'!$D$4:$D$503,_calc!$E$281))=0,"",INDEX('Checks'!$D$4:$D$503,_calc!$E$281)))=0,"","Check type: "&amp;IF(LEN(INDEX('Checks'!$D$4:$D$503,_calc!$E$281))=0,"",INDEX('Checks'!$D$4:$D$503,_calc!$E$281))&amp;". ")&amp;IF(LEN(IF(LEN(INDEX('Checks'!$E$4:$E$503,_calc!$E$281))=0,"",INDEX('Checks'!$E$4:$E$503,_calc!$E$281)))=0,"","Evidence: "&amp;IF(LEN(INDEX('Checks'!$E$4:$E$503,_calc!$E$281))=0,"",INDEX('Checks'!$E$4:$E$503,_calc!$E$281))&amp;". ")&amp;IF(LEN(IF(LEN(INDEX('Checks'!$G$4:$G$503,_calc!$E$281))=0,"",INDEX('Checks'!$G$4:$G$503,_calc!$E$281)))=0,"","Checked by: "&amp;IF(LEN(INDEX('Checks'!$G$4:$G$503,_calc!$E$281))=0,"",INDEX('Checks'!$G$4:$G$503,_calc!$E$281))&amp;". ")&amp;IF(LEN(IF(LEN(INDEX('Checks'!$Q$4:$Q$503,_calc!$E$281))=0,"",INDEX('Checks'!$Q$4:$Q$503,_calc!$E$281)))=0,"",IF(LEN(INDEX('Checks'!$Q$4:$Q$503,_calc!$E$281))=0,"",INDEX('Checks'!$Q$4:$Q$503,_calc!$E$281)))))</f>
        <v/>
      </c>
      <c r="G279" s="43">
        <f>IF(_calc!$E$281="","",IF(LEN(INDEX('Checks'!$P$4:$P$503,_calc!$E$281))=0,"",INDEX('Checks'!$P$4:$P$503,_calc!$E$281)))</f>
        <v/>
      </c>
      <c r="K279" s="43">
        <f>IF(_calc!$E$281="","",IF(LEN(INDEX('Checks'!$O$4:$O$503,_calc!$E$281))=0,"",INDEX('Checks'!$O$4:$O$503,_calc!$E$281)))</f>
        <v/>
      </c>
    </row>
    <row r="280">
      <c r="A280" s="43">
        <f>IF(_calc!$E$282="","","Right to work follow-up – "&amp;IF(LEN(INDEX('Checks'!$A$4:$A$503,_calc!$E$282))=0,"",INDEX('Checks'!$A$4:$A$503,_calc!$E$282)))</f>
        <v/>
      </c>
      <c r="B280" s="43">
        <f>IF(_calc!$E$282="","",IF(ISNUMBER(INDEX('Checks'!$H$4:$H$503,_calc!$E$282)),TEXT(INDEX('Checks'!$H$4:$H$503,_calc!$E$282),"yyyy-mm-dd"),""))</f>
        <v/>
      </c>
      <c r="C280" s="43">
        <f>IF(_calc!$E$282="","","Right to work")</f>
        <v/>
      </c>
      <c r="D280" s="43">
        <f>IF(_calc!$E$282="","",IF(ISNUMBER(INDEX('Checks'!$F$4:$F$503,_calc!$E$282)),TEXT(INDEX('Checks'!$F$4:$F$503,_calc!$E$282),"yyyy-mm-dd"),""))</f>
        <v/>
      </c>
      <c r="E280" s="43">
        <f>IF(_calc!$E$282="","","High")</f>
        <v/>
      </c>
      <c r="F280" s="43">
        <f>IF(_calc!$E$282="","",TRIM(IF(LEN(IF(LEN(INDEX('Checks'!$B$4:$B$503,_calc!$E$282))=0,"",INDEX('Checks'!$B$4:$B$503,_calc!$E$282)))=0,"","Role: "&amp;IF(LEN(INDEX('Checks'!$B$4:$B$503,_calc!$E$282))=0,"",INDEX('Checks'!$B$4:$B$503,_calc!$E$282))&amp;". ")&amp;IF(LEN(IF(LEN(INDEX('Checks'!$D$4:$D$503,_calc!$E$282))=0,"",INDEX('Checks'!$D$4:$D$503,_calc!$E$282)))=0,"","Check type: "&amp;IF(LEN(INDEX('Checks'!$D$4:$D$503,_calc!$E$282))=0,"",INDEX('Checks'!$D$4:$D$503,_calc!$E$282))&amp;". ")&amp;IF(LEN(IF(LEN(INDEX('Checks'!$E$4:$E$503,_calc!$E$282))=0,"",INDEX('Checks'!$E$4:$E$503,_calc!$E$282)))=0,"","Evidence: "&amp;IF(LEN(INDEX('Checks'!$E$4:$E$503,_calc!$E$282))=0,"",INDEX('Checks'!$E$4:$E$503,_calc!$E$282))&amp;". ")&amp;IF(LEN(IF(LEN(INDEX('Checks'!$G$4:$G$503,_calc!$E$282))=0,"",INDEX('Checks'!$G$4:$G$503,_calc!$E$282)))=0,"","Checked by: "&amp;IF(LEN(INDEX('Checks'!$G$4:$G$503,_calc!$E$282))=0,"",INDEX('Checks'!$G$4:$G$503,_calc!$E$282))&amp;". ")&amp;IF(LEN(IF(LEN(INDEX('Checks'!$Q$4:$Q$503,_calc!$E$282))=0,"",INDEX('Checks'!$Q$4:$Q$503,_calc!$E$282)))=0,"",IF(LEN(INDEX('Checks'!$Q$4:$Q$503,_calc!$E$282))=0,"",INDEX('Checks'!$Q$4:$Q$503,_calc!$E$282)))))</f>
        <v/>
      </c>
      <c r="G280" s="43">
        <f>IF(_calc!$E$282="","",IF(LEN(INDEX('Checks'!$P$4:$P$503,_calc!$E$282))=0,"",INDEX('Checks'!$P$4:$P$503,_calc!$E$282)))</f>
        <v/>
      </c>
      <c r="K280" s="43">
        <f>IF(_calc!$E$282="","",IF(LEN(INDEX('Checks'!$O$4:$O$503,_calc!$E$282))=0,"",INDEX('Checks'!$O$4:$O$503,_calc!$E$282)))</f>
        <v/>
      </c>
    </row>
    <row r="281">
      <c r="A281" s="43">
        <f>IF(_calc!$E$283="","","Right to work follow-up – "&amp;IF(LEN(INDEX('Checks'!$A$4:$A$503,_calc!$E$283))=0,"",INDEX('Checks'!$A$4:$A$503,_calc!$E$283)))</f>
        <v/>
      </c>
      <c r="B281" s="43">
        <f>IF(_calc!$E$283="","",IF(ISNUMBER(INDEX('Checks'!$H$4:$H$503,_calc!$E$283)),TEXT(INDEX('Checks'!$H$4:$H$503,_calc!$E$283),"yyyy-mm-dd"),""))</f>
        <v/>
      </c>
      <c r="C281" s="43">
        <f>IF(_calc!$E$283="","","Right to work")</f>
        <v/>
      </c>
      <c r="D281" s="43">
        <f>IF(_calc!$E$283="","",IF(ISNUMBER(INDEX('Checks'!$F$4:$F$503,_calc!$E$283)),TEXT(INDEX('Checks'!$F$4:$F$503,_calc!$E$283),"yyyy-mm-dd"),""))</f>
        <v/>
      </c>
      <c r="E281" s="43">
        <f>IF(_calc!$E$283="","","High")</f>
        <v/>
      </c>
      <c r="F281" s="43">
        <f>IF(_calc!$E$283="","",TRIM(IF(LEN(IF(LEN(INDEX('Checks'!$B$4:$B$503,_calc!$E$283))=0,"",INDEX('Checks'!$B$4:$B$503,_calc!$E$283)))=0,"","Role: "&amp;IF(LEN(INDEX('Checks'!$B$4:$B$503,_calc!$E$283))=0,"",INDEX('Checks'!$B$4:$B$503,_calc!$E$283))&amp;". ")&amp;IF(LEN(IF(LEN(INDEX('Checks'!$D$4:$D$503,_calc!$E$283))=0,"",INDEX('Checks'!$D$4:$D$503,_calc!$E$283)))=0,"","Check type: "&amp;IF(LEN(INDEX('Checks'!$D$4:$D$503,_calc!$E$283))=0,"",INDEX('Checks'!$D$4:$D$503,_calc!$E$283))&amp;". ")&amp;IF(LEN(IF(LEN(INDEX('Checks'!$E$4:$E$503,_calc!$E$283))=0,"",INDEX('Checks'!$E$4:$E$503,_calc!$E$283)))=0,"","Evidence: "&amp;IF(LEN(INDEX('Checks'!$E$4:$E$503,_calc!$E$283))=0,"",INDEX('Checks'!$E$4:$E$503,_calc!$E$283))&amp;". ")&amp;IF(LEN(IF(LEN(INDEX('Checks'!$G$4:$G$503,_calc!$E$283))=0,"",INDEX('Checks'!$G$4:$G$503,_calc!$E$283)))=0,"","Checked by: "&amp;IF(LEN(INDEX('Checks'!$G$4:$G$503,_calc!$E$283))=0,"",INDEX('Checks'!$G$4:$G$503,_calc!$E$283))&amp;". ")&amp;IF(LEN(IF(LEN(INDEX('Checks'!$Q$4:$Q$503,_calc!$E$283))=0,"",INDEX('Checks'!$Q$4:$Q$503,_calc!$E$283)))=0,"",IF(LEN(INDEX('Checks'!$Q$4:$Q$503,_calc!$E$283))=0,"",INDEX('Checks'!$Q$4:$Q$503,_calc!$E$283)))))</f>
        <v/>
      </c>
      <c r="G281" s="43">
        <f>IF(_calc!$E$283="","",IF(LEN(INDEX('Checks'!$P$4:$P$503,_calc!$E$283))=0,"",INDEX('Checks'!$P$4:$P$503,_calc!$E$283)))</f>
        <v/>
      </c>
      <c r="K281" s="43">
        <f>IF(_calc!$E$283="","",IF(LEN(INDEX('Checks'!$O$4:$O$503,_calc!$E$283))=0,"",INDEX('Checks'!$O$4:$O$503,_calc!$E$283)))</f>
        <v/>
      </c>
    </row>
    <row r="282">
      <c r="A282" s="43">
        <f>IF(_calc!$E$284="","","Right to work follow-up – "&amp;IF(LEN(INDEX('Checks'!$A$4:$A$503,_calc!$E$284))=0,"",INDEX('Checks'!$A$4:$A$503,_calc!$E$284)))</f>
        <v/>
      </c>
      <c r="B282" s="43">
        <f>IF(_calc!$E$284="","",IF(ISNUMBER(INDEX('Checks'!$H$4:$H$503,_calc!$E$284)),TEXT(INDEX('Checks'!$H$4:$H$503,_calc!$E$284),"yyyy-mm-dd"),""))</f>
        <v/>
      </c>
      <c r="C282" s="43">
        <f>IF(_calc!$E$284="","","Right to work")</f>
        <v/>
      </c>
      <c r="D282" s="43">
        <f>IF(_calc!$E$284="","",IF(ISNUMBER(INDEX('Checks'!$F$4:$F$503,_calc!$E$284)),TEXT(INDEX('Checks'!$F$4:$F$503,_calc!$E$284),"yyyy-mm-dd"),""))</f>
        <v/>
      </c>
      <c r="E282" s="43">
        <f>IF(_calc!$E$284="","","High")</f>
        <v/>
      </c>
      <c r="F282" s="43">
        <f>IF(_calc!$E$284="","",TRIM(IF(LEN(IF(LEN(INDEX('Checks'!$B$4:$B$503,_calc!$E$284))=0,"",INDEX('Checks'!$B$4:$B$503,_calc!$E$284)))=0,"","Role: "&amp;IF(LEN(INDEX('Checks'!$B$4:$B$503,_calc!$E$284))=0,"",INDEX('Checks'!$B$4:$B$503,_calc!$E$284))&amp;". ")&amp;IF(LEN(IF(LEN(INDEX('Checks'!$D$4:$D$503,_calc!$E$284))=0,"",INDEX('Checks'!$D$4:$D$503,_calc!$E$284)))=0,"","Check type: "&amp;IF(LEN(INDEX('Checks'!$D$4:$D$503,_calc!$E$284))=0,"",INDEX('Checks'!$D$4:$D$503,_calc!$E$284))&amp;". ")&amp;IF(LEN(IF(LEN(INDEX('Checks'!$E$4:$E$503,_calc!$E$284))=0,"",INDEX('Checks'!$E$4:$E$503,_calc!$E$284)))=0,"","Evidence: "&amp;IF(LEN(INDEX('Checks'!$E$4:$E$503,_calc!$E$284))=0,"",INDEX('Checks'!$E$4:$E$503,_calc!$E$284))&amp;". ")&amp;IF(LEN(IF(LEN(INDEX('Checks'!$G$4:$G$503,_calc!$E$284))=0,"",INDEX('Checks'!$G$4:$G$503,_calc!$E$284)))=0,"","Checked by: "&amp;IF(LEN(INDEX('Checks'!$G$4:$G$503,_calc!$E$284))=0,"",INDEX('Checks'!$G$4:$G$503,_calc!$E$284))&amp;". ")&amp;IF(LEN(IF(LEN(INDEX('Checks'!$Q$4:$Q$503,_calc!$E$284))=0,"",INDEX('Checks'!$Q$4:$Q$503,_calc!$E$284)))=0,"",IF(LEN(INDEX('Checks'!$Q$4:$Q$503,_calc!$E$284))=0,"",INDEX('Checks'!$Q$4:$Q$503,_calc!$E$284)))))</f>
        <v/>
      </c>
      <c r="G282" s="43">
        <f>IF(_calc!$E$284="","",IF(LEN(INDEX('Checks'!$P$4:$P$503,_calc!$E$284))=0,"",INDEX('Checks'!$P$4:$P$503,_calc!$E$284)))</f>
        <v/>
      </c>
      <c r="K282" s="43">
        <f>IF(_calc!$E$284="","",IF(LEN(INDEX('Checks'!$O$4:$O$503,_calc!$E$284))=0,"",INDEX('Checks'!$O$4:$O$503,_calc!$E$284)))</f>
        <v/>
      </c>
    </row>
    <row r="283">
      <c r="A283" s="43">
        <f>IF(_calc!$E$285="","","Right to work follow-up – "&amp;IF(LEN(INDEX('Checks'!$A$4:$A$503,_calc!$E$285))=0,"",INDEX('Checks'!$A$4:$A$503,_calc!$E$285)))</f>
        <v/>
      </c>
      <c r="B283" s="43">
        <f>IF(_calc!$E$285="","",IF(ISNUMBER(INDEX('Checks'!$H$4:$H$503,_calc!$E$285)),TEXT(INDEX('Checks'!$H$4:$H$503,_calc!$E$285),"yyyy-mm-dd"),""))</f>
        <v/>
      </c>
      <c r="C283" s="43">
        <f>IF(_calc!$E$285="","","Right to work")</f>
        <v/>
      </c>
      <c r="D283" s="43">
        <f>IF(_calc!$E$285="","",IF(ISNUMBER(INDEX('Checks'!$F$4:$F$503,_calc!$E$285)),TEXT(INDEX('Checks'!$F$4:$F$503,_calc!$E$285),"yyyy-mm-dd"),""))</f>
        <v/>
      </c>
      <c r="E283" s="43">
        <f>IF(_calc!$E$285="","","High")</f>
        <v/>
      </c>
      <c r="F283" s="43">
        <f>IF(_calc!$E$285="","",TRIM(IF(LEN(IF(LEN(INDEX('Checks'!$B$4:$B$503,_calc!$E$285))=0,"",INDEX('Checks'!$B$4:$B$503,_calc!$E$285)))=0,"","Role: "&amp;IF(LEN(INDEX('Checks'!$B$4:$B$503,_calc!$E$285))=0,"",INDEX('Checks'!$B$4:$B$503,_calc!$E$285))&amp;". ")&amp;IF(LEN(IF(LEN(INDEX('Checks'!$D$4:$D$503,_calc!$E$285))=0,"",INDEX('Checks'!$D$4:$D$503,_calc!$E$285)))=0,"","Check type: "&amp;IF(LEN(INDEX('Checks'!$D$4:$D$503,_calc!$E$285))=0,"",INDEX('Checks'!$D$4:$D$503,_calc!$E$285))&amp;". ")&amp;IF(LEN(IF(LEN(INDEX('Checks'!$E$4:$E$503,_calc!$E$285))=0,"",INDEX('Checks'!$E$4:$E$503,_calc!$E$285)))=0,"","Evidence: "&amp;IF(LEN(INDEX('Checks'!$E$4:$E$503,_calc!$E$285))=0,"",INDEX('Checks'!$E$4:$E$503,_calc!$E$285))&amp;". ")&amp;IF(LEN(IF(LEN(INDEX('Checks'!$G$4:$G$503,_calc!$E$285))=0,"",INDEX('Checks'!$G$4:$G$503,_calc!$E$285)))=0,"","Checked by: "&amp;IF(LEN(INDEX('Checks'!$G$4:$G$503,_calc!$E$285))=0,"",INDEX('Checks'!$G$4:$G$503,_calc!$E$285))&amp;". ")&amp;IF(LEN(IF(LEN(INDEX('Checks'!$Q$4:$Q$503,_calc!$E$285))=0,"",INDEX('Checks'!$Q$4:$Q$503,_calc!$E$285)))=0,"",IF(LEN(INDEX('Checks'!$Q$4:$Q$503,_calc!$E$285))=0,"",INDEX('Checks'!$Q$4:$Q$503,_calc!$E$285)))))</f>
        <v/>
      </c>
      <c r="G283" s="43">
        <f>IF(_calc!$E$285="","",IF(LEN(INDEX('Checks'!$P$4:$P$503,_calc!$E$285))=0,"",INDEX('Checks'!$P$4:$P$503,_calc!$E$285)))</f>
        <v/>
      </c>
      <c r="K283" s="43">
        <f>IF(_calc!$E$285="","",IF(LEN(INDEX('Checks'!$O$4:$O$503,_calc!$E$285))=0,"",INDEX('Checks'!$O$4:$O$503,_calc!$E$285)))</f>
        <v/>
      </c>
    </row>
    <row r="284">
      <c r="A284" s="43">
        <f>IF(_calc!$E$286="","","Right to work follow-up – "&amp;IF(LEN(INDEX('Checks'!$A$4:$A$503,_calc!$E$286))=0,"",INDEX('Checks'!$A$4:$A$503,_calc!$E$286)))</f>
        <v/>
      </c>
      <c r="B284" s="43">
        <f>IF(_calc!$E$286="","",IF(ISNUMBER(INDEX('Checks'!$H$4:$H$503,_calc!$E$286)),TEXT(INDEX('Checks'!$H$4:$H$503,_calc!$E$286),"yyyy-mm-dd"),""))</f>
        <v/>
      </c>
      <c r="C284" s="43">
        <f>IF(_calc!$E$286="","","Right to work")</f>
        <v/>
      </c>
      <c r="D284" s="43">
        <f>IF(_calc!$E$286="","",IF(ISNUMBER(INDEX('Checks'!$F$4:$F$503,_calc!$E$286)),TEXT(INDEX('Checks'!$F$4:$F$503,_calc!$E$286),"yyyy-mm-dd"),""))</f>
        <v/>
      </c>
      <c r="E284" s="43">
        <f>IF(_calc!$E$286="","","High")</f>
        <v/>
      </c>
      <c r="F284" s="43">
        <f>IF(_calc!$E$286="","",TRIM(IF(LEN(IF(LEN(INDEX('Checks'!$B$4:$B$503,_calc!$E$286))=0,"",INDEX('Checks'!$B$4:$B$503,_calc!$E$286)))=0,"","Role: "&amp;IF(LEN(INDEX('Checks'!$B$4:$B$503,_calc!$E$286))=0,"",INDEX('Checks'!$B$4:$B$503,_calc!$E$286))&amp;". ")&amp;IF(LEN(IF(LEN(INDEX('Checks'!$D$4:$D$503,_calc!$E$286))=0,"",INDEX('Checks'!$D$4:$D$503,_calc!$E$286)))=0,"","Check type: "&amp;IF(LEN(INDEX('Checks'!$D$4:$D$503,_calc!$E$286))=0,"",INDEX('Checks'!$D$4:$D$503,_calc!$E$286))&amp;". ")&amp;IF(LEN(IF(LEN(INDEX('Checks'!$E$4:$E$503,_calc!$E$286))=0,"",INDEX('Checks'!$E$4:$E$503,_calc!$E$286)))=0,"","Evidence: "&amp;IF(LEN(INDEX('Checks'!$E$4:$E$503,_calc!$E$286))=0,"",INDEX('Checks'!$E$4:$E$503,_calc!$E$286))&amp;". ")&amp;IF(LEN(IF(LEN(INDEX('Checks'!$G$4:$G$503,_calc!$E$286))=0,"",INDEX('Checks'!$G$4:$G$503,_calc!$E$286)))=0,"","Checked by: "&amp;IF(LEN(INDEX('Checks'!$G$4:$G$503,_calc!$E$286))=0,"",INDEX('Checks'!$G$4:$G$503,_calc!$E$286))&amp;". ")&amp;IF(LEN(IF(LEN(INDEX('Checks'!$Q$4:$Q$503,_calc!$E$286))=0,"",INDEX('Checks'!$Q$4:$Q$503,_calc!$E$286)))=0,"",IF(LEN(INDEX('Checks'!$Q$4:$Q$503,_calc!$E$286))=0,"",INDEX('Checks'!$Q$4:$Q$503,_calc!$E$286)))))</f>
        <v/>
      </c>
      <c r="G284" s="43">
        <f>IF(_calc!$E$286="","",IF(LEN(INDEX('Checks'!$P$4:$P$503,_calc!$E$286))=0,"",INDEX('Checks'!$P$4:$P$503,_calc!$E$286)))</f>
        <v/>
      </c>
      <c r="K284" s="43">
        <f>IF(_calc!$E$286="","",IF(LEN(INDEX('Checks'!$O$4:$O$503,_calc!$E$286))=0,"",INDEX('Checks'!$O$4:$O$503,_calc!$E$286)))</f>
        <v/>
      </c>
    </row>
    <row r="285">
      <c r="A285" s="43">
        <f>IF(_calc!$E$287="","","Right to work follow-up – "&amp;IF(LEN(INDEX('Checks'!$A$4:$A$503,_calc!$E$287))=0,"",INDEX('Checks'!$A$4:$A$503,_calc!$E$287)))</f>
        <v/>
      </c>
      <c r="B285" s="43">
        <f>IF(_calc!$E$287="","",IF(ISNUMBER(INDEX('Checks'!$H$4:$H$503,_calc!$E$287)),TEXT(INDEX('Checks'!$H$4:$H$503,_calc!$E$287),"yyyy-mm-dd"),""))</f>
        <v/>
      </c>
      <c r="C285" s="43">
        <f>IF(_calc!$E$287="","","Right to work")</f>
        <v/>
      </c>
      <c r="D285" s="43">
        <f>IF(_calc!$E$287="","",IF(ISNUMBER(INDEX('Checks'!$F$4:$F$503,_calc!$E$287)),TEXT(INDEX('Checks'!$F$4:$F$503,_calc!$E$287),"yyyy-mm-dd"),""))</f>
        <v/>
      </c>
      <c r="E285" s="43">
        <f>IF(_calc!$E$287="","","High")</f>
        <v/>
      </c>
      <c r="F285" s="43">
        <f>IF(_calc!$E$287="","",TRIM(IF(LEN(IF(LEN(INDEX('Checks'!$B$4:$B$503,_calc!$E$287))=0,"",INDEX('Checks'!$B$4:$B$503,_calc!$E$287)))=0,"","Role: "&amp;IF(LEN(INDEX('Checks'!$B$4:$B$503,_calc!$E$287))=0,"",INDEX('Checks'!$B$4:$B$503,_calc!$E$287))&amp;". ")&amp;IF(LEN(IF(LEN(INDEX('Checks'!$D$4:$D$503,_calc!$E$287))=0,"",INDEX('Checks'!$D$4:$D$503,_calc!$E$287)))=0,"","Check type: "&amp;IF(LEN(INDEX('Checks'!$D$4:$D$503,_calc!$E$287))=0,"",INDEX('Checks'!$D$4:$D$503,_calc!$E$287))&amp;". ")&amp;IF(LEN(IF(LEN(INDEX('Checks'!$E$4:$E$503,_calc!$E$287))=0,"",INDEX('Checks'!$E$4:$E$503,_calc!$E$287)))=0,"","Evidence: "&amp;IF(LEN(INDEX('Checks'!$E$4:$E$503,_calc!$E$287))=0,"",INDEX('Checks'!$E$4:$E$503,_calc!$E$287))&amp;". ")&amp;IF(LEN(IF(LEN(INDEX('Checks'!$G$4:$G$503,_calc!$E$287))=0,"",INDEX('Checks'!$G$4:$G$503,_calc!$E$287)))=0,"","Checked by: "&amp;IF(LEN(INDEX('Checks'!$G$4:$G$503,_calc!$E$287))=0,"",INDEX('Checks'!$G$4:$G$503,_calc!$E$287))&amp;". ")&amp;IF(LEN(IF(LEN(INDEX('Checks'!$Q$4:$Q$503,_calc!$E$287))=0,"",INDEX('Checks'!$Q$4:$Q$503,_calc!$E$287)))=0,"",IF(LEN(INDEX('Checks'!$Q$4:$Q$503,_calc!$E$287))=0,"",INDEX('Checks'!$Q$4:$Q$503,_calc!$E$287)))))</f>
        <v/>
      </c>
      <c r="G285" s="43">
        <f>IF(_calc!$E$287="","",IF(LEN(INDEX('Checks'!$P$4:$P$503,_calc!$E$287))=0,"",INDEX('Checks'!$P$4:$P$503,_calc!$E$287)))</f>
        <v/>
      </c>
      <c r="K285" s="43">
        <f>IF(_calc!$E$287="","",IF(LEN(INDEX('Checks'!$O$4:$O$503,_calc!$E$287))=0,"",INDEX('Checks'!$O$4:$O$503,_calc!$E$287)))</f>
        <v/>
      </c>
    </row>
    <row r="286">
      <c r="A286" s="43">
        <f>IF(_calc!$E$288="","","Right to work follow-up – "&amp;IF(LEN(INDEX('Checks'!$A$4:$A$503,_calc!$E$288))=0,"",INDEX('Checks'!$A$4:$A$503,_calc!$E$288)))</f>
        <v/>
      </c>
      <c r="B286" s="43">
        <f>IF(_calc!$E$288="","",IF(ISNUMBER(INDEX('Checks'!$H$4:$H$503,_calc!$E$288)),TEXT(INDEX('Checks'!$H$4:$H$503,_calc!$E$288),"yyyy-mm-dd"),""))</f>
        <v/>
      </c>
      <c r="C286" s="43">
        <f>IF(_calc!$E$288="","","Right to work")</f>
        <v/>
      </c>
      <c r="D286" s="43">
        <f>IF(_calc!$E$288="","",IF(ISNUMBER(INDEX('Checks'!$F$4:$F$503,_calc!$E$288)),TEXT(INDEX('Checks'!$F$4:$F$503,_calc!$E$288),"yyyy-mm-dd"),""))</f>
        <v/>
      </c>
      <c r="E286" s="43">
        <f>IF(_calc!$E$288="","","High")</f>
        <v/>
      </c>
      <c r="F286" s="43">
        <f>IF(_calc!$E$288="","",TRIM(IF(LEN(IF(LEN(INDEX('Checks'!$B$4:$B$503,_calc!$E$288))=0,"",INDEX('Checks'!$B$4:$B$503,_calc!$E$288)))=0,"","Role: "&amp;IF(LEN(INDEX('Checks'!$B$4:$B$503,_calc!$E$288))=0,"",INDEX('Checks'!$B$4:$B$503,_calc!$E$288))&amp;". ")&amp;IF(LEN(IF(LEN(INDEX('Checks'!$D$4:$D$503,_calc!$E$288))=0,"",INDEX('Checks'!$D$4:$D$503,_calc!$E$288)))=0,"","Check type: "&amp;IF(LEN(INDEX('Checks'!$D$4:$D$503,_calc!$E$288))=0,"",INDEX('Checks'!$D$4:$D$503,_calc!$E$288))&amp;". ")&amp;IF(LEN(IF(LEN(INDEX('Checks'!$E$4:$E$503,_calc!$E$288))=0,"",INDEX('Checks'!$E$4:$E$503,_calc!$E$288)))=0,"","Evidence: "&amp;IF(LEN(INDEX('Checks'!$E$4:$E$503,_calc!$E$288))=0,"",INDEX('Checks'!$E$4:$E$503,_calc!$E$288))&amp;". ")&amp;IF(LEN(IF(LEN(INDEX('Checks'!$G$4:$G$503,_calc!$E$288))=0,"",INDEX('Checks'!$G$4:$G$503,_calc!$E$288)))=0,"","Checked by: "&amp;IF(LEN(INDEX('Checks'!$G$4:$G$503,_calc!$E$288))=0,"",INDEX('Checks'!$G$4:$G$503,_calc!$E$288))&amp;". ")&amp;IF(LEN(IF(LEN(INDEX('Checks'!$Q$4:$Q$503,_calc!$E$288))=0,"",INDEX('Checks'!$Q$4:$Q$503,_calc!$E$288)))=0,"",IF(LEN(INDEX('Checks'!$Q$4:$Q$503,_calc!$E$288))=0,"",INDEX('Checks'!$Q$4:$Q$503,_calc!$E$288)))))</f>
        <v/>
      </c>
      <c r="G286" s="43">
        <f>IF(_calc!$E$288="","",IF(LEN(INDEX('Checks'!$P$4:$P$503,_calc!$E$288))=0,"",INDEX('Checks'!$P$4:$P$503,_calc!$E$288)))</f>
        <v/>
      </c>
      <c r="K286" s="43">
        <f>IF(_calc!$E$288="","",IF(LEN(INDEX('Checks'!$O$4:$O$503,_calc!$E$288))=0,"",INDEX('Checks'!$O$4:$O$503,_calc!$E$288)))</f>
        <v/>
      </c>
    </row>
    <row r="287">
      <c r="A287" s="43">
        <f>IF(_calc!$E$289="","","Right to work follow-up – "&amp;IF(LEN(INDEX('Checks'!$A$4:$A$503,_calc!$E$289))=0,"",INDEX('Checks'!$A$4:$A$503,_calc!$E$289)))</f>
        <v/>
      </c>
      <c r="B287" s="43">
        <f>IF(_calc!$E$289="","",IF(ISNUMBER(INDEX('Checks'!$H$4:$H$503,_calc!$E$289)),TEXT(INDEX('Checks'!$H$4:$H$503,_calc!$E$289),"yyyy-mm-dd"),""))</f>
        <v/>
      </c>
      <c r="C287" s="43">
        <f>IF(_calc!$E$289="","","Right to work")</f>
        <v/>
      </c>
      <c r="D287" s="43">
        <f>IF(_calc!$E$289="","",IF(ISNUMBER(INDEX('Checks'!$F$4:$F$503,_calc!$E$289)),TEXT(INDEX('Checks'!$F$4:$F$503,_calc!$E$289),"yyyy-mm-dd"),""))</f>
        <v/>
      </c>
      <c r="E287" s="43">
        <f>IF(_calc!$E$289="","","High")</f>
        <v/>
      </c>
      <c r="F287" s="43">
        <f>IF(_calc!$E$289="","",TRIM(IF(LEN(IF(LEN(INDEX('Checks'!$B$4:$B$503,_calc!$E$289))=0,"",INDEX('Checks'!$B$4:$B$503,_calc!$E$289)))=0,"","Role: "&amp;IF(LEN(INDEX('Checks'!$B$4:$B$503,_calc!$E$289))=0,"",INDEX('Checks'!$B$4:$B$503,_calc!$E$289))&amp;". ")&amp;IF(LEN(IF(LEN(INDEX('Checks'!$D$4:$D$503,_calc!$E$289))=0,"",INDEX('Checks'!$D$4:$D$503,_calc!$E$289)))=0,"","Check type: "&amp;IF(LEN(INDEX('Checks'!$D$4:$D$503,_calc!$E$289))=0,"",INDEX('Checks'!$D$4:$D$503,_calc!$E$289))&amp;". ")&amp;IF(LEN(IF(LEN(INDEX('Checks'!$E$4:$E$503,_calc!$E$289))=0,"",INDEX('Checks'!$E$4:$E$503,_calc!$E$289)))=0,"","Evidence: "&amp;IF(LEN(INDEX('Checks'!$E$4:$E$503,_calc!$E$289))=0,"",INDEX('Checks'!$E$4:$E$503,_calc!$E$289))&amp;". ")&amp;IF(LEN(IF(LEN(INDEX('Checks'!$G$4:$G$503,_calc!$E$289))=0,"",INDEX('Checks'!$G$4:$G$503,_calc!$E$289)))=0,"","Checked by: "&amp;IF(LEN(INDEX('Checks'!$G$4:$G$503,_calc!$E$289))=0,"",INDEX('Checks'!$G$4:$G$503,_calc!$E$289))&amp;". ")&amp;IF(LEN(IF(LEN(INDEX('Checks'!$Q$4:$Q$503,_calc!$E$289))=0,"",INDEX('Checks'!$Q$4:$Q$503,_calc!$E$289)))=0,"",IF(LEN(INDEX('Checks'!$Q$4:$Q$503,_calc!$E$289))=0,"",INDEX('Checks'!$Q$4:$Q$503,_calc!$E$289)))))</f>
        <v/>
      </c>
      <c r="G287" s="43">
        <f>IF(_calc!$E$289="","",IF(LEN(INDEX('Checks'!$P$4:$P$503,_calc!$E$289))=0,"",INDEX('Checks'!$P$4:$P$503,_calc!$E$289)))</f>
        <v/>
      </c>
      <c r="K287" s="43">
        <f>IF(_calc!$E$289="","",IF(LEN(INDEX('Checks'!$O$4:$O$503,_calc!$E$289))=0,"",INDEX('Checks'!$O$4:$O$503,_calc!$E$289)))</f>
        <v/>
      </c>
    </row>
    <row r="288">
      <c r="A288" s="43">
        <f>IF(_calc!$E$290="","","Right to work follow-up – "&amp;IF(LEN(INDEX('Checks'!$A$4:$A$503,_calc!$E$290))=0,"",INDEX('Checks'!$A$4:$A$503,_calc!$E$290)))</f>
        <v/>
      </c>
      <c r="B288" s="43">
        <f>IF(_calc!$E$290="","",IF(ISNUMBER(INDEX('Checks'!$H$4:$H$503,_calc!$E$290)),TEXT(INDEX('Checks'!$H$4:$H$503,_calc!$E$290),"yyyy-mm-dd"),""))</f>
        <v/>
      </c>
      <c r="C288" s="43">
        <f>IF(_calc!$E$290="","","Right to work")</f>
        <v/>
      </c>
      <c r="D288" s="43">
        <f>IF(_calc!$E$290="","",IF(ISNUMBER(INDEX('Checks'!$F$4:$F$503,_calc!$E$290)),TEXT(INDEX('Checks'!$F$4:$F$503,_calc!$E$290),"yyyy-mm-dd"),""))</f>
        <v/>
      </c>
      <c r="E288" s="43">
        <f>IF(_calc!$E$290="","","High")</f>
        <v/>
      </c>
      <c r="F288" s="43">
        <f>IF(_calc!$E$290="","",TRIM(IF(LEN(IF(LEN(INDEX('Checks'!$B$4:$B$503,_calc!$E$290))=0,"",INDEX('Checks'!$B$4:$B$503,_calc!$E$290)))=0,"","Role: "&amp;IF(LEN(INDEX('Checks'!$B$4:$B$503,_calc!$E$290))=0,"",INDEX('Checks'!$B$4:$B$503,_calc!$E$290))&amp;". ")&amp;IF(LEN(IF(LEN(INDEX('Checks'!$D$4:$D$503,_calc!$E$290))=0,"",INDEX('Checks'!$D$4:$D$503,_calc!$E$290)))=0,"","Check type: "&amp;IF(LEN(INDEX('Checks'!$D$4:$D$503,_calc!$E$290))=0,"",INDEX('Checks'!$D$4:$D$503,_calc!$E$290))&amp;". ")&amp;IF(LEN(IF(LEN(INDEX('Checks'!$E$4:$E$503,_calc!$E$290))=0,"",INDEX('Checks'!$E$4:$E$503,_calc!$E$290)))=0,"","Evidence: "&amp;IF(LEN(INDEX('Checks'!$E$4:$E$503,_calc!$E$290))=0,"",INDEX('Checks'!$E$4:$E$503,_calc!$E$290))&amp;". ")&amp;IF(LEN(IF(LEN(INDEX('Checks'!$G$4:$G$503,_calc!$E$290))=0,"",INDEX('Checks'!$G$4:$G$503,_calc!$E$290)))=0,"","Checked by: "&amp;IF(LEN(INDEX('Checks'!$G$4:$G$503,_calc!$E$290))=0,"",INDEX('Checks'!$G$4:$G$503,_calc!$E$290))&amp;". ")&amp;IF(LEN(IF(LEN(INDEX('Checks'!$Q$4:$Q$503,_calc!$E$290))=0,"",INDEX('Checks'!$Q$4:$Q$503,_calc!$E$290)))=0,"",IF(LEN(INDEX('Checks'!$Q$4:$Q$503,_calc!$E$290))=0,"",INDEX('Checks'!$Q$4:$Q$503,_calc!$E$290)))))</f>
        <v/>
      </c>
      <c r="G288" s="43">
        <f>IF(_calc!$E$290="","",IF(LEN(INDEX('Checks'!$P$4:$P$503,_calc!$E$290))=0,"",INDEX('Checks'!$P$4:$P$503,_calc!$E$290)))</f>
        <v/>
      </c>
      <c r="K288" s="43">
        <f>IF(_calc!$E$290="","",IF(LEN(INDEX('Checks'!$O$4:$O$503,_calc!$E$290))=0,"",INDEX('Checks'!$O$4:$O$503,_calc!$E$290)))</f>
        <v/>
      </c>
    </row>
    <row r="289">
      <c r="A289" s="43">
        <f>IF(_calc!$E$291="","","Right to work follow-up – "&amp;IF(LEN(INDEX('Checks'!$A$4:$A$503,_calc!$E$291))=0,"",INDEX('Checks'!$A$4:$A$503,_calc!$E$291)))</f>
        <v/>
      </c>
      <c r="B289" s="43">
        <f>IF(_calc!$E$291="","",IF(ISNUMBER(INDEX('Checks'!$H$4:$H$503,_calc!$E$291)),TEXT(INDEX('Checks'!$H$4:$H$503,_calc!$E$291),"yyyy-mm-dd"),""))</f>
        <v/>
      </c>
      <c r="C289" s="43">
        <f>IF(_calc!$E$291="","","Right to work")</f>
        <v/>
      </c>
      <c r="D289" s="43">
        <f>IF(_calc!$E$291="","",IF(ISNUMBER(INDEX('Checks'!$F$4:$F$503,_calc!$E$291)),TEXT(INDEX('Checks'!$F$4:$F$503,_calc!$E$291),"yyyy-mm-dd"),""))</f>
        <v/>
      </c>
      <c r="E289" s="43">
        <f>IF(_calc!$E$291="","","High")</f>
        <v/>
      </c>
      <c r="F289" s="43">
        <f>IF(_calc!$E$291="","",TRIM(IF(LEN(IF(LEN(INDEX('Checks'!$B$4:$B$503,_calc!$E$291))=0,"",INDEX('Checks'!$B$4:$B$503,_calc!$E$291)))=0,"","Role: "&amp;IF(LEN(INDEX('Checks'!$B$4:$B$503,_calc!$E$291))=0,"",INDEX('Checks'!$B$4:$B$503,_calc!$E$291))&amp;". ")&amp;IF(LEN(IF(LEN(INDEX('Checks'!$D$4:$D$503,_calc!$E$291))=0,"",INDEX('Checks'!$D$4:$D$503,_calc!$E$291)))=0,"","Check type: "&amp;IF(LEN(INDEX('Checks'!$D$4:$D$503,_calc!$E$291))=0,"",INDEX('Checks'!$D$4:$D$503,_calc!$E$291))&amp;". ")&amp;IF(LEN(IF(LEN(INDEX('Checks'!$E$4:$E$503,_calc!$E$291))=0,"",INDEX('Checks'!$E$4:$E$503,_calc!$E$291)))=0,"","Evidence: "&amp;IF(LEN(INDEX('Checks'!$E$4:$E$503,_calc!$E$291))=0,"",INDEX('Checks'!$E$4:$E$503,_calc!$E$291))&amp;". ")&amp;IF(LEN(IF(LEN(INDEX('Checks'!$G$4:$G$503,_calc!$E$291))=0,"",INDEX('Checks'!$G$4:$G$503,_calc!$E$291)))=0,"","Checked by: "&amp;IF(LEN(INDEX('Checks'!$G$4:$G$503,_calc!$E$291))=0,"",INDEX('Checks'!$G$4:$G$503,_calc!$E$291))&amp;". ")&amp;IF(LEN(IF(LEN(INDEX('Checks'!$Q$4:$Q$503,_calc!$E$291))=0,"",INDEX('Checks'!$Q$4:$Q$503,_calc!$E$291)))=0,"",IF(LEN(INDEX('Checks'!$Q$4:$Q$503,_calc!$E$291))=0,"",INDEX('Checks'!$Q$4:$Q$503,_calc!$E$291)))))</f>
        <v/>
      </c>
      <c r="G289" s="43">
        <f>IF(_calc!$E$291="","",IF(LEN(INDEX('Checks'!$P$4:$P$503,_calc!$E$291))=0,"",INDEX('Checks'!$P$4:$P$503,_calc!$E$291)))</f>
        <v/>
      </c>
      <c r="K289" s="43">
        <f>IF(_calc!$E$291="","",IF(LEN(INDEX('Checks'!$O$4:$O$503,_calc!$E$291))=0,"",INDEX('Checks'!$O$4:$O$503,_calc!$E$291)))</f>
        <v/>
      </c>
    </row>
    <row r="290">
      <c r="A290" s="43">
        <f>IF(_calc!$E$292="","","Right to work follow-up – "&amp;IF(LEN(INDEX('Checks'!$A$4:$A$503,_calc!$E$292))=0,"",INDEX('Checks'!$A$4:$A$503,_calc!$E$292)))</f>
        <v/>
      </c>
      <c r="B290" s="43">
        <f>IF(_calc!$E$292="","",IF(ISNUMBER(INDEX('Checks'!$H$4:$H$503,_calc!$E$292)),TEXT(INDEX('Checks'!$H$4:$H$503,_calc!$E$292),"yyyy-mm-dd"),""))</f>
        <v/>
      </c>
      <c r="C290" s="43">
        <f>IF(_calc!$E$292="","","Right to work")</f>
        <v/>
      </c>
      <c r="D290" s="43">
        <f>IF(_calc!$E$292="","",IF(ISNUMBER(INDEX('Checks'!$F$4:$F$503,_calc!$E$292)),TEXT(INDEX('Checks'!$F$4:$F$503,_calc!$E$292),"yyyy-mm-dd"),""))</f>
        <v/>
      </c>
      <c r="E290" s="43">
        <f>IF(_calc!$E$292="","","High")</f>
        <v/>
      </c>
      <c r="F290" s="43">
        <f>IF(_calc!$E$292="","",TRIM(IF(LEN(IF(LEN(INDEX('Checks'!$B$4:$B$503,_calc!$E$292))=0,"",INDEX('Checks'!$B$4:$B$503,_calc!$E$292)))=0,"","Role: "&amp;IF(LEN(INDEX('Checks'!$B$4:$B$503,_calc!$E$292))=0,"",INDEX('Checks'!$B$4:$B$503,_calc!$E$292))&amp;". ")&amp;IF(LEN(IF(LEN(INDEX('Checks'!$D$4:$D$503,_calc!$E$292))=0,"",INDEX('Checks'!$D$4:$D$503,_calc!$E$292)))=0,"","Check type: "&amp;IF(LEN(INDEX('Checks'!$D$4:$D$503,_calc!$E$292))=0,"",INDEX('Checks'!$D$4:$D$503,_calc!$E$292))&amp;". ")&amp;IF(LEN(IF(LEN(INDEX('Checks'!$E$4:$E$503,_calc!$E$292))=0,"",INDEX('Checks'!$E$4:$E$503,_calc!$E$292)))=0,"","Evidence: "&amp;IF(LEN(INDEX('Checks'!$E$4:$E$503,_calc!$E$292))=0,"",INDEX('Checks'!$E$4:$E$503,_calc!$E$292))&amp;". ")&amp;IF(LEN(IF(LEN(INDEX('Checks'!$G$4:$G$503,_calc!$E$292))=0,"",INDEX('Checks'!$G$4:$G$503,_calc!$E$292)))=0,"","Checked by: "&amp;IF(LEN(INDEX('Checks'!$G$4:$G$503,_calc!$E$292))=0,"",INDEX('Checks'!$G$4:$G$503,_calc!$E$292))&amp;". ")&amp;IF(LEN(IF(LEN(INDEX('Checks'!$Q$4:$Q$503,_calc!$E$292))=0,"",INDEX('Checks'!$Q$4:$Q$503,_calc!$E$292)))=0,"",IF(LEN(INDEX('Checks'!$Q$4:$Q$503,_calc!$E$292))=0,"",INDEX('Checks'!$Q$4:$Q$503,_calc!$E$292)))))</f>
        <v/>
      </c>
      <c r="G290" s="43">
        <f>IF(_calc!$E$292="","",IF(LEN(INDEX('Checks'!$P$4:$P$503,_calc!$E$292))=0,"",INDEX('Checks'!$P$4:$P$503,_calc!$E$292)))</f>
        <v/>
      </c>
      <c r="K290" s="43">
        <f>IF(_calc!$E$292="","",IF(LEN(INDEX('Checks'!$O$4:$O$503,_calc!$E$292))=0,"",INDEX('Checks'!$O$4:$O$503,_calc!$E$292)))</f>
        <v/>
      </c>
    </row>
    <row r="291">
      <c r="A291" s="43">
        <f>IF(_calc!$E$293="","","Right to work follow-up – "&amp;IF(LEN(INDEX('Checks'!$A$4:$A$503,_calc!$E$293))=0,"",INDEX('Checks'!$A$4:$A$503,_calc!$E$293)))</f>
        <v/>
      </c>
      <c r="B291" s="43">
        <f>IF(_calc!$E$293="","",IF(ISNUMBER(INDEX('Checks'!$H$4:$H$503,_calc!$E$293)),TEXT(INDEX('Checks'!$H$4:$H$503,_calc!$E$293),"yyyy-mm-dd"),""))</f>
        <v/>
      </c>
      <c r="C291" s="43">
        <f>IF(_calc!$E$293="","","Right to work")</f>
        <v/>
      </c>
      <c r="D291" s="43">
        <f>IF(_calc!$E$293="","",IF(ISNUMBER(INDEX('Checks'!$F$4:$F$503,_calc!$E$293)),TEXT(INDEX('Checks'!$F$4:$F$503,_calc!$E$293),"yyyy-mm-dd"),""))</f>
        <v/>
      </c>
      <c r="E291" s="43">
        <f>IF(_calc!$E$293="","","High")</f>
        <v/>
      </c>
      <c r="F291" s="43">
        <f>IF(_calc!$E$293="","",TRIM(IF(LEN(IF(LEN(INDEX('Checks'!$B$4:$B$503,_calc!$E$293))=0,"",INDEX('Checks'!$B$4:$B$503,_calc!$E$293)))=0,"","Role: "&amp;IF(LEN(INDEX('Checks'!$B$4:$B$503,_calc!$E$293))=0,"",INDEX('Checks'!$B$4:$B$503,_calc!$E$293))&amp;". ")&amp;IF(LEN(IF(LEN(INDEX('Checks'!$D$4:$D$503,_calc!$E$293))=0,"",INDEX('Checks'!$D$4:$D$503,_calc!$E$293)))=0,"","Check type: "&amp;IF(LEN(INDEX('Checks'!$D$4:$D$503,_calc!$E$293))=0,"",INDEX('Checks'!$D$4:$D$503,_calc!$E$293))&amp;". ")&amp;IF(LEN(IF(LEN(INDEX('Checks'!$E$4:$E$503,_calc!$E$293))=0,"",INDEX('Checks'!$E$4:$E$503,_calc!$E$293)))=0,"","Evidence: "&amp;IF(LEN(INDEX('Checks'!$E$4:$E$503,_calc!$E$293))=0,"",INDEX('Checks'!$E$4:$E$503,_calc!$E$293))&amp;". ")&amp;IF(LEN(IF(LEN(INDEX('Checks'!$G$4:$G$503,_calc!$E$293))=0,"",INDEX('Checks'!$G$4:$G$503,_calc!$E$293)))=0,"","Checked by: "&amp;IF(LEN(INDEX('Checks'!$G$4:$G$503,_calc!$E$293))=0,"",INDEX('Checks'!$G$4:$G$503,_calc!$E$293))&amp;". ")&amp;IF(LEN(IF(LEN(INDEX('Checks'!$Q$4:$Q$503,_calc!$E$293))=0,"",INDEX('Checks'!$Q$4:$Q$503,_calc!$E$293)))=0,"",IF(LEN(INDEX('Checks'!$Q$4:$Q$503,_calc!$E$293))=0,"",INDEX('Checks'!$Q$4:$Q$503,_calc!$E$293)))))</f>
        <v/>
      </c>
      <c r="G291" s="43">
        <f>IF(_calc!$E$293="","",IF(LEN(INDEX('Checks'!$P$4:$P$503,_calc!$E$293))=0,"",INDEX('Checks'!$P$4:$P$503,_calc!$E$293)))</f>
        <v/>
      </c>
      <c r="K291" s="43">
        <f>IF(_calc!$E$293="","",IF(LEN(INDEX('Checks'!$O$4:$O$503,_calc!$E$293))=0,"",INDEX('Checks'!$O$4:$O$503,_calc!$E$293)))</f>
        <v/>
      </c>
    </row>
    <row r="292">
      <c r="A292" s="43">
        <f>IF(_calc!$E$294="","","Right to work follow-up – "&amp;IF(LEN(INDEX('Checks'!$A$4:$A$503,_calc!$E$294))=0,"",INDEX('Checks'!$A$4:$A$503,_calc!$E$294)))</f>
        <v/>
      </c>
      <c r="B292" s="43">
        <f>IF(_calc!$E$294="","",IF(ISNUMBER(INDEX('Checks'!$H$4:$H$503,_calc!$E$294)),TEXT(INDEX('Checks'!$H$4:$H$503,_calc!$E$294),"yyyy-mm-dd"),""))</f>
        <v/>
      </c>
      <c r="C292" s="43">
        <f>IF(_calc!$E$294="","","Right to work")</f>
        <v/>
      </c>
      <c r="D292" s="43">
        <f>IF(_calc!$E$294="","",IF(ISNUMBER(INDEX('Checks'!$F$4:$F$503,_calc!$E$294)),TEXT(INDEX('Checks'!$F$4:$F$503,_calc!$E$294),"yyyy-mm-dd"),""))</f>
        <v/>
      </c>
      <c r="E292" s="43">
        <f>IF(_calc!$E$294="","","High")</f>
        <v/>
      </c>
      <c r="F292" s="43">
        <f>IF(_calc!$E$294="","",TRIM(IF(LEN(IF(LEN(INDEX('Checks'!$B$4:$B$503,_calc!$E$294))=0,"",INDEX('Checks'!$B$4:$B$503,_calc!$E$294)))=0,"","Role: "&amp;IF(LEN(INDEX('Checks'!$B$4:$B$503,_calc!$E$294))=0,"",INDEX('Checks'!$B$4:$B$503,_calc!$E$294))&amp;". ")&amp;IF(LEN(IF(LEN(INDEX('Checks'!$D$4:$D$503,_calc!$E$294))=0,"",INDEX('Checks'!$D$4:$D$503,_calc!$E$294)))=0,"","Check type: "&amp;IF(LEN(INDEX('Checks'!$D$4:$D$503,_calc!$E$294))=0,"",INDEX('Checks'!$D$4:$D$503,_calc!$E$294))&amp;". ")&amp;IF(LEN(IF(LEN(INDEX('Checks'!$E$4:$E$503,_calc!$E$294))=0,"",INDEX('Checks'!$E$4:$E$503,_calc!$E$294)))=0,"","Evidence: "&amp;IF(LEN(INDEX('Checks'!$E$4:$E$503,_calc!$E$294))=0,"",INDEX('Checks'!$E$4:$E$503,_calc!$E$294))&amp;". ")&amp;IF(LEN(IF(LEN(INDEX('Checks'!$G$4:$G$503,_calc!$E$294))=0,"",INDEX('Checks'!$G$4:$G$503,_calc!$E$294)))=0,"","Checked by: "&amp;IF(LEN(INDEX('Checks'!$G$4:$G$503,_calc!$E$294))=0,"",INDEX('Checks'!$G$4:$G$503,_calc!$E$294))&amp;". ")&amp;IF(LEN(IF(LEN(INDEX('Checks'!$Q$4:$Q$503,_calc!$E$294))=0,"",INDEX('Checks'!$Q$4:$Q$503,_calc!$E$294)))=0,"",IF(LEN(INDEX('Checks'!$Q$4:$Q$503,_calc!$E$294))=0,"",INDEX('Checks'!$Q$4:$Q$503,_calc!$E$294)))))</f>
        <v/>
      </c>
      <c r="G292" s="43">
        <f>IF(_calc!$E$294="","",IF(LEN(INDEX('Checks'!$P$4:$P$503,_calc!$E$294))=0,"",INDEX('Checks'!$P$4:$P$503,_calc!$E$294)))</f>
        <v/>
      </c>
      <c r="K292" s="43">
        <f>IF(_calc!$E$294="","",IF(LEN(INDEX('Checks'!$O$4:$O$503,_calc!$E$294))=0,"",INDEX('Checks'!$O$4:$O$503,_calc!$E$294)))</f>
        <v/>
      </c>
    </row>
    <row r="293">
      <c r="A293" s="43">
        <f>IF(_calc!$E$295="","","Right to work follow-up – "&amp;IF(LEN(INDEX('Checks'!$A$4:$A$503,_calc!$E$295))=0,"",INDEX('Checks'!$A$4:$A$503,_calc!$E$295)))</f>
        <v/>
      </c>
      <c r="B293" s="43">
        <f>IF(_calc!$E$295="","",IF(ISNUMBER(INDEX('Checks'!$H$4:$H$503,_calc!$E$295)),TEXT(INDEX('Checks'!$H$4:$H$503,_calc!$E$295),"yyyy-mm-dd"),""))</f>
        <v/>
      </c>
      <c r="C293" s="43">
        <f>IF(_calc!$E$295="","","Right to work")</f>
        <v/>
      </c>
      <c r="D293" s="43">
        <f>IF(_calc!$E$295="","",IF(ISNUMBER(INDEX('Checks'!$F$4:$F$503,_calc!$E$295)),TEXT(INDEX('Checks'!$F$4:$F$503,_calc!$E$295),"yyyy-mm-dd"),""))</f>
        <v/>
      </c>
      <c r="E293" s="43">
        <f>IF(_calc!$E$295="","","High")</f>
        <v/>
      </c>
      <c r="F293" s="43">
        <f>IF(_calc!$E$295="","",TRIM(IF(LEN(IF(LEN(INDEX('Checks'!$B$4:$B$503,_calc!$E$295))=0,"",INDEX('Checks'!$B$4:$B$503,_calc!$E$295)))=0,"","Role: "&amp;IF(LEN(INDEX('Checks'!$B$4:$B$503,_calc!$E$295))=0,"",INDEX('Checks'!$B$4:$B$503,_calc!$E$295))&amp;". ")&amp;IF(LEN(IF(LEN(INDEX('Checks'!$D$4:$D$503,_calc!$E$295))=0,"",INDEX('Checks'!$D$4:$D$503,_calc!$E$295)))=0,"","Check type: "&amp;IF(LEN(INDEX('Checks'!$D$4:$D$503,_calc!$E$295))=0,"",INDEX('Checks'!$D$4:$D$503,_calc!$E$295))&amp;". ")&amp;IF(LEN(IF(LEN(INDEX('Checks'!$E$4:$E$503,_calc!$E$295))=0,"",INDEX('Checks'!$E$4:$E$503,_calc!$E$295)))=0,"","Evidence: "&amp;IF(LEN(INDEX('Checks'!$E$4:$E$503,_calc!$E$295))=0,"",INDEX('Checks'!$E$4:$E$503,_calc!$E$295))&amp;". ")&amp;IF(LEN(IF(LEN(INDEX('Checks'!$G$4:$G$503,_calc!$E$295))=0,"",INDEX('Checks'!$G$4:$G$503,_calc!$E$295)))=0,"","Checked by: "&amp;IF(LEN(INDEX('Checks'!$G$4:$G$503,_calc!$E$295))=0,"",INDEX('Checks'!$G$4:$G$503,_calc!$E$295))&amp;". ")&amp;IF(LEN(IF(LEN(INDEX('Checks'!$Q$4:$Q$503,_calc!$E$295))=0,"",INDEX('Checks'!$Q$4:$Q$503,_calc!$E$295)))=0,"",IF(LEN(INDEX('Checks'!$Q$4:$Q$503,_calc!$E$295))=0,"",INDEX('Checks'!$Q$4:$Q$503,_calc!$E$295)))))</f>
        <v/>
      </c>
      <c r="G293" s="43">
        <f>IF(_calc!$E$295="","",IF(LEN(INDEX('Checks'!$P$4:$P$503,_calc!$E$295))=0,"",INDEX('Checks'!$P$4:$P$503,_calc!$E$295)))</f>
        <v/>
      </c>
      <c r="K293" s="43">
        <f>IF(_calc!$E$295="","",IF(LEN(INDEX('Checks'!$O$4:$O$503,_calc!$E$295))=0,"",INDEX('Checks'!$O$4:$O$503,_calc!$E$295)))</f>
        <v/>
      </c>
    </row>
    <row r="294">
      <c r="A294" s="43">
        <f>IF(_calc!$E$296="","","Right to work follow-up – "&amp;IF(LEN(INDEX('Checks'!$A$4:$A$503,_calc!$E$296))=0,"",INDEX('Checks'!$A$4:$A$503,_calc!$E$296)))</f>
        <v/>
      </c>
      <c r="B294" s="43">
        <f>IF(_calc!$E$296="","",IF(ISNUMBER(INDEX('Checks'!$H$4:$H$503,_calc!$E$296)),TEXT(INDEX('Checks'!$H$4:$H$503,_calc!$E$296),"yyyy-mm-dd"),""))</f>
        <v/>
      </c>
      <c r="C294" s="43">
        <f>IF(_calc!$E$296="","","Right to work")</f>
        <v/>
      </c>
      <c r="D294" s="43">
        <f>IF(_calc!$E$296="","",IF(ISNUMBER(INDEX('Checks'!$F$4:$F$503,_calc!$E$296)),TEXT(INDEX('Checks'!$F$4:$F$503,_calc!$E$296),"yyyy-mm-dd"),""))</f>
        <v/>
      </c>
      <c r="E294" s="43">
        <f>IF(_calc!$E$296="","","High")</f>
        <v/>
      </c>
      <c r="F294" s="43">
        <f>IF(_calc!$E$296="","",TRIM(IF(LEN(IF(LEN(INDEX('Checks'!$B$4:$B$503,_calc!$E$296))=0,"",INDEX('Checks'!$B$4:$B$503,_calc!$E$296)))=0,"","Role: "&amp;IF(LEN(INDEX('Checks'!$B$4:$B$503,_calc!$E$296))=0,"",INDEX('Checks'!$B$4:$B$503,_calc!$E$296))&amp;". ")&amp;IF(LEN(IF(LEN(INDEX('Checks'!$D$4:$D$503,_calc!$E$296))=0,"",INDEX('Checks'!$D$4:$D$503,_calc!$E$296)))=0,"","Check type: "&amp;IF(LEN(INDEX('Checks'!$D$4:$D$503,_calc!$E$296))=0,"",INDEX('Checks'!$D$4:$D$503,_calc!$E$296))&amp;". ")&amp;IF(LEN(IF(LEN(INDEX('Checks'!$E$4:$E$503,_calc!$E$296))=0,"",INDEX('Checks'!$E$4:$E$503,_calc!$E$296)))=0,"","Evidence: "&amp;IF(LEN(INDEX('Checks'!$E$4:$E$503,_calc!$E$296))=0,"",INDEX('Checks'!$E$4:$E$503,_calc!$E$296))&amp;". ")&amp;IF(LEN(IF(LEN(INDEX('Checks'!$G$4:$G$503,_calc!$E$296))=0,"",INDEX('Checks'!$G$4:$G$503,_calc!$E$296)))=0,"","Checked by: "&amp;IF(LEN(INDEX('Checks'!$G$4:$G$503,_calc!$E$296))=0,"",INDEX('Checks'!$G$4:$G$503,_calc!$E$296))&amp;". ")&amp;IF(LEN(IF(LEN(INDEX('Checks'!$Q$4:$Q$503,_calc!$E$296))=0,"",INDEX('Checks'!$Q$4:$Q$503,_calc!$E$296)))=0,"",IF(LEN(INDEX('Checks'!$Q$4:$Q$503,_calc!$E$296))=0,"",INDEX('Checks'!$Q$4:$Q$503,_calc!$E$296)))))</f>
        <v/>
      </c>
      <c r="G294" s="43">
        <f>IF(_calc!$E$296="","",IF(LEN(INDEX('Checks'!$P$4:$P$503,_calc!$E$296))=0,"",INDEX('Checks'!$P$4:$P$503,_calc!$E$296)))</f>
        <v/>
      </c>
      <c r="K294" s="43">
        <f>IF(_calc!$E$296="","",IF(LEN(INDEX('Checks'!$O$4:$O$503,_calc!$E$296))=0,"",INDEX('Checks'!$O$4:$O$503,_calc!$E$296)))</f>
        <v/>
      </c>
    </row>
    <row r="295">
      <c r="A295" s="43">
        <f>IF(_calc!$E$297="","","Right to work follow-up – "&amp;IF(LEN(INDEX('Checks'!$A$4:$A$503,_calc!$E$297))=0,"",INDEX('Checks'!$A$4:$A$503,_calc!$E$297)))</f>
        <v/>
      </c>
      <c r="B295" s="43">
        <f>IF(_calc!$E$297="","",IF(ISNUMBER(INDEX('Checks'!$H$4:$H$503,_calc!$E$297)),TEXT(INDEX('Checks'!$H$4:$H$503,_calc!$E$297),"yyyy-mm-dd"),""))</f>
        <v/>
      </c>
      <c r="C295" s="43">
        <f>IF(_calc!$E$297="","","Right to work")</f>
        <v/>
      </c>
      <c r="D295" s="43">
        <f>IF(_calc!$E$297="","",IF(ISNUMBER(INDEX('Checks'!$F$4:$F$503,_calc!$E$297)),TEXT(INDEX('Checks'!$F$4:$F$503,_calc!$E$297),"yyyy-mm-dd"),""))</f>
        <v/>
      </c>
      <c r="E295" s="43">
        <f>IF(_calc!$E$297="","","High")</f>
        <v/>
      </c>
      <c r="F295" s="43">
        <f>IF(_calc!$E$297="","",TRIM(IF(LEN(IF(LEN(INDEX('Checks'!$B$4:$B$503,_calc!$E$297))=0,"",INDEX('Checks'!$B$4:$B$503,_calc!$E$297)))=0,"","Role: "&amp;IF(LEN(INDEX('Checks'!$B$4:$B$503,_calc!$E$297))=0,"",INDEX('Checks'!$B$4:$B$503,_calc!$E$297))&amp;". ")&amp;IF(LEN(IF(LEN(INDEX('Checks'!$D$4:$D$503,_calc!$E$297))=0,"",INDEX('Checks'!$D$4:$D$503,_calc!$E$297)))=0,"","Check type: "&amp;IF(LEN(INDEX('Checks'!$D$4:$D$503,_calc!$E$297))=0,"",INDEX('Checks'!$D$4:$D$503,_calc!$E$297))&amp;". ")&amp;IF(LEN(IF(LEN(INDEX('Checks'!$E$4:$E$503,_calc!$E$297))=0,"",INDEX('Checks'!$E$4:$E$503,_calc!$E$297)))=0,"","Evidence: "&amp;IF(LEN(INDEX('Checks'!$E$4:$E$503,_calc!$E$297))=0,"",INDEX('Checks'!$E$4:$E$503,_calc!$E$297))&amp;". ")&amp;IF(LEN(IF(LEN(INDEX('Checks'!$G$4:$G$503,_calc!$E$297))=0,"",INDEX('Checks'!$G$4:$G$503,_calc!$E$297)))=0,"","Checked by: "&amp;IF(LEN(INDEX('Checks'!$G$4:$G$503,_calc!$E$297))=0,"",INDEX('Checks'!$G$4:$G$503,_calc!$E$297))&amp;". ")&amp;IF(LEN(IF(LEN(INDEX('Checks'!$Q$4:$Q$503,_calc!$E$297))=0,"",INDEX('Checks'!$Q$4:$Q$503,_calc!$E$297)))=0,"",IF(LEN(INDEX('Checks'!$Q$4:$Q$503,_calc!$E$297))=0,"",INDEX('Checks'!$Q$4:$Q$503,_calc!$E$297)))))</f>
        <v/>
      </c>
      <c r="G295" s="43">
        <f>IF(_calc!$E$297="","",IF(LEN(INDEX('Checks'!$P$4:$P$503,_calc!$E$297))=0,"",INDEX('Checks'!$P$4:$P$503,_calc!$E$297)))</f>
        <v/>
      </c>
      <c r="K295" s="43">
        <f>IF(_calc!$E$297="","",IF(LEN(INDEX('Checks'!$O$4:$O$503,_calc!$E$297))=0,"",INDEX('Checks'!$O$4:$O$503,_calc!$E$297)))</f>
        <v/>
      </c>
    </row>
    <row r="296">
      <c r="A296" s="43">
        <f>IF(_calc!$E$298="","","Right to work follow-up – "&amp;IF(LEN(INDEX('Checks'!$A$4:$A$503,_calc!$E$298))=0,"",INDEX('Checks'!$A$4:$A$503,_calc!$E$298)))</f>
        <v/>
      </c>
      <c r="B296" s="43">
        <f>IF(_calc!$E$298="","",IF(ISNUMBER(INDEX('Checks'!$H$4:$H$503,_calc!$E$298)),TEXT(INDEX('Checks'!$H$4:$H$503,_calc!$E$298),"yyyy-mm-dd"),""))</f>
        <v/>
      </c>
      <c r="C296" s="43">
        <f>IF(_calc!$E$298="","","Right to work")</f>
        <v/>
      </c>
      <c r="D296" s="43">
        <f>IF(_calc!$E$298="","",IF(ISNUMBER(INDEX('Checks'!$F$4:$F$503,_calc!$E$298)),TEXT(INDEX('Checks'!$F$4:$F$503,_calc!$E$298),"yyyy-mm-dd"),""))</f>
        <v/>
      </c>
      <c r="E296" s="43">
        <f>IF(_calc!$E$298="","","High")</f>
        <v/>
      </c>
      <c r="F296" s="43">
        <f>IF(_calc!$E$298="","",TRIM(IF(LEN(IF(LEN(INDEX('Checks'!$B$4:$B$503,_calc!$E$298))=0,"",INDEX('Checks'!$B$4:$B$503,_calc!$E$298)))=0,"","Role: "&amp;IF(LEN(INDEX('Checks'!$B$4:$B$503,_calc!$E$298))=0,"",INDEX('Checks'!$B$4:$B$503,_calc!$E$298))&amp;". ")&amp;IF(LEN(IF(LEN(INDEX('Checks'!$D$4:$D$503,_calc!$E$298))=0,"",INDEX('Checks'!$D$4:$D$503,_calc!$E$298)))=0,"","Check type: "&amp;IF(LEN(INDEX('Checks'!$D$4:$D$503,_calc!$E$298))=0,"",INDEX('Checks'!$D$4:$D$503,_calc!$E$298))&amp;". ")&amp;IF(LEN(IF(LEN(INDEX('Checks'!$E$4:$E$503,_calc!$E$298))=0,"",INDEX('Checks'!$E$4:$E$503,_calc!$E$298)))=0,"","Evidence: "&amp;IF(LEN(INDEX('Checks'!$E$4:$E$503,_calc!$E$298))=0,"",INDEX('Checks'!$E$4:$E$503,_calc!$E$298))&amp;". ")&amp;IF(LEN(IF(LEN(INDEX('Checks'!$G$4:$G$503,_calc!$E$298))=0,"",INDEX('Checks'!$G$4:$G$503,_calc!$E$298)))=0,"","Checked by: "&amp;IF(LEN(INDEX('Checks'!$G$4:$G$503,_calc!$E$298))=0,"",INDEX('Checks'!$G$4:$G$503,_calc!$E$298))&amp;". ")&amp;IF(LEN(IF(LEN(INDEX('Checks'!$Q$4:$Q$503,_calc!$E$298))=0,"",INDEX('Checks'!$Q$4:$Q$503,_calc!$E$298)))=0,"",IF(LEN(INDEX('Checks'!$Q$4:$Q$503,_calc!$E$298))=0,"",INDEX('Checks'!$Q$4:$Q$503,_calc!$E$298)))))</f>
        <v/>
      </c>
      <c r="G296" s="43">
        <f>IF(_calc!$E$298="","",IF(LEN(INDEX('Checks'!$P$4:$P$503,_calc!$E$298))=0,"",INDEX('Checks'!$P$4:$P$503,_calc!$E$298)))</f>
        <v/>
      </c>
      <c r="K296" s="43">
        <f>IF(_calc!$E$298="","",IF(LEN(INDEX('Checks'!$O$4:$O$503,_calc!$E$298))=0,"",INDEX('Checks'!$O$4:$O$503,_calc!$E$298)))</f>
        <v/>
      </c>
    </row>
    <row r="297">
      <c r="A297" s="43">
        <f>IF(_calc!$E$299="","","Right to work follow-up – "&amp;IF(LEN(INDEX('Checks'!$A$4:$A$503,_calc!$E$299))=0,"",INDEX('Checks'!$A$4:$A$503,_calc!$E$299)))</f>
        <v/>
      </c>
      <c r="B297" s="43">
        <f>IF(_calc!$E$299="","",IF(ISNUMBER(INDEX('Checks'!$H$4:$H$503,_calc!$E$299)),TEXT(INDEX('Checks'!$H$4:$H$503,_calc!$E$299),"yyyy-mm-dd"),""))</f>
        <v/>
      </c>
      <c r="C297" s="43">
        <f>IF(_calc!$E$299="","","Right to work")</f>
        <v/>
      </c>
      <c r="D297" s="43">
        <f>IF(_calc!$E$299="","",IF(ISNUMBER(INDEX('Checks'!$F$4:$F$503,_calc!$E$299)),TEXT(INDEX('Checks'!$F$4:$F$503,_calc!$E$299),"yyyy-mm-dd"),""))</f>
        <v/>
      </c>
      <c r="E297" s="43">
        <f>IF(_calc!$E$299="","","High")</f>
        <v/>
      </c>
      <c r="F297" s="43">
        <f>IF(_calc!$E$299="","",TRIM(IF(LEN(IF(LEN(INDEX('Checks'!$B$4:$B$503,_calc!$E$299))=0,"",INDEX('Checks'!$B$4:$B$503,_calc!$E$299)))=0,"","Role: "&amp;IF(LEN(INDEX('Checks'!$B$4:$B$503,_calc!$E$299))=0,"",INDEX('Checks'!$B$4:$B$503,_calc!$E$299))&amp;". ")&amp;IF(LEN(IF(LEN(INDEX('Checks'!$D$4:$D$503,_calc!$E$299))=0,"",INDEX('Checks'!$D$4:$D$503,_calc!$E$299)))=0,"","Check type: "&amp;IF(LEN(INDEX('Checks'!$D$4:$D$503,_calc!$E$299))=0,"",INDEX('Checks'!$D$4:$D$503,_calc!$E$299))&amp;". ")&amp;IF(LEN(IF(LEN(INDEX('Checks'!$E$4:$E$503,_calc!$E$299))=0,"",INDEX('Checks'!$E$4:$E$503,_calc!$E$299)))=0,"","Evidence: "&amp;IF(LEN(INDEX('Checks'!$E$4:$E$503,_calc!$E$299))=0,"",INDEX('Checks'!$E$4:$E$503,_calc!$E$299))&amp;". ")&amp;IF(LEN(IF(LEN(INDEX('Checks'!$G$4:$G$503,_calc!$E$299))=0,"",INDEX('Checks'!$G$4:$G$503,_calc!$E$299)))=0,"","Checked by: "&amp;IF(LEN(INDEX('Checks'!$G$4:$G$503,_calc!$E$299))=0,"",INDEX('Checks'!$G$4:$G$503,_calc!$E$299))&amp;". ")&amp;IF(LEN(IF(LEN(INDEX('Checks'!$Q$4:$Q$503,_calc!$E$299))=0,"",INDEX('Checks'!$Q$4:$Q$503,_calc!$E$299)))=0,"",IF(LEN(INDEX('Checks'!$Q$4:$Q$503,_calc!$E$299))=0,"",INDEX('Checks'!$Q$4:$Q$503,_calc!$E$299)))))</f>
        <v/>
      </c>
      <c r="G297" s="43">
        <f>IF(_calc!$E$299="","",IF(LEN(INDEX('Checks'!$P$4:$P$503,_calc!$E$299))=0,"",INDEX('Checks'!$P$4:$P$503,_calc!$E$299)))</f>
        <v/>
      </c>
      <c r="K297" s="43">
        <f>IF(_calc!$E$299="","",IF(LEN(INDEX('Checks'!$O$4:$O$503,_calc!$E$299))=0,"",INDEX('Checks'!$O$4:$O$503,_calc!$E$299)))</f>
        <v/>
      </c>
    </row>
    <row r="298">
      <c r="A298" s="43">
        <f>IF(_calc!$E$300="","","Right to work follow-up – "&amp;IF(LEN(INDEX('Checks'!$A$4:$A$503,_calc!$E$300))=0,"",INDEX('Checks'!$A$4:$A$503,_calc!$E$300)))</f>
        <v/>
      </c>
      <c r="B298" s="43">
        <f>IF(_calc!$E$300="","",IF(ISNUMBER(INDEX('Checks'!$H$4:$H$503,_calc!$E$300)),TEXT(INDEX('Checks'!$H$4:$H$503,_calc!$E$300),"yyyy-mm-dd"),""))</f>
        <v/>
      </c>
      <c r="C298" s="43">
        <f>IF(_calc!$E$300="","","Right to work")</f>
        <v/>
      </c>
      <c r="D298" s="43">
        <f>IF(_calc!$E$300="","",IF(ISNUMBER(INDEX('Checks'!$F$4:$F$503,_calc!$E$300)),TEXT(INDEX('Checks'!$F$4:$F$503,_calc!$E$300),"yyyy-mm-dd"),""))</f>
        <v/>
      </c>
      <c r="E298" s="43">
        <f>IF(_calc!$E$300="","","High")</f>
        <v/>
      </c>
      <c r="F298" s="43">
        <f>IF(_calc!$E$300="","",TRIM(IF(LEN(IF(LEN(INDEX('Checks'!$B$4:$B$503,_calc!$E$300))=0,"",INDEX('Checks'!$B$4:$B$503,_calc!$E$300)))=0,"","Role: "&amp;IF(LEN(INDEX('Checks'!$B$4:$B$503,_calc!$E$300))=0,"",INDEX('Checks'!$B$4:$B$503,_calc!$E$300))&amp;". ")&amp;IF(LEN(IF(LEN(INDEX('Checks'!$D$4:$D$503,_calc!$E$300))=0,"",INDEX('Checks'!$D$4:$D$503,_calc!$E$300)))=0,"","Check type: "&amp;IF(LEN(INDEX('Checks'!$D$4:$D$503,_calc!$E$300))=0,"",INDEX('Checks'!$D$4:$D$503,_calc!$E$300))&amp;". ")&amp;IF(LEN(IF(LEN(INDEX('Checks'!$E$4:$E$503,_calc!$E$300))=0,"",INDEX('Checks'!$E$4:$E$503,_calc!$E$300)))=0,"","Evidence: "&amp;IF(LEN(INDEX('Checks'!$E$4:$E$503,_calc!$E$300))=0,"",INDEX('Checks'!$E$4:$E$503,_calc!$E$300))&amp;". ")&amp;IF(LEN(IF(LEN(INDEX('Checks'!$G$4:$G$503,_calc!$E$300))=0,"",INDEX('Checks'!$G$4:$G$503,_calc!$E$300)))=0,"","Checked by: "&amp;IF(LEN(INDEX('Checks'!$G$4:$G$503,_calc!$E$300))=0,"",INDEX('Checks'!$G$4:$G$503,_calc!$E$300))&amp;". ")&amp;IF(LEN(IF(LEN(INDEX('Checks'!$Q$4:$Q$503,_calc!$E$300))=0,"",INDEX('Checks'!$Q$4:$Q$503,_calc!$E$300)))=0,"",IF(LEN(INDEX('Checks'!$Q$4:$Q$503,_calc!$E$300))=0,"",INDEX('Checks'!$Q$4:$Q$503,_calc!$E$300)))))</f>
        <v/>
      </c>
      <c r="G298" s="43">
        <f>IF(_calc!$E$300="","",IF(LEN(INDEX('Checks'!$P$4:$P$503,_calc!$E$300))=0,"",INDEX('Checks'!$P$4:$P$503,_calc!$E$300)))</f>
        <v/>
      </c>
      <c r="K298" s="43">
        <f>IF(_calc!$E$300="","",IF(LEN(INDEX('Checks'!$O$4:$O$503,_calc!$E$300))=0,"",INDEX('Checks'!$O$4:$O$503,_calc!$E$300)))</f>
        <v/>
      </c>
    </row>
    <row r="299">
      <c r="A299" s="43">
        <f>IF(_calc!$E$301="","","Right to work follow-up – "&amp;IF(LEN(INDEX('Checks'!$A$4:$A$503,_calc!$E$301))=0,"",INDEX('Checks'!$A$4:$A$503,_calc!$E$301)))</f>
        <v/>
      </c>
      <c r="B299" s="43">
        <f>IF(_calc!$E$301="","",IF(ISNUMBER(INDEX('Checks'!$H$4:$H$503,_calc!$E$301)),TEXT(INDEX('Checks'!$H$4:$H$503,_calc!$E$301),"yyyy-mm-dd"),""))</f>
        <v/>
      </c>
      <c r="C299" s="43">
        <f>IF(_calc!$E$301="","","Right to work")</f>
        <v/>
      </c>
      <c r="D299" s="43">
        <f>IF(_calc!$E$301="","",IF(ISNUMBER(INDEX('Checks'!$F$4:$F$503,_calc!$E$301)),TEXT(INDEX('Checks'!$F$4:$F$503,_calc!$E$301),"yyyy-mm-dd"),""))</f>
        <v/>
      </c>
      <c r="E299" s="43">
        <f>IF(_calc!$E$301="","","High")</f>
        <v/>
      </c>
      <c r="F299" s="43">
        <f>IF(_calc!$E$301="","",TRIM(IF(LEN(IF(LEN(INDEX('Checks'!$B$4:$B$503,_calc!$E$301))=0,"",INDEX('Checks'!$B$4:$B$503,_calc!$E$301)))=0,"","Role: "&amp;IF(LEN(INDEX('Checks'!$B$4:$B$503,_calc!$E$301))=0,"",INDEX('Checks'!$B$4:$B$503,_calc!$E$301))&amp;". ")&amp;IF(LEN(IF(LEN(INDEX('Checks'!$D$4:$D$503,_calc!$E$301))=0,"",INDEX('Checks'!$D$4:$D$503,_calc!$E$301)))=0,"","Check type: "&amp;IF(LEN(INDEX('Checks'!$D$4:$D$503,_calc!$E$301))=0,"",INDEX('Checks'!$D$4:$D$503,_calc!$E$301))&amp;". ")&amp;IF(LEN(IF(LEN(INDEX('Checks'!$E$4:$E$503,_calc!$E$301))=0,"",INDEX('Checks'!$E$4:$E$503,_calc!$E$301)))=0,"","Evidence: "&amp;IF(LEN(INDEX('Checks'!$E$4:$E$503,_calc!$E$301))=0,"",INDEX('Checks'!$E$4:$E$503,_calc!$E$301))&amp;". ")&amp;IF(LEN(IF(LEN(INDEX('Checks'!$G$4:$G$503,_calc!$E$301))=0,"",INDEX('Checks'!$G$4:$G$503,_calc!$E$301)))=0,"","Checked by: "&amp;IF(LEN(INDEX('Checks'!$G$4:$G$503,_calc!$E$301))=0,"",INDEX('Checks'!$G$4:$G$503,_calc!$E$301))&amp;". ")&amp;IF(LEN(IF(LEN(INDEX('Checks'!$Q$4:$Q$503,_calc!$E$301))=0,"",INDEX('Checks'!$Q$4:$Q$503,_calc!$E$301)))=0,"",IF(LEN(INDEX('Checks'!$Q$4:$Q$503,_calc!$E$301))=0,"",INDEX('Checks'!$Q$4:$Q$503,_calc!$E$301)))))</f>
        <v/>
      </c>
      <c r="G299" s="43">
        <f>IF(_calc!$E$301="","",IF(LEN(INDEX('Checks'!$P$4:$P$503,_calc!$E$301))=0,"",INDEX('Checks'!$P$4:$P$503,_calc!$E$301)))</f>
        <v/>
      </c>
      <c r="K299" s="43">
        <f>IF(_calc!$E$301="","",IF(LEN(INDEX('Checks'!$O$4:$O$503,_calc!$E$301))=0,"",INDEX('Checks'!$O$4:$O$503,_calc!$E$301)))</f>
        <v/>
      </c>
    </row>
    <row r="300">
      <c r="A300" s="43">
        <f>IF(_calc!$E$302="","","Right to work follow-up – "&amp;IF(LEN(INDEX('Checks'!$A$4:$A$503,_calc!$E$302))=0,"",INDEX('Checks'!$A$4:$A$503,_calc!$E$302)))</f>
        <v/>
      </c>
      <c r="B300" s="43">
        <f>IF(_calc!$E$302="","",IF(ISNUMBER(INDEX('Checks'!$H$4:$H$503,_calc!$E$302)),TEXT(INDEX('Checks'!$H$4:$H$503,_calc!$E$302),"yyyy-mm-dd"),""))</f>
        <v/>
      </c>
      <c r="C300" s="43">
        <f>IF(_calc!$E$302="","","Right to work")</f>
        <v/>
      </c>
      <c r="D300" s="43">
        <f>IF(_calc!$E$302="","",IF(ISNUMBER(INDEX('Checks'!$F$4:$F$503,_calc!$E$302)),TEXT(INDEX('Checks'!$F$4:$F$503,_calc!$E$302),"yyyy-mm-dd"),""))</f>
        <v/>
      </c>
      <c r="E300" s="43">
        <f>IF(_calc!$E$302="","","High")</f>
        <v/>
      </c>
      <c r="F300" s="43">
        <f>IF(_calc!$E$302="","",TRIM(IF(LEN(IF(LEN(INDEX('Checks'!$B$4:$B$503,_calc!$E$302))=0,"",INDEX('Checks'!$B$4:$B$503,_calc!$E$302)))=0,"","Role: "&amp;IF(LEN(INDEX('Checks'!$B$4:$B$503,_calc!$E$302))=0,"",INDEX('Checks'!$B$4:$B$503,_calc!$E$302))&amp;". ")&amp;IF(LEN(IF(LEN(INDEX('Checks'!$D$4:$D$503,_calc!$E$302))=0,"",INDEX('Checks'!$D$4:$D$503,_calc!$E$302)))=0,"","Check type: "&amp;IF(LEN(INDEX('Checks'!$D$4:$D$503,_calc!$E$302))=0,"",INDEX('Checks'!$D$4:$D$503,_calc!$E$302))&amp;". ")&amp;IF(LEN(IF(LEN(INDEX('Checks'!$E$4:$E$503,_calc!$E$302))=0,"",INDEX('Checks'!$E$4:$E$503,_calc!$E$302)))=0,"","Evidence: "&amp;IF(LEN(INDEX('Checks'!$E$4:$E$503,_calc!$E$302))=0,"",INDEX('Checks'!$E$4:$E$503,_calc!$E$302))&amp;". ")&amp;IF(LEN(IF(LEN(INDEX('Checks'!$G$4:$G$503,_calc!$E$302))=0,"",INDEX('Checks'!$G$4:$G$503,_calc!$E$302)))=0,"","Checked by: "&amp;IF(LEN(INDEX('Checks'!$G$4:$G$503,_calc!$E$302))=0,"",INDEX('Checks'!$G$4:$G$503,_calc!$E$302))&amp;". ")&amp;IF(LEN(IF(LEN(INDEX('Checks'!$Q$4:$Q$503,_calc!$E$302))=0,"",INDEX('Checks'!$Q$4:$Q$503,_calc!$E$302)))=0,"",IF(LEN(INDEX('Checks'!$Q$4:$Q$503,_calc!$E$302))=0,"",INDEX('Checks'!$Q$4:$Q$503,_calc!$E$302)))))</f>
        <v/>
      </c>
      <c r="G300" s="43">
        <f>IF(_calc!$E$302="","",IF(LEN(INDEX('Checks'!$P$4:$P$503,_calc!$E$302))=0,"",INDEX('Checks'!$P$4:$P$503,_calc!$E$302)))</f>
        <v/>
      </c>
      <c r="K300" s="43">
        <f>IF(_calc!$E$302="","",IF(LEN(INDEX('Checks'!$O$4:$O$503,_calc!$E$302))=0,"",INDEX('Checks'!$O$4:$O$503,_calc!$E$302)))</f>
        <v/>
      </c>
    </row>
    <row r="301">
      <c r="A301" s="43">
        <f>IF(_calc!$E$303="","","Right to work follow-up – "&amp;IF(LEN(INDEX('Checks'!$A$4:$A$503,_calc!$E$303))=0,"",INDEX('Checks'!$A$4:$A$503,_calc!$E$303)))</f>
        <v/>
      </c>
      <c r="B301" s="43">
        <f>IF(_calc!$E$303="","",IF(ISNUMBER(INDEX('Checks'!$H$4:$H$503,_calc!$E$303)),TEXT(INDEX('Checks'!$H$4:$H$503,_calc!$E$303),"yyyy-mm-dd"),""))</f>
        <v/>
      </c>
      <c r="C301" s="43">
        <f>IF(_calc!$E$303="","","Right to work")</f>
        <v/>
      </c>
      <c r="D301" s="43">
        <f>IF(_calc!$E$303="","",IF(ISNUMBER(INDEX('Checks'!$F$4:$F$503,_calc!$E$303)),TEXT(INDEX('Checks'!$F$4:$F$503,_calc!$E$303),"yyyy-mm-dd"),""))</f>
        <v/>
      </c>
      <c r="E301" s="43">
        <f>IF(_calc!$E$303="","","High")</f>
        <v/>
      </c>
      <c r="F301" s="43">
        <f>IF(_calc!$E$303="","",TRIM(IF(LEN(IF(LEN(INDEX('Checks'!$B$4:$B$503,_calc!$E$303))=0,"",INDEX('Checks'!$B$4:$B$503,_calc!$E$303)))=0,"","Role: "&amp;IF(LEN(INDEX('Checks'!$B$4:$B$503,_calc!$E$303))=0,"",INDEX('Checks'!$B$4:$B$503,_calc!$E$303))&amp;". ")&amp;IF(LEN(IF(LEN(INDEX('Checks'!$D$4:$D$503,_calc!$E$303))=0,"",INDEX('Checks'!$D$4:$D$503,_calc!$E$303)))=0,"","Check type: "&amp;IF(LEN(INDEX('Checks'!$D$4:$D$503,_calc!$E$303))=0,"",INDEX('Checks'!$D$4:$D$503,_calc!$E$303))&amp;". ")&amp;IF(LEN(IF(LEN(INDEX('Checks'!$E$4:$E$503,_calc!$E$303))=0,"",INDEX('Checks'!$E$4:$E$503,_calc!$E$303)))=0,"","Evidence: "&amp;IF(LEN(INDEX('Checks'!$E$4:$E$503,_calc!$E$303))=0,"",INDEX('Checks'!$E$4:$E$503,_calc!$E$303))&amp;". ")&amp;IF(LEN(IF(LEN(INDEX('Checks'!$G$4:$G$503,_calc!$E$303))=0,"",INDEX('Checks'!$G$4:$G$503,_calc!$E$303)))=0,"","Checked by: "&amp;IF(LEN(INDEX('Checks'!$G$4:$G$503,_calc!$E$303))=0,"",INDEX('Checks'!$G$4:$G$503,_calc!$E$303))&amp;". ")&amp;IF(LEN(IF(LEN(INDEX('Checks'!$Q$4:$Q$503,_calc!$E$303))=0,"",INDEX('Checks'!$Q$4:$Q$503,_calc!$E$303)))=0,"",IF(LEN(INDEX('Checks'!$Q$4:$Q$503,_calc!$E$303))=0,"",INDEX('Checks'!$Q$4:$Q$503,_calc!$E$303)))))</f>
        <v/>
      </c>
      <c r="G301" s="43">
        <f>IF(_calc!$E$303="","",IF(LEN(INDEX('Checks'!$P$4:$P$503,_calc!$E$303))=0,"",INDEX('Checks'!$P$4:$P$503,_calc!$E$303)))</f>
        <v/>
      </c>
      <c r="K301" s="43">
        <f>IF(_calc!$E$303="","",IF(LEN(INDEX('Checks'!$O$4:$O$503,_calc!$E$303))=0,"",INDEX('Checks'!$O$4:$O$503,_calc!$E$303)))</f>
        <v/>
      </c>
    </row>
    <row r="302">
      <c r="A302" s="43">
        <f>IF(_calc!$E$304="","","Right to work follow-up – "&amp;IF(LEN(INDEX('Checks'!$A$4:$A$503,_calc!$E$304))=0,"",INDEX('Checks'!$A$4:$A$503,_calc!$E$304)))</f>
        <v/>
      </c>
      <c r="B302" s="43">
        <f>IF(_calc!$E$304="","",IF(ISNUMBER(INDEX('Checks'!$H$4:$H$503,_calc!$E$304)),TEXT(INDEX('Checks'!$H$4:$H$503,_calc!$E$304),"yyyy-mm-dd"),""))</f>
        <v/>
      </c>
      <c r="C302" s="43">
        <f>IF(_calc!$E$304="","","Right to work")</f>
        <v/>
      </c>
      <c r="D302" s="43">
        <f>IF(_calc!$E$304="","",IF(ISNUMBER(INDEX('Checks'!$F$4:$F$503,_calc!$E$304)),TEXT(INDEX('Checks'!$F$4:$F$503,_calc!$E$304),"yyyy-mm-dd"),""))</f>
        <v/>
      </c>
      <c r="E302" s="43">
        <f>IF(_calc!$E$304="","","High")</f>
        <v/>
      </c>
      <c r="F302" s="43">
        <f>IF(_calc!$E$304="","",TRIM(IF(LEN(IF(LEN(INDEX('Checks'!$B$4:$B$503,_calc!$E$304))=0,"",INDEX('Checks'!$B$4:$B$503,_calc!$E$304)))=0,"","Role: "&amp;IF(LEN(INDEX('Checks'!$B$4:$B$503,_calc!$E$304))=0,"",INDEX('Checks'!$B$4:$B$503,_calc!$E$304))&amp;". ")&amp;IF(LEN(IF(LEN(INDEX('Checks'!$D$4:$D$503,_calc!$E$304))=0,"",INDEX('Checks'!$D$4:$D$503,_calc!$E$304)))=0,"","Check type: "&amp;IF(LEN(INDEX('Checks'!$D$4:$D$503,_calc!$E$304))=0,"",INDEX('Checks'!$D$4:$D$503,_calc!$E$304))&amp;". ")&amp;IF(LEN(IF(LEN(INDEX('Checks'!$E$4:$E$503,_calc!$E$304))=0,"",INDEX('Checks'!$E$4:$E$503,_calc!$E$304)))=0,"","Evidence: "&amp;IF(LEN(INDEX('Checks'!$E$4:$E$503,_calc!$E$304))=0,"",INDEX('Checks'!$E$4:$E$503,_calc!$E$304))&amp;". ")&amp;IF(LEN(IF(LEN(INDEX('Checks'!$G$4:$G$503,_calc!$E$304))=0,"",INDEX('Checks'!$G$4:$G$503,_calc!$E$304)))=0,"","Checked by: "&amp;IF(LEN(INDEX('Checks'!$G$4:$G$503,_calc!$E$304))=0,"",INDEX('Checks'!$G$4:$G$503,_calc!$E$304))&amp;". ")&amp;IF(LEN(IF(LEN(INDEX('Checks'!$Q$4:$Q$503,_calc!$E$304))=0,"",INDEX('Checks'!$Q$4:$Q$503,_calc!$E$304)))=0,"",IF(LEN(INDEX('Checks'!$Q$4:$Q$503,_calc!$E$304))=0,"",INDEX('Checks'!$Q$4:$Q$503,_calc!$E$304)))))</f>
        <v/>
      </c>
      <c r="G302" s="43">
        <f>IF(_calc!$E$304="","",IF(LEN(INDEX('Checks'!$P$4:$P$503,_calc!$E$304))=0,"",INDEX('Checks'!$P$4:$P$503,_calc!$E$304)))</f>
        <v/>
      </c>
      <c r="K302" s="43">
        <f>IF(_calc!$E$304="","",IF(LEN(INDEX('Checks'!$O$4:$O$503,_calc!$E$304))=0,"",INDEX('Checks'!$O$4:$O$503,_calc!$E$304)))</f>
        <v/>
      </c>
    </row>
    <row r="303">
      <c r="A303" s="43">
        <f>IF(_calc!$E$305="","","Right to work follow-up – "&amp;IF(LEN(INDEX('Checks'!$A$4:$A$503,_calc!$E$305))=0,"",INDEX('Checks'!$A$4:$A$503,_calc!$E$305)))</f>
        <v/>
      </c>
      <c r="B303" s="43">
        <f>IF(_calc!$E$305="","",IF(ISNUMBER(INDEX('Checks'!$H$4:$H$503,_calc!$E$305)),TEXT(INDEX('Checks'!$H$4:$H$503,_calc!$E$305),"yyyy-mm-dd"),""))</f>
        <v/>
      </c>
      <c r="C303" s="43">
        <f>IF(_calc!$E$305="","","Right to work")</f>
        <v/>
      </c>
      <c r="D303" s="43">
        <f>IF(_calc!$E$305="","",IF(ISNUMBER(INDEX('Checks'!$F$4:$F$503,_calc!$E$305)),TEXT(INDEX('Checks'!$F$4:$F$503,_calc!$E$305),"yyyy-mm-dd"),""))</f>
        <v/>
      </c>
      <c r="E303" s="43">
        <f>IF(_calc!$E$305="","","High")</f>
        <v/>
      </c>
      <c r="F303" s="43">
        <f>IF(_calc!$E$305="","",TRIM(IF(LEN(IF(LEN(INDEX('Checks'!$B$4:$B$503,_calc!$E$305))=0,"",INDEX('Checks'!$B$4:$B$503,_calc!$E$305)))=0,"","Role: "&amp;IF(LEN(INDEX('Checks'!$B$4:$B$503,_calc!$E$305))=0,"",INDEX('Checks'!$B$4:$B$503,_calc!$E$305))&amp;". ")&amp;IF(LEN(IF(LEN(INDEX('Checks'!$D$4:$D$503,_calc!$E$305))=0,"",INDEX('Checks'!$D$4:$D$503,_calc!$E$305)))=0,"","Check type: "&amp;IF(LEN(INDEX('Checks'!$D$4:$D$503,_calc!$E$305))=0,"",INDEX('Checks'!$D$4:$D$503,_calc!$E$305))&amp;". ")&amp;IF(LEN(IF(LEN(INDEX('Checks'!$E$4:$E$503,_calc!$E$305))=0,"",INDEX('Checks'!$E$4:$E$503,_calc!$E$305)))=0,"","Evidence: "&amp;IF(LEN(INDEX('Checks'!$E$4:$E$503,_calc!$E$305))=0,"",INDEX('Checks'!$E$4:$E$503,_calc!$E$305))&amp;". ")&amp;IF(LEN(IF(LEN(INDEX('Checks'!$G$4:$G$503,_calc!$E$305))=0,"",INDEX('Checks'!$G$4:$G$503,_calc!$E$305)))=0,"","Checked by: "&amp;IF(LEN(INDEX('Checks'!$G$4:$G$503,_calc!$E$305))=0,"",INDEX('Checks'!$G$4:$G$503,_calc!$E$305))&amp;". ")&amp;IF(LEN(IF(LEN(INDEX('Checks'!$Q$4:$Q$503,_calc!$E$305))=0,"",INDEX('Checks'!$Q$4:$Q$503,_calc!$E$305)))=0,"",IF(LEN(INDEX('Checks'!$Q$4:$Q$503,_calc!$E$305))=0,"",INDEX('Checks'!$Q$4:$Q$503,_calc!$E$305)))))</f>
        <v/>
      </c>
      <c r="G303" s="43">
        <f>IF(_calc!$E$305="","",IF(LEN(INDEX('Checks'!$P$4:$P$503,_calc!$E$305))=0,"",INDEX('Checks'!$P$4:$P$503,_calc!$E$305)))</f>
        <v/>
      </c>
      <c r="K303" s="43">
        <f>IF(_calc!$E$305="","",IF(LEN(INDEX('Checks'!$O$4:$O$503,_calc!$E$305))=0,"",INDEX('Checks'!$O$4:$O$503,_calc!$E$305)))</f>
        <v/>
      </c>
    </row>
    <row r="304">
      <c r="A304" s="43">
        <f>IF(_calc!$E$306="","","Right to work follow-up – "&amp;IF(LEN(INDEX('Checks'!$A$4:$A$503,_calc!$E$306))=0,"",INDEX('Checks'!$A$4:$A$503,_calc!$E$306)))</f>
        <v/>
      </c>
      <c r="B304" s="43">
        <f>IF(_calc!$E$306="","",IF(ISNUMBER(INDEX('Checks'!$H$4:$H$503,_calc!$E$306)),TEXT(INDEX('Checks'!$H$4:$H$503,_calc!$E$306),"yyyy-mm-dd"),""))</f>
        <v/>
      </c>
      <c r="C304" s="43">
        <f>IF(_calc!$E$306="","","Right to work")</f>
        <v/>
      </c>
      <c r="D304" s="43">
        <f>IF(_calc!$E$306="","",IF(ISNUMBER(INDEX('Checks'!$F$4:$F$503,_calc!$E$306)),TEXT(INDEX('Checks'!$F$4:$F$503,_calc!$E$306),"yyyy-mm-dd"),""))</f>
        <v/>
      </c>
      <c r="E304" s="43">
        <f>IF(_calc!$E$306="","","High")</f>
        <v/>
      </c>
      <c r="F304" s="43">
        <f>IF(_calc!$E$306="","",TRIM(IF(LEN(IF(LEN(INDEX('Checks'!$B$4:$B$503,_calc!$E$306))=0,"",INDEX('Checks'!$B$4:$B$503,_calc!$E$306)))=0,"","Role: "&amp;IF(LEN(INDEX('Checks'!$B$4:$B$503,_calc!$E$306))=0,"",INDEX('Checks'!$B$4:$B$503,_calc!$E$306))&amp;". ")&amp;IF(LEN(IF(LEN(INDEX('Checks'!$D$4:$D$503,_calc!$E$306))=0,"",INDEX('Checks'!$D$4:$D$503,_calc!$E$306)))=0,"","Check type: "&amp;IF(LEN(INDEX('Checks'!$D$4:$D$503,_calc!$E$306))=0,"",INDEX('Checks'!$D$4:$D$503,_calc!$E$306))&amp;". ")&amp;IF(LEN(IF(LEN(INDEX('Checks'!$E$4:$E$503,_calc!$E$306))=0,"",INDEX('Checks'!$E$4:$E$503,_calc!$E$306)))=0,"","Evidence: "&amp;IF(LEN(INDEX('Checks'!$E$4:$E$503,_calc!$E$306))=0,"",INDEX('Checks'!$E$4:$E$503,_calc!$E$306))&amp;". ")&amp;IF(LEN(IF(LEN(INDEX('Checks'!$G$4:$G$503,_calc!$E$306))=0,"",INDEX('Checks'!$G$4:$G$503,_calc!$E$306)))=0,"","Checked by: "&amp;IF(LEN(INDEX('Checks'!$G$4:$G$503,_calc!$E$306))=0,"",INDEX('Checks'!$G$4:$G$503,_calc!$E$306))&amp;". ")&amp;IF(LEN(IF(LEN(INDEX('Checks'!$Q$4:$Q$503,_calc!$E$306))=0,"",INDEX('Checks'!$Q$4:$Q$503,_calc!$E$306)))=0,"",IF(LEN(INDEX('Checks'!$Q$4:$Q$503,_calc!$E$306))=0,"",INDEX('Checks'!$Q$4:$Q$503,_calc!$E$306)))))</f>
        <v/>
      </c>
      <c r="G304" s="43">
        <f>IF(_calc!$E$306="","",IF(LEN(INDEX('Checks'!$P$4:$P$503,_calc!$E$306))=0,"",INDEX('Checks'!$P$4:$P$503,_calc!$E$306)))</f>
        <v/>
      </c>
      <c r="K304" s="43">
        <f>IF(_calc!$E$306="","",IF(LEN(INDEX('Checks'!$O$4:$O$503,_calc!$E$306))=0,"",INDEX('Checks'!$O$4:$O$503,_calc!$E$306)))</f>
        <v/>
      </c>
    </row>
    <row r="305">
      <c r="A305" s="43">
        <f>IF(_calc!$E$307="","","Right to work follow-up – "&amp;IF(LEN(INDEX('Checks'!$A$4:$A$503,_calc!$E$307))=0,"",INDEX('Checks'!$A$4:$A$503,_calc!$E$307)))</f>
        <v/>
      </c>
      <c r="B305" s="43">
        <f>IF(_calc!$E$307="","",IF(ISNUMBER(INDEX('Checks'!$H$4:$H$503,_calc!$E$307)),TEXT(INDEX('Checks'!$H$4:$H$503,_calc!$E$307),"yyyy-mm-dd"),""))</f>
        <v/>
      </c>
      <c r="C305" s="43">
        <f>IF(_calc!$E$307="","","Right to work")</f>
        <v/>
      </c>
      <c r="D305" s="43">
        <f>IF(_calc!$E$307="","",IF(ISNUMBER(INDEX('Checks'!$F$4:$F$503,_calc!$E$307)),TEXT(INDEX('Checks'!$F$4:$F$503,_calc!$E$307),"yyyy-mm-dd"),""))</f>
        <v/>
      </c>
      <c r="E305" s="43">
        <f>IF(_calc!$E$307="","","High")</f>
        <v/>
      </c>
      <c r="F305" s="43">
        <f>IF(_calc!$E$307="","",TRIM(IF(LEN(IF(LEN(INDEX('Checks'!$B$4:$B$503,_calc!$E$307))=0,"",INDEX('Checks'!$B$4:$B$503,_calc!$E$307)))=0,"","Role: "&amp;IF(LEN(INDEX('Checks'!$B$4:$B$503,_calc!$E$307))=0,"",INDEX('Checks'!$B$4:$B$503,_calc!$E$307))&amp;". ")&amp;IF(LEN(IF(LEN(INDEX('Checks'!$D$4:$D$503,_calc!$E$307))=0,"",INDEX('Checks'!$D$4:$D$503,_calc!$E$307)))=0,"","Check type: "&amp;IF(LEN(INDEX('Checks'!$D$4:$D$503,_calc!$E$307))=0,"",INDEX('Checks'!$D$4:$D$503,_calc!$E$307))&amp;". ")&amp;IF(LEN(IF(LEN(INDEX('Checks'!$E$4:$E$503,_calc!$E$307))=0,"",INDEX('Checks'!$E$4:$E$503,_calc!$E$307)))=0,"","Evidence: "&amp;IF(LEN(INDEX('Checks'!$E$4:$E$503,_calc!$E$307))=0,"",INDEX('Checks'!$E$4:$E$503,_calc!$E$307))&amp;". ")&amp;IF(LEN(IF(LEN(INDEX('Checks'!$G$4:$G$503,_calc!$E$307))=0,"",INDEX('Checks'!$G$4:$G$503,_calc!$E$307)))=0,"","Checked by: "&amp;IF(LEN(INDEX('Checks'!$G$4:$G$503,_calc!$E$307))=0,"",INDEX('Checks'!$G$4:$G$503,_calc!$E$307))&amp;". ")&amp;IF(LEN(IF(LEN(INDEX('Checks'!$Q$4:$Q$503,_calc!$E$307))=0,"",INDEX('Checks'!$Q$4:$Q$503,_calc!$E$307)))=0,"",IF(LEN(INDEX('Checks'!$Q$4:$Q$503,_calc!$E$307))=0,"",INDEX('Checks'!$Q$4:$Q$503,_calc!$E$307)))))</f>
        <v/>
      </c>
      <c r="G305" s="43">
        <f>IF(_calc!$E$307="","",IF(LEN(INDEX('Checks'!$P$4:$P$503,_calc!$E$307))=0,"",INDEX('Checks'!$P$4:$P$503,_calc!$E$307)))</f>
        <v/>
      </c>
      <c r="K305" s="43">
        <f>IF(_calc!$E$307="","",IF(LEN(INDEX('Checks'!$O$4:$O$503,_calc!$E$307))=0,"",INDEX('Checks'!$O$4:$O$503,_calc!$E$307)))</f>
        <v/>
      </c>
    </row>
    <row r="306">
      <c r="A306" s="43">
        <f>IF(_calc!$E$308="","","Right to work follow-up – "&amp;IF(LEN(INDEX('Checks'!$A$4:$A$503,_calc!$E$308))=0,"",INDEX('Checks'!$A$4:$A$503,_calc!$E$308)))</f>
        <v/>
      </c>
      <c r="B306" s="43">
        <f>IF(_calc!$E$308="","",IF(ISNUMBER(INDEX('Checks'!$H$4:$H$503,_calc!$E$308)),TEXT(INDEX('Checks'!$H$4:$H$503,_calc!$E$308),"yyyy-mm-dd"),""))</f>
        <v/>
      </c>
      <c r="C306" s="43">
        <f>IF(_calc!$E$308="","","Right to work")</f>
        <v/>
      </c>
      <c r="D306" s="43">
        <f>IF(_calc!$E$308="","",IF(ISNUMBER(INDEX('Checks'!$F$4:$F$503,_calc!$E$308)),TEXT(INDEX('Checks'!$F$4:$F$503,_calc!$E$308),"yyyy-mm-dd"),""))</f>
        <v/>
      </c>
      <c r="E306" s="43">
        <f>IF(_calc!$E$308="","","High")</f>
        <v/>
      </c>
      <c r="F306" s="43">
        <f>IF(_calc!$E$308="","",TRIM(IF(LEN(IF(LEN(INDEX('Checks'!$B$4:$B$503,_calc!$E$308))=0,"",INDEX('Checks'!$B$4:$B$503,_calc!$E$308)))=0,"","Role: "&amp;IF(LEN(INDEX('Checks'!$B$4:$B$503,_calc!$E$308))=0,"",INDEX('Checks'!$B$4:$B$503,_calc!$E$308))&amp;". ")&amp;IF(LEN(IF(LEN(INDEX('Checks'!$D$4:$D$503,_calc!$E$308))=0,"",INDEX('Checks'!$D$4:$D$503,_calc!$E$308)))=0,"","Check type: "&amp;IF(LEN(INDEX('Checks'!$D$4:$D$503,_calc!$E$308))=0,"",INDEX('Checks'!$D$4:$D$503,_calc!$E$308))&amp;". ")&amp;IF(LEN(IF(LEN(INDEX('Checks'!$E$4:$E$503,_calc!$E$308))=0,"",INDEX('Checks'!$E$4:$E$503,_calc!$E$308)))=0,"","Evidence: "&amp;IF(LEN(INDEX('Checks'!$E$4:$E$503,_calc!$E$308))=0,"",INDEX('Checks'!$E$4:$E$503,_calc!$E$308))&amp;". ")&amp;IF(LEN(IF(LEN(INDEX('Checks'!$G$4:$G$503,_calc!$E$308))=0,"",INDEX('Checks'!$G$4:$G$503,_calc!$E$308)))=0,"","Checked by: "&amp;IF(LEN(INDEX('Checks'!$G$4:$G$503,_calc!$E$308))=0,"",INDEX('Checks'!$G$4:$G$503,_calc!$E$308))&amp;". ")&amp;IF(LEN(IF(LEN(INDEX('Checks'!$Q$4:$Q$503,_calc!$E$308))=0,"",INDEX('Checks'!$Q$4:$Q$503,_calc!$E$308)))=0,"",IF(LEN(INDEX('Checks'!$Q$4:$Q$503,_calc!$E$308))=0,"",INDEX('Checks'!$Q$4:$Q$503,_calc!$E$308)))))</f>
        <v/>
      </c>
      <c r="G306" s="43">
        <f>IF(_calc!$E$308="","",IF(LEN(INDEX('Checks'!$P$4:$P$503,_calc!$E$308))=0,"",INDEX('Checks'!$P$4:$P$503,_calc!$E$308)))</f>
        <v/>
      </c>
      <c r="K306" s="43">
        <f>IF(_calc!$E$308="","",IF(LEN(INDEX('Checks'!$O$4:$O$503,_calc!$E$308))=0,"",INDEX('Checks'!$O$4:$O$503,_calc!$E$308)))</f>
        <v/>
      </c>
    </row>
    <row r="307">
      <c r="A307" s="43">
        <f>IF(_calc!$E$309="","","Right to work follow-up – "&amp;IF(LEN(INDEX('Checks'!$A$4:$A$503,_calc!$E$309))=0,"",INDEX('Checks'!$A$4:$A$503,_calc!$E$309)))</f>
        <v/>
      </c>
      <c r="B307" s="43">
        <f>IF(_calc!$E$309="","",IF(ISNUMBER(INDEX('Checks'!$H$4:$H$503,_calc!$E$309)),TEXT(INDEX('Checks'!$H$4:$H$503,_calc!$E$309),"yyyy-mm-dd"),""))</f>
        <v/>
      </c>
      <c r="C307" s="43">
        <f>IF(_calc!$E$309="","","Right to work")</f>
        <v/>
      </c>
      <c r="D307" s="43">
        <f>IF(_calc!$E$309="","",IF(ISNUMBER(INDEX('Checks'!$F$4:$F$503,_calc!$E$309)),TEXT(INDEX('Checks'!$F$4:$F$503,_calc!$E$309),"yyyy-mm-dd"),""))</f>
        <v/>
      </c>
      <c r="E307" s="43">
        <f>IF(_calc!$E$309="","","High")</f>
        <v/>
      </c>
      <c r="F307" s="43">
        <f>IF(_calc!$E$309="","",TRIM(IF(LEN(IF(LEN(INDEX('Checks'!$B$4:$B$503,_calc!$E$309))=0,"",INDEX('Checks'!$B$4:$B$503,_calc!$E$309)))=0,"","Role: "&amp;IF(LEN(INDEX('Checks'!$B$4:$B$503,_calc!$E$309))=0,"",INDEX('Checks'!$B$4:$B$503,_calc!$E$309))&amp;". ")&amp;IF(LEN(IF(LEN(INDEX('Checks'!$D$4:$D$503,_calc!$E$309))=0,"",INDEX('Checks'!$D$4:$D$503,_calc!$E$309)))=0,"","Check type: "&amp;IF(LEN(INDEX('Checks'!$D$4:$D$503,_calc!$E$309))=0,"",INDEX('Checks'!$D$4:$D$503,_calc!$E$309))&amp;". ")&amp;IF(LEN(IF(LEN(INDEX('Checks'!$E$4:$E$503,_calc!$E$309))=0,"",INDEX('Checks'!$E$4:$E$503,_calc!$E$309)))=0,"","Evidence: "&amp;IF(LEN(INDEX('Checks'!$E$4:$E$503,_calc!$E$309))=0,"",INDEX('Checks'!$E$4:$E$503,_calc!$E$309))&amp;". ")&amp;IF(LEN(IF(LEN(INDEX('Checks'!$G$4:$G$503,_calc!$E$309))=0,"",INDEX('Checks'!$G$4:$G$503,_calc!$E$309)))=0,"","Checked by: "&amp;IF(LEN(INDEX('Checks'!$G$4:$G$503,_calc!$E$309))=0,"",INDEX('Checks'!$G$4:$G$503,_calc!$E$309))&amp;". ")&amp;IF(LEN(IF(LEN(INDEX('Checks'!$Q$4:$Q$503,_calc!$E$309))=0,"",INDEX('Checks'!$Q$4:$Q$503,_calc!$E$309)))=0,"",IF(LEN(INDEX('Checks'!$Q$4:$Q$503,_calc!$E$309))=0,"",INDEX('Checks'!$Q$4:$Q$503,_calc!$E$309)))))</f>
        <v/>
      </c>
      <c r="G307" s="43">
        <f>IF(_calc!$E$309="","",IF(LEN(INDEX('Checks'!$P$4:$P$503,_calc!$E$309))=0,"",INDEX('Checks'!$P$4:$P$503,_calc!$E$309)))</f>
        <v/>
      </c>
      <c r="K307" s="43">
        <f>IF(_calc!$E$309="","",IF(LEN(INDEX('Checks'!$O$4:$O$503,_calc!$E$309))=0,"",INDEX('Checks'!$O$4:$O$503,_calc!$E$309)))</f>
        <v/>
      </c>
    </row>
    <row r="308">
      <c r="A308" s="43">
        <f>IF(_calc!$E$310="","","Right to work follow-up – "&amp;IF(LEN(INDEX('Checks'!$A$4:$A$503,_calc!$E$310))=0,"",INDEX('Checks'!$A$4:$A$503,_calc!$E$310)))</f>
        <v/>
      </c>
      <c r="B308" s="43">
        <f>IF(_calc!$E$310="","",IF(ISNUMBER(INDEX('Checks'!$H$4:$H$503,_calc!$E$310)),TEXT(INDEX('Checks'!$H$4:$H$503,_calc!$E$310),"yyyy-mm-dd"),""))</f>
        <v/>
      </c>
      <c r="C308" s="43">
        <f>IF(_calc!$E$310="","","Right to work")</f>
        <v/>
      </c>
      <c r="D308" s="43">
        <f>IF(_calc!$E$310="","",IF(ISNUMBER(INDEX('Checks'!$F$4:$F$503,_calc!$E$310)),TEXT(INDEX('Checks'!$F$4:$F$503,_calc!$E$310),"yyyy-mm-dd"),""))</f>
        <v/>
      </c>
      <c r="E308" s="43">
        <f>IF(_calc!$E$310="","","High")</f>
        <v/>
      </c>
      <c r="F308" s="43">
        <f>IF(_calc!$E$310="","",TRIM(IF(LEN(IF(LEN(INDEX('Checks'!$B$4:$B$503,_calc!$E$310))=0,"",INDEX('Checks'!$B$4:$B$503,_calc!$E$310)))=0,"","Role: "&amp;IF(LEN(INDEX('Checks'!$B$4:$B$503,_calc!$E$310))=0,"",INDEX('Checks'!$B$4:$B$503,_calc!$E$310))&amp;". ")&amp;IF(LEN(IF(LEN(INDEX('Checks'!$D$4:$D$503,_calc!$E$310))=0,"",INDEX('Checks'!$D$4:$D$503,_calc!$E$310)))=0,"","Check type: "&amp;IF(LEN(INDEX('Checks'!$D$4:$D$503,_calc!$E$310))=0,"",INDEX('Checks'!$D$4:$D$503,_calc!$E$310))&amp;". ")&amp;IF(LEN(IF(LEN(INDEX('Checks'!$E$4:$E$503,_calc!$E$310))=0,"",INDEX('Checks'!$E$4:$E$503,_calc!$E$310)))=0,"","Evidence: "&amp;IF(LEN(INDEX('Checks'!$E$4:$E$503,_calc!$E$310))=0,"",INDEX('Checks'!$E$4:$E$503,_calc!$E$310))&amp;". ")&amp;IF(LEN(IF(LEN(INDEX('Checks'!$G$4:$G$503,_calc!$E$310))=0,"",INDEX('Checks'!$G$4:$G$503,_calc!$E$310)))=0,"","Checked by: "&amp;IF(LEN(INDEX('Checks'!$G$4:$G$503,_calc!$E$310))=0,"",INDEX('Checks'!$G$4:$G$503,_calc!$E$310))&amp;". ")&amp;IF(LEN(IF(LEN(INDEX('Checks'!$Q$4:$Q$503,_calc!$E$310))=0,"",INDEX('Checks'!$Q$4:$Q$503,_calc!$E$310)))=0,"",IF(LEN(INDEX('Checks'!$Q$4:$Q$503,_calc!$E$310))=0,"",INDEX('Checks'!$Q$4:$Q$503,_calc!$E$310)))))</f>
        <v/>
      </c>
      <c r="G308" s="43">
        <f>IF(_calc!$E$310="","",IF(LEN(INDEX('Checks'!$P$4:$P$503,_calc!$E$310))=0,"",INDEX('Checks'!$P$4:$P$503,_calc!$E$310)))</f>
        <v/>
      </c>
      <c r="K308" s="43">
        <f>IF(_calc!$E$310="","",IF(LEN(INDEX('Checks'!$O$4:$O$503,_calc!$E$310))=0,"",INDEX('Checks'!$O$4:$O$503,_calc!$E$310)))</f>
        <v/>
      </c>
    </row>
    <row r="309">
      <c r="A309" s="43">
        <f>IF(_calc!$E$311="","","Right to work follow-up – "&amp;IF(LEN(INDEX('Checks'!$A$4:$A$503,_calc!$E$311))=0,"",INDEX('Checks'!$A$4:$A$503,_calc!$E$311)))</f>
        <v/>
      </c>
      <c r="B309" s="43">
        <f>IF(_calc!$E$311="","",IF(ISNUMBER(INDEX('Checks'!$H$4:$H$503,_calc!$E$311)),TEXT(INDEX('Checks'!$H$4:$H$503,_calc!$E$311),"yyyy-mm-dd"),""))</f>
        <v/>
      </c>
      <c r="C309" s="43">
        <f>IF(_calc!$E$311="","","Right to work")</f>
        <v/>
      </c>
      <c r="D309" s="43">
        <f>IF(_calc!$E$311="","",IF(ISNUMBER(INDEX('Checks'!$F$4:$F$503,_calc!$E$311)),TEXT(INDEX('Checks'!$F$4:$F$503,_calc!$E$311),"yyyy-mm-dd"),""))</f>
        <v/>
      </c>
      <c r="E309" s="43">
        <f>IF(_calc!$E$311="","","High")</f>
        <v/>
      </c>
      <c r="F309" s="43">
        <f>IF(_calc!$E$311="","",TRIM(IF(LEN(IF(LEN(INDEX('Checks'!$B$4:$B$503,_calc!$E$311))=0,"",INDEX('Checks'!$B$4:$B$503,_calc!$E$311)))=0,"","Role: "&amp;IF(LEN(INDEX('Checks'!$B$4:$B$503,_calc!$E$311))=0,"",INDEX('Checks'!$B$4:$B$503,_calc!$E$311))&amp;". ")&amp;IF(LEN(IF(LEN(INDEX('Checks'!$D$4:$D$503,_calc!$E$311))=0,"",INDEX('Checks'!$D$4:$D$503,_calc!$E$311)))=0,"","Check type: "&amp;IF(LEN(INDEX('Checks'!$D$4:$D$503,_calc!$E$311))=0,"",INDEX('Checks'!$D$4:$D$503,_calc!$E$311))&amp;". ")&amp;IF(LEN(IF(LEN(INDEX('Checks'!$E$4:$E$503,_calc!$E$311))=0,"",INDEX('Checks'!$E$4:$E$503,_calc!$E$311)))=0,"","Evidence: "&amp;IF(LEN(INDEX('Checks'!$E$4:$E$503,_calc!$E$311))=0,"",INDEX('Checks'!$E$4:$E$503,_calc!$E$311))&amp;". ")&amp;IF(LEN(IF(LEN(INDEX('Checks'!$G$4:$G$503,_calc!$E$311))=0,"",INDEX('Checks'!$G$4:$G$503,_calc!$E$311)))=0,"","Checked by: "&amp;IF(LEN(INDEX('Checks'!$G$4:$G$503,_calc!$E$311))=0,"",INDEX('Checks'!$G$4:$G$503,_calc!$E$311))&amp;". ")&amp;IF(LEN(IF(LEN(INDEX('Checks'!$Q$4:$Q$503,_calc!$E$311))=0,"",INDEX('Checks'!$Q$4:$Q$503,_calc!$E$311)))=0,"",IF(LEN(INDEX('Checks'!$Q$4:$Q$503,_calc!$E$311))=0,"",INDEX('Checks'!$Q$4:$Q$503,_calc!$E$311)))))</f>
        <v/>
      </c>
      <c r="G309" s="43">
        <f>IF(_calc!$E$311="","",IF(LEN(INDEX('Checks'!$P$4:$P$503,_calc!$E$311))=0,"",INDEX('Checks'!$P$4:$P$503,_calc!$E$311)))</f>
        <v/>
      </c>
      <c r="K309" s="43">
        <f>IF(_calc!$E$311="","",IF(LEN(INDEX('Checks'!$O$4:$O$503,_calc!$E$311))=0,"",INDEX('Checks'!$O$4:$O$503,_calc!$E$311)))</f>
        <v/>
      </c>
    </row>
    <row r="310">
      <c r="A310" s="43">
        <f>IF(_calc!$E$312="","","Right to work follow-up – "&amp;IF(LEN(INDEX('Checks'!$A$4:$A$503,_calc!$E$312))=0,"",INDEX('Checks'!$A$4:$A$503,_calc!$E$312)))</f>
        <v/>
      </c>
      <c r="B310" s="43">
        <f>IF(_calc!$E$312="","",IF(ISNUMBER(INDEX('Checks'!$H$4:$H$503,_calc!$E$312)),TEXT(INDEX('Checks'!$H$4:$H$503,_calc!$E$312),"yyyy-mm-dd"),""))</f>
        <v/>
      </c>
      <c r="C310" s="43">
        <f>IF(_calc!$E$312="","","Right to work")</f>
        <v/>
      </c>
      <c r="D310" s="43">
        <f>IF(_calc!$E$312="","",IF(ISNUMBER(INDEX('Checks'!$F$4:$F$503,_calc!$E$312)),TEXT(INDEX('Checks'!$F$4:$F$503,_calc!$E$312),"yyyy-mm-dd"),""))</f>
        <v/>
      </c>
      <c r="E310" s="43">
        <f>IF(_calc!$E$312="","","High")</f>
        <v/>
      </c>
      <c r="F310" s="43">
        <f>IF(_calc!$E$312="","",TRIM(IF(LEN(IF(LEN(INDEX('Checks'!$B$4:$B$503,_calc!$E$312))=0,"",INDEX('Checks'!$B$4:$B$503,_calc!$E$312)))=0,"","Role: "&amp;IF(LEN(INDEX('Checks'!$B$4:$B$503,_calc!$E$312))=0,"",INDEX('Checks'!$B$4:$B$503,_calc!$E$312))&amp;". ")&amp;IF(LEN(IF(LEN(INDEX('Checks'!$D$4:$D$503,_calc!$E$312))=0,"",INDEX('Checks'!$D$4:$D$503,_calc!$E$312)))=0,"","Check type: "&amp;IF(LEN(INDEX('Checks'!$D$4:$D$503,_calc!$E$312))=0,"",INDEX('Checks'!$D$4:$D$503,_calc!$E$312))&amp;". ")&amp;IF(LEN(IF(LEN(INDEX('Checks'!$E$4:$E$503,_calc!$E$312))=0,"",INDEX('Checks'!$E$4:$E$503,_calc!$E$312)))=0,"","Evidence: "&amp;IF(LEN(INDEX('Checks'!$E$4:$E$503,_calc!$E$312))=0,"",INDEX('Checks'!$E$4:$E$503,_calc!$E$312))&amp;". ")&amp;IF(LEN(IF(LEN(INDEX('Checks'!$G$4:$G$503,_calc!$E$312))=0,"",INDEX('Checks'!$G$4:$G$503,_calc!$E$312)))=0,"","Checked by: "&amp;IF(LEN(INDEX('Checks'!$G$4:$G$503,_calc!$E$312))=0,"",INDEX('Checks'!$G$4:$G$503,_calc!$E$312))&amp;". ")&amp;IF(LEN(IF(LEN(INDEX('Checks'!$Q$4:$Q$503,_calc!$E$312))=0,"",INDEX('Checks'!$Q$4:$Q$503,_calc!$E$312)))=0,"",IF(LEN(INDEX('Checks'!$Q$4:$Q$503,_calc!$E$312))=0,"",INDEX('Checks'!$Q$4:$Q$503,_calc!$E$312)))))</f>
        <v/>
      </c>
      <c r="G310" s="43">
        <f>IF(_calc!$E$312="","",IF(LEN(INDEX('Checks'!$P$4:$P$503,_calc!$E$312))=0,"",INDEX('Checks'!$P$4:$P$503,_calc!$E$312)))</f>
        <v/>
      </c>
      <c r="K310" s="43">
        <f>IF(_calc!$E$312="","",IF(LEN(INDEX('Checks'!$O$4:$O$503,_calc!$E$312))=0,"",INDEX('Checks'!$O$4:$O$503,_calc!$E$312)))</f>
        <v/>
      </c>
    </row>
    <row r="311">
      <c r="A311" s="43">
        <f>IF(_calc!$E$313="","","Right to work follow-up – "&amp;IF(LEN(INDEX('Checks'!$A$4:$A$503,_calc!$E$313))=0,"",INDEX('Checks'!$A$4:$A$503,_calc!$E$313)))</f>
        <v/>
      </c>
      <c r="B311" s="43">
        <f>IF(_calc!$E$313="","",IF(ISNUMBER(INDEX('Checks'!$H$4:$H$503,_calc!$E$313)),TEXT(INDEX('Checks'!$H$4:$H$503,_calc!$E$313),"yyyy-mm-dd"),""))</f>
        <v/>
      </c>
      <c r="C311" s="43">
        <f>IF(_calc!$E$313="","","Right to work")</f>
        <v/>
      </c>
      <c r="D311" s="43">
        <f>IF(_calc!$E$313="","",IF(ISNUMBER(INDEX('Checks'!$F$4:$F$503,_calc!$E$313)),TEXT(INDEX('Checks'!$F$4:$F$503,_calc!$E$313),"yyyy-mm-dd"),""))</f>
        <v/>
      </c>
      <c r="E311" s="43">
        <f>IF(_calc!$E$313="","","High")</f>
        <v/>
      </c>
      <c r="F311" s="43">
        <f>IF(_calc!$E$313="","",TRIM(IF(LEN(IF(LEN(INDEX('Checks'!$B$4:$B$503,_calc!$E$313))=0,"",INDEX('Checks'!$B$4:$B$503,_calc!$E$313)))=0,"","Role: "&amp;IF(LEN(INDEX('Checks'!$B$4:$B$503,_calc!$E$313))=0,"",INDEX('Checks'!$B$4:$B$503,_calc!$E$313))&amp;". ")&amp;IF(LEN(IF(LEN(INDEX('Checks'!$D$4:$D$503,_calc!$E$313))=0,"",INDEX('Checks'!$D$4:$D$503,_calc!$E$313)))=0,"","Check type: "&amp;IF(LEN(INDEX('Checks'!$D$4:$D$503,_calc!$E$313))=0,"",INDEX('Checks'!$D$4:$D$503,_calc!$E$313))&amp;". ")&amp;IF(LEN(IF(LEN(INDEX('Checks'!$E$4:$E$503,_calc!$E$313))=0,"",INDEX('Checks'!$E$4:$E$503,_calc!$E$313)))=0,"","Evidence: "&amp;IF(LEN(INDEX('Checks'!$E$4:$E$503,_calc!$E$313))=0,"",INDEX('Checks'!$E$4:$E$503,_calc!$E$313))&amp;". ")&amp;IF(LEN(IF(LEN(INDEX('Checks'!$G$4:$G$503,_calc!$E$313))=0,"",INDEX('Checks'!$G$4:$G$503,_calc!$E$313)))=0,"","Checked by: "&amp;IF(LEN(INDEX('Checks'!$G$4:$G$503,_calc!$E$313))=0,"",INDEX('Checks'!$G$4:$G$503,_calc!$E$313))&amp;". ")&amp;IF(LEN(IF(LEN(INDEX('Checks'!$Q$4:$Q$503,_calc!$E$313))=0,"",INDEX('Checks'!$Q$4:$Q$503,_calc!$E$313)))=0,"",IF(LEN(INDEX('Checks'!$Q$4:$Q$503,_calc!$E$313))=0,"",INDEX('Checks'!$Q$4:$Q$503,_calc!$E$313)))))</f>
        <v/>
      </c>
      <c r="G311" s="43">
        <f>IF(_calc!$E$313="","",IF(LEN(INDEX('Checks'!$P$4:$P$503,_calc!$E$313))=0,"",INDEX('Checks'!$P$4:$P$503,_calc!$E$313)))</f>
        <v/>
      </c>
      <c r="K311" s="43">
        <f>IF(_calc!$E$313="","",IF(LEN(INDEX('Checks'!$O$4:$O$503,_calc!$E$313))=0,"",INDEX('Checks'!$O$4:$O$503,_calc!$E$313)))</f>
        <v/>
      </c>
    </row>
    <row r="312">
      <c r="A312" s="43">
        <f>IF(_calc!$E$314="","","Right to work follow-up – "&amp;IF(LEN(INDEX('Checks'!$A$4:$A$503,_calc!$E$314))=0,"",INDEX('Checks'!$A$4:$A$503,_calc!$E$314)))</f>
        <v/>
      </c>
      <c r="B312" s="43">
        <f>IF(_calc!$E$314="","",IF(ISNUMBER(INDEX('Checks'!$H$4:$H$503,_calc!$E$314)),TEXT(INDEX('Checks'!$H$4:$H$503,_calc!$E$314),"yyyy-mm-dd"),""))</f>
        <v/>
      </c>
      <c r="C312" s="43">
        <f>IF(_calc!$E$314="","","Right to work")</f>
        <v/>
      </c>
      <c r="D312" s="43">
        <f>IF(_calc!$E$314="","",IF(ISNUMBER(INDEX('Checks'!$F$4:$F$503,_calc!$E$314)),TEXT(INDEX('Checks'!$F$4:$F$503,_calc!$E$314),"yyyy-mm-dd"),""))</f>
        <v/>
      </c>
      <c r="E312" s="43">
        <f>IF(_calc!$E$314="","","High")</f>
        <v/>
      </c>
      <c r="F312" s="43">
        <f>IF(_calc!$E$314="","",TRIM(IF(LEN(IF(LEN(INDEX('Checks'!$B$4:$B$503,_calc!$E$314))=0,"",INDEX('Checks'!$B$4:$B$503,_calc!$E$314)))=0,"","Role: "&amp;IF(LEN(INDEX('Checks'!$B$4:$B$503,_calc!$E$314))=0,"",INDEX('Checks'!$B$4:$B$503,_calc!$E$314))&amp;". ")&amp;IF(LEN(IF(LEN(INDEX('Checks'!$D$4:$D$503,_calc!$E$314))=0,"",INDEX('Checks'!$D$4:$D$503,_calc!$E$314)))=0,"","Check type: "&amp;IF(LEN(INDEX('Checks'!$D$4:$D$503,_calc!$E$314))=0,"",INDEX('Checks'!$D$4:$D$503,_calc!$E$314))&amp;". ")&amp;IF(LEN(IF(LEN(INDEX('Checks'!$E$4:$E$503,_calc!$E$314))=0,"",INDEX('Checks'!$E$4:$E$503,_calc!$E$314)))=0,"","Evidence: "&amp;IF(LEN(INDEX('Checks'!$E$4:$E$503,_calc!$E$314))=0,"",INDEX('Checks'!$E$4:$E$503,_calc!$E$314))&amp;". ")&amp;IF(LEN(IF(LEN(INDEX('Checks'!$G$4:$G$503,_calc!$E$314))=0,"",INDEX('Checks'!$G$4:$G$503,_calc!$E$314)))=0,"","Checked by: "&amp;IF(LEN(INDEX('Checks'!$G$4:$G$503,_calc!$E$314))=0,"",INDEX('Checks'!$G$4:$G$503,_calc!$E$314))&amp;". ")&amp;IF(LEN(IF(LEN(INDEX('Checks'!$Q$4:$Q$503,_calc!$E$314))=0,"",INDEX('Checks'!$Q$4:$Q$503,_calc!$E$314)))=0,"",IF(LEN(INDEX('Checks'!$Q$4:$Q$503,_calc!$E$314))=0,"",INDEX('Checks'!$Q$4:$Q$503,_calc!$E$314)))))</f>
        <v/>
      </c>
      <c r="G312" s="43">
        <f>IF(_calc!$E$314="","",IF(LEN(INDEX('Checks'!$P$4:$P$503,_calc!$E$314))=0,"",INDEX('Checks'!$P$4:$P$503,_calc!$E$314)))</f>
        <v/>
      </c>
      <c r="K312" s="43">
        <f>IF(_calc!$E$314="","",IF(LEN(INDEX('Checks'!$O$4:$O$503,_calc!$E$314))=0,"",INDEX('Checks'!$O$4:$O$503,_calc!$E$314)))</f>
        <v/>
      </c>
    </row>
    <row r="313">
      <c r="A313" s="43">
        <f>IF(_calc!$E$315="","","Right to work follow-up – "&amp;IF(LEN(INDEX('Checks'!$A$4:$A$503,_calc!$E$315))=0,"",INDEX('Checks'!$A$4:$A$503,_calc!$E$315)))</f>
        <v/>
      </c>
      <c r="B313" s="43">
        <f>IF(_calc!$E$315="","",IF(ISNUMBER(INDEX('Checks'!$H$4:$H$503,_calc!$E$315)),TEXT(INDEX('Checks'!$H$4:$H$503,_calc!$E$315),"yyyy-mm-dd"),""))</f>
        <v/>
      </c>
      <c r="C313" s="43">
        <f>IF(_calc!$E$315="","","Right to work")</f>
        <v/>
      </c>
      <c r="D313" s="43">
        <f>IF(_calc!$E$315="","",IF(ISNUMBER(INDEX('Checks'!$F$4:$F$503,_calc!$E$315)),TEXT(INDEX('Checks'!$F$4:$F$503,_calc!$E$315),"yyyy-mm-dd"),""))</f>
        <v/>
      </c>
      <c r="E313" s="43">
        <f>IF(_calc!$E$315="","","High")</f>
        <v/>
      </c>
      <c r="F313" s="43">
        <f>IF(_calc!$E$315="","",TRIM(IF(LEN(IF(LEN(INDEX('Checks'!$B$4:$B$503,_calc!$E$315))=0,"",INDEX('Checks'!$B$4:$B$503,_calc!$E$315)))=0,"","Role: "&amp;IF(LEN(INDEX('Checks'!$B$4:$B$503,_calc!$E$315))=0,"",INDEX('Checks'!$B$4:$B$503,_calc!$E$315))&amp;". ")&amp;IF(LEN(IF(LEN(INDEX('Checks'!$D$4:$D$503,_calc!$E$315))=0,"",INDEX('Checks'!$D$4:$D$503,_calc!$E$315)))=0,"","Check type: "&amp;IF(LEN(INDEX('Checks'!$D$4:$D$503,_calc!$E$315))=0,"",INDEX('Checks'!$D$4:$D$503,_calc!$E$315))&amp;". ")&amp;IF(LEN(IF(LEN(INDEX('Checks'!$E$4:$E$503,_calc!$E$315))=0,"",INDEX('Checks'!$E$4:$E$503,_calc!$E$315)))=0,"","Evidence: "&amp;IF(LEN(INDEX('Checks'!$E$4:$E$503,_calc!$E$315))=0,"",INDEX('Checks'!$E$4:$E$503,_calc!$E$315))&amp;". ")&amp;IF(LEN(IF(LEN(INDEX('Checks'!$G$4:$G$503,_calc!$E$315))=0,"",INDEX('Checks'!$G$4:$G$503,_calc!$E$315)))=0,"","Checked by: "&amp;IF(LEN(INDEX('Checks'!$G$4:$G$503,_calc!$E$315))=0,"",INDEX('Checks'!$G$4:$G$503,_calc!$E$315))&amp;". ")&amp;IF(LEN(IF(LEN(INDEX('Checks'!$Q$4:$Q$503,_calc!$E$315))=0,"",INDEX('Checks'!$Q$4:$Q$503,_calc!$E$315)))=0,"",IF(LEN(INDEX('Checks'!$Q$4:$Q$503,_calc!$E$315))=0,"",INDEX('Checks'!$Q$4:$Q$503,_calc!$E$315)))))</f>
        <v/>
      </c>
      <c r="G313" s="43">
        <f>IF(_calc!$E$315="","",IF(LEN(INDEX('Checks'!$P$4:$P$503,_calc!$E$315))=0,"",INDEX('Checks'!$P$4:$P$503,_calc!$E$315)))</f>
        <v/>
      </c>
      <c r="K313" s="43">
        <f>IF(_calc!$E$315="","",IF(LEN(INDEX('Checks'!$O$4:$O$503,_calc!$E$315))=0,"",INDEX('Checks'!$O$4:$O$503,_calc!$E$315)))</f>
        <v/>
      </c>
    </row>
    <row r="314">
      <c r="A314" s="43">
        <f>IF(_calc!$E$316="","","Right to work follow-up – "&amp;IF(LEN(INDEX('Checks'!$A$4:$A$503,_calc!$E$316))=0,"",INDEX('Checks'!$A$4:$A$503,_calc!$E$316)))</f>
        <v/>
      </c>
      <c r="B314" s="43">
        <f>IF(_calc!$E$316="","",IF(ISNUMBER(INDEX('Checks'!$H$4:$H$503,_calc!$E$316)),TEXT(INDEX('Checks'!$H$4:$H$503,_calc!$E$316),"yyyy-mm-dd"),""))</f>
        <v/>
      </c>
      <c r="C314" s="43">
        <f>IF(_calc!$E$316="","","Right to work")</f>
        <v/>
      </c>
      <c r="D314" s="43">
        <f>IF(_calc!$E$316="","",IF(ISNUMBER(INDEX('Checks'!$F$4:$F$503,_calc!$E$316)),TEXT(INDEX('Checks'!$F$4:$F$503,_calc!$E$316),"yyyy-mm-dd"),""))</f>
        <v/>
      </c>
      <c r="E314" s="43">
        <f>IF(_calc!$E$316="","","High")</f>
        <v/>
      </c>
      <c r="F314" s="43">
        <f>IF(_calc!$E$316="","",TRIM(IF(LEN(IF(LEN(INDEX('Checks'!$B$4:$B$503,_calc!$E$316))=0,"",INDEX('Checks'!$B$4:$B$503,_calc!$E$316)))=0,"","Role: "&amp;IF(LEN(INDEX('Checks'!$B$4:$B$503,_calc!$E$316))=0,"",INDEX('Checks'!$B$4:$B$503,_calc!$E$316))&amp;". ")&amp;IF(LEN(IF(LEN(INDEX('Checks'!$D$4:$D$503,_calc!$E$316))=0,"",INDEX('Checks'!$D$4:$D$503,_calc!$E$316)))=0,"","Check type: "&amp;IF(LEN(INDEX('Checks'!$D$4:$D$503,_calc!$E$316))=0,"",INDEX('Checks'!$D$4:$D$503,_calc!$E$316))&amp;". ")&amp;IF(LEN(IF(LEN(INDEX('Checks'!$E$4:$E$503,_calc!$E$316))=0,"",INDEX('Checks'!$E$4:$E$503,_calc!$E$316)))=0,"","Evidence: "&amp;IF(LEN(INDEX('Checks'!$E$4:$E$503,_calc!$E$316))=0,"",INDEX('Checks'!$E$4:$E$503,_calc!$E$316))&amp;". ")&amp;IF(LEN(IF(LEN(INDEX('Checks'!$G$4:$G$503,_calc!$E$316))=0,"",INDEX('Checks'!$G$4:$G$503,_calc!$E$316)))=0,"","Checked by: "&amp;IF(LEN(INDEX('Checks'!$G$4:$G$503,_calc!$E$316))=0,"",INDEX('Checks'!$G$4:$G$503,_calc!$E$316))&amp;". ")&amp;IF(LEN(IF(LEN(INDEX('Checks'!$Q$4:$Q$503,_calc!$E$316))=0,"",INDEX('Checks'!$Q$4:$Q$503,_calc!$E$316)))=0,"",IF(LEN(INDEX('Checks'!$Q$4:$Q$503,_calc!$E$316))=0,"",INDEX('Checks'!$Q$4:$Q$503,_calc!$E$316)))))</f>
        <v/>
      </c>
      <c r="G314" s="43">
        <f>IF(_calc!$E$316="","",IF(LEN(INDEX('Checks'!$P$4:$P$503,_calc!$E$316))=0,"",INDEX('Checks'!$P$4:$P$503,_calc!$E$316)))</f>
        <v/>
      </c>
      <c r="K314" s="43">
        <f>IF(_calc!$E$316="","",IF(LEN(INDEX('Checks'!$O$4:$O$503,_calc!$E$316))=0,"",INDEX('Checks'!$O$4:$O$503,_calc!$E$316)))</f>
        <v/>
      </c>
    </row>
    <row r="315">
      <c r="A315" s="43">
        <f>IF(_calc!$E$317="","","Right to work follow-up – "&amp;IF(LEN(INDEX('Checks'!$A$4:$A$503,_calc!$E$317))=0,"",INDEX('Checks'!$A$4:$A$503,_calc!$E$317)))</f>
        <v/>
      </c>
      <c r="B315" s="43">
        <f>IF(_calc!$E$317="","",IF(ISNUMBER(INDEX('Checks'!$H$4:$H$503,_calc!$E$317)),TEXT(INDEX('Checks'!$H$4:$H$503,_calc!$E$317),"yyyy-mm-dd"),""))</f>
        <v/>
      </c>
      <c r="C315" s="43">
        <f>IF(_calc!$E$317="","","Right to work")</f>
        <v/>
      </c>
      <c r="D315" s="43">
        <f>IF(_calc!$E$317="","",IF(ISNUMBER(INDEX('Checks'!$F$4:$F$503,_calc!$E$317)),TEXT(INDEX('Checks'!$F$4:$F$503,_calc!$E$317),"yyyy-mm-dd"),""))</f>
        <v/>
      </c>
      <c r="E315" s="43">
        <f>IF(_calc!$E$317="","","High")</f>
        <v/>
      </c>
      <c r="F315" s="43">
        <f>IF(_calc!$E$317="","",TRIM(IF(LEN(IF(LEN(INDEX('Checks'!$B$4:$B$503,_calc!$E$317))=0,"",INDEX('Checks'!$B$4:$B$503,_calc!$E$317)))=0,"","Role: "&amp;IF(LEN(INDEX('Checks'!$B$4:$B$503,_calc!$E$317))=0,"",INDEX('Checks'!$B$4:$B$503,_calc!$E$317))&amp;". ")&amp;IF(LEN(IF(LEN(INDEX('Checks'!$D$4:$D$503,_calc!$E$317))=0,"",INDEX('Checks'!$D$4:$D$503,_calc!$E$317)))=0,"","Check type: "&amp;IF(LEN(INDEX('Checks'!$D$4:$D$503,_calc!$E$317))=0,"",INDEX('Checks'!$D$4:$D$503,_calc!$E$317))&amp;". ")&amp;IF(LEN(IF(LEN(INDEX('Checks'!$E$4:$E$503,_calc!$E$317))=0,"",INDEX('Checks'!$E$4:$E$503,_calc!$E$317)))=0,"","Evidence: "&amp;IF(LEN(INDEX('Checks'!$E$4:$E$503,_calc!$E$317))=0,"",INDEX('Checks'!$E$4:$E$503,_calc!$E$317))&amp;". ")&amp;IF(LEN(IF(LEN(INDEX('Checks'!$G$4:$G$503,_calc!$E$317))=0,"",INDEX('Checks'!$G$4:$G$503,_calc!$E$317)))=0,"","Checked by: "&amp;IF(LEN(INDEX('Checks'!$G$4:$G$503,_calc!$E$317))=0,"",INDEX('Checks'!$G$4:$G$503,_calc!$E$317))&amp;". ")&amp;IF(LEN(IF(LEN(INDEX('Checks'!$Q$4:$Q$503,_calc!$E$317))=0,"",INDEX('Checks'!$Q$4:$Q$503,_calc!$E$317)))=0,"",IF(LEN(INDEX('Checks'!$Q$4:$Q$503,_calc!$E$317))=0,"",INDEX('Checks'!$Q$4:$Q$503,_calc!$E$317)))))</f>
        <v/>
      </c>
      <c r="G315" s="43">
        <f>IF(_calc!$E$317="","",IF(LEN(INDEX('Checks'!$P$4:$P$503,_calc!$E$317))=0,"",INDEX('Checks'!$P$4:$P$503,_calc!$E$317)))</f>
        <v/>
      </c>
      <c r="K315" s="43">
        <f>IF(_calc!$E$317="","",IF(LEN(INDEX('Checks'!$O$4:$O$503,_calc!$E$317))=0,"",INDEX('Checks'!$O$4:$O$503,_calc!$E$317)))</f>
        <v/>
      </c>
    </row>
    <row r="316">
      <c r="A316" s="43">
        <f>IF(_calc!$E$318="","","Right to work follow-up – "&amp;IF(LEN(INDEX('Checks'!$A$4:$A$503,_calc!$E$318))=0,"",INDEX('Checks'!$A$4:$A$503,_calc!$E$318)))</f>
        <v/>
      </c>
      <c r="B316" s="43">
        <f>IF(_calc!$E$318="","",IF(ISNUMBER(INDEX('Checks'!$H$4:$H$503,_calc!$E$318)),TEXT(INDEX('Checks'!$H$4:$H$503,_calc!$E$318),"yyyy-mm-dd"),""))</f>
        <v/>
      </c>
      <c r="C316" s="43">
        <f>IF(_calc!$E$318="","","Right to work")</f>
        <v/>
      </c>
      <c r="D316" s="43">
        <f>IF(_calc!$E$318="","",IF(ISNUMBER(INDEX('Checks'!$F$4:$F$503,_calc!$E$318)),TEXT(INDEX('Checks'!$F$4:$F$503,_calc!$E$318),"yyyy-mm-dd"),""))</f>
        <v/>
      </c>
      <c r="E316" s="43">
        <f>IF(_calc!$E$318="","","High")</f>
        <v/>
      </c>
      <c r="F316" s="43">
        <f>IF(_calc!$E$318="","",TRIM(IF(LEN(IF(LEN(INDEX('Checks'!$B$4:$B$503,_calc!$E$318))=0,"",INDEX('Checks'!$B$4:$B$503,_calc!$E$318)))=0,"","Role: "&amp;IF(LEN(INDEX('Checks'!$B$4:$B$503,_calc!$E$318))=0,"",INDEX('Checks'!$B$4:$B$503,_calc!$E$318))&amp;". ")&amp;IF(LEN(IF(LEN(INDEX('Checks'!$D$4:$D$503,_calc!$E$318))=0,"",INDEX('Checks'!$D$4:$D$503,_calc!$E$318)))=0,"","Check type: "&amp;IF(LEN(INDEX('Checks'!$D$4:$D$503,_calc!$E$318))=0,"",INDEX('Checks'!$D$4:$D$503,_calc!$E$318))&amp;". ")&amp;IF(LEN(IF(LEN(INDEX('Checks'!$E$4:$E$503,_calc!$E$318))=0,"",INDEX('Checks'!$E$4:$E$503,_calc!$E$318)))=0,"","Evidence: "&amp;IF(LEN(INDEX('Checks'!$E$4:$E$503,_calc!$E$318))=0,"",INDEX('Checks'!$E$4:$E$503,_calc!$E$318))&amp;". ")&amp;IF(LEN(IF(LEN(INDEX('Checks'!$G$4:$G$503,_calc!$E$318))=0,"",INDEX('Checks'!$G$4:$G$503,_calc!$E$318)))=0,"","Checked by: "&amp;IF(LEN(INDEX('Checks'!$G$4:$G$503,_calc!$E$318))=0,"",INDEX('Checks'!$G$4:$G$503,_calc!$E$318))&amp;". ")&amp;IF(LEN(IF(LEN(INDEX('Checks'!$Q$4:$Q$503,_calc!$E$318))=0,"",INDEX('Checks'!$Q$4:$Q$503,_calc!$E$318)))=0,"",IF(LEN(INDEX('Checks'!$Q$4:$Q$503,_calc!$E$318))=0,"",INDEX('Checks'!$Q$4:$Q$503,_calc!$E$318)))))</f>
        <v/>
      </c>
      <c r="G316" s="43">
        <f>IF(_calc!$E$318="","",IF(LEN(INDEX('Checks'!$P$4:$P$503,_calc!$E$318))=0,"",INDEX('Checks'!$P$4:$P$503,_calc!$E$318)))</f>
        <v/>
      </c>
      <c r="K316" s="43">
        <f>IF(_calc!$E$318="","",IF(LEN(INDEX('Checks'!$O$4:$O$503,_calc!$E$318))=0,"",INDEX('Checks'!$O$4:$O$503,_calc!$E$318)))</f>
        <v/>
      </c>
    </row>
    <row r="317">
      <c r="A317" s="43">
        <f>IF(_calc!$E$319="","","Right to work follow-up – "&amp;IF(LEN(INDEX('Checks'!$A$4:$A$503,_calc!$E$319))=0,"",INDEX('Checks'!$A$4:$A$503,_calc!$E$319)))</f>
        <v/>
      </c>
      <c r="B317" s="43">
        <f>IF(_calc!$E$319="","",IF(ISNUMBER(INDEX('Checks'!$H$4:$H$503,_calc!$E$319)),TEXT(INDEX('Checks'!$H$4:$H$503,_calc!$E$319),"yyyy-mm-dd"),""))</f>
        <v/>
      </c>
      <c r="C317" s="43">
        <f>IF(_calc!$E$319="","","Right to work")</f>
        <v/>
      </c>
      <c r="D317" s="43">
        <f>IF(_calc!$E$319="","",IF(ISNUMBER(INDEX('Checks'!$F$4:$F$503,_calc!$E$319)),TEXT(INDEX('Checks'!$F$4:$F$503,_calc!$E$319),"yyyy-mm-dd"),""))</f>
        <v/>
      </c>
      <c r="E317" s="43">
        <f>IF(_calc!$E$319="","","High")</f>
        <v/>
      </c>
      <c r="F317" s="43">
        <f>IF(_calc!$E$319="","",TRIM(IF(LEN(IF(LEN(INDEX('Checks'!$B$4:$B$503,_calc!$E$319))=0,"",INDEX('Checks'!$B$4:$B$503,_calc!$E$319)))=0,"","Role: "&amp;IF(LEN(INDEX('Checks'!$B$4:$B$503,_calc!$E$319))=0,"",INDEX('Checks'!$B$4:$B$503,_calc!$E$319))&amp;". ")&amp;IF(LEN(IF(LEN(INDEX('Checks'!$D$4:$D$503,_calc!$E$319))=0,"",INDEX('Checks'!$D$4:$D$503,_calc!$E$319)))=0,"","Check type: "&amp;IF(LEN(INDEX('Checks'!$D$4:$D$503,_calc!$E$319))=0,"",INDEX('Checks'!$D$4:$D$503,_calc!$E$319))&amp;". ")&amp;IF(LEN(IF(LEN(INDEX('Checks'!$E$4:$E$503,_calc!$E$319))=0,"",INDEX('Checks'!$E$4:$E$503,_calc!$E$319)))=0,"","Evidence: "&amp;IF(LEN(INDEX('Checks'!$E$4:$E$503,_calc!$E$319))=0,"",INDEX('Checks'!$E$4:$E$503,_calc!$E$319))&amp;". ")&amp;IF(LEN(IF(LEN(INDEX('Checks'!$G$4:$G$503,_calc!$E$319))=0,"",INDEX('Checks'!$G$4:$G$503,_calc!$E$319)))=0,"","Checked by: "&amp;IF(LEN(INDEX('Checks'!$G$4:$G$503,_calc!$E$319))=0,"",INDEX('Checks'!$G$4:$G$503,_calc!$E$319))&amp;". ")&amp;IF(LEN(IF(LEN(INDEX('Checks'!$Q$4:$Q$503,_calc!$E$319))=0,"",INDEX('Checks'!$Q$4:$Q$503,_calc!$E$319)))=0,"",IF(LEN(INDEX('Checks'!$Q$4:$Q$503,_calc!$E$319))=0,"",INDEX('Checks'!$Q$4:$Q$503,_calc!$E$319)))))</f>
        <v/>
      </c>
      <c r="G317" s="43">
        <f>IF(_calc!$E$319="","",IF(LEN(INDEX('Checks'!$P$4:$P$503,_calc!$E$319))=0,"",INDEX('Checks'!$P$4:$P$503,_calc!$E$319)))</f>
        <v/>
      </c>
      <c r="K317" s="43">
        <f>IF(_calc!$E$319="","",IF(LEN(INDEX('Checks'!$O$4:$O$503,_calc!$E$319))=0,"",INDEX('Checks'!$O$4:$O$503,_calc!$E$319)))</f>
        <v/>
      </c>
    </row>
    <row r="318">
      <c r="A318" s="43">
        <f>IF(_calc!$E$320="","","Right to work follow-up – "&amp;IF(LEN(INDEX('Checks'!$A$4:$A$503,_calc!$E$320))=0,"",INDEX('Checks'!$A$4:$A$503,_calc!$E$320)))</f>
        <v/>
      </c>
      <c r="B318" s="43">
        <f>IF(_calc!$E$320="","",IF(ISNUMBER(INDEX('Checks'!$H$4:$H$503,_calc!$E$320)),TEXT(INDEX('Checks'!$H$4:$H$503,_calc!$E$320),"yyyy-mm-dd"),""))</f>
        <v/>
      </c>
      <c r="C318" s="43">
        <f>IF(_calc!$E$320="","","Right to work")</f>
        <v/>
      </c>
      <c r="D318" s="43">
        <f>IF(_calc!$E$320="","",IF(ISNUMBER(INDEX('Checks'!$F$4:$F$503,_calc!$E$320)),TEXT(INDEX('Checks'!$F$4:$F$503,_calc!$E$320),"yyyy-mm-dd"),""))</f>
        <v/>
      </c>
      <c r="E318" s="43">
        <f>IF(_calc!$E$320="","","High")</f>
        <v/>
      </c>
      <c r="F318" s="43">
        <f>IF(_calc!$E$320="","",TRIM(IF(LEN(IF(LEN(INDEX('Checks'!$B$4:$B$503,_calc!$E$320))=0,"",INDEX('Checks'!$B$4:$B$503,_calc!$E$320)))=0,"","Role: "&amp;IF(LEN(INDEX('Checks'!$B$4:$B$503,_calc!$E$320))=0,"",INDEX('Checks'!$B$4:$B$503,_calc!$E$320))&amp;". ")&amp;IF(LEN(IF(LEN(INDEX('Checks'!$D$4:$D$503,_calc!$E$320))=0,"",INDEX('Checks'!$D$4:$D$503,_calc!$E$320)))=0,"","Check type: "&amp;IF(LEN(INDEX('Checks'!$D$4:$D$503,_calc!$E$320))=0,"",INDEX('Checks'!$D$4:$D$503,_calc!$E$320))&amp;". ")&amp;IF(LEN(IF(LEN(INDEX('Checks'!$E$4:$E$503,_calc!$E$320))=0,"",INDEX('Checks'!$E$4:$E$503,_calc!$E$320)))=0,"","Evidence: "&amp;IF(LEN(INDEX('Checks'!$E$4:$E$503,_calc!$E$320))=0,"",INDEX('Checks'!$E$4:$E$503,_calc!$E$320))&amp;". ")&amp;IF(LEN(IF(LEN(INDEX('Checks'!$G$4:$G$503,_calc!$E$320))=0,"",INDEX('Checks'!$G$4:$G$503,_calc!$E$320)))=0,"","Checked by: "&amp;IF(LEN(INDEX('Checks'!$G$4:$G$503,_calc!$E$320))=0,"",INDEX('Checks'!$G$4:$G$503,_calc!$E$320))&amp;". ")&amp;IF(LEN(IF(LEN(INDEX('Checks'!$Q$4:$Q$503,_calc!$E$320))=0,"",INDEX('Checks'!$Q$4:$Q$503,_calc!$E$320)))=0,"",IF(LEN(INDEX('Checks'!$Q$4:$Q$503,_calc!$E$320))=0,"",INDEX('Checks'!$Q$4:$Q$503,_calc!$E$320)))))</f>
        <v/>
      </c>
      <c r="G318" s="43">
        <f>IF(_calc!$E$320="","",IF(LEN(INDEX('Checks'!$P$4:$P$503,_calc!$E$320))=0,"",INDEX('Checks'!$P$4:$P$503,_calc!$E$320)))</f>
        <v/>
      </c>
      <c r="K318" s="43">
        <f>IF(_calc!$E$320="","",IF(LEN(INDEX('Checks'!$O$4:$O$503,_calc!$E$320))=0,"",INDEX('Checks'!$O$4:$O$503,_calc!$E$320)))</f>
        <v/>
      </c>
    </row>
    <row r="319">
      <c r="A319" s="43">
        <f>IF(_calc!$E$321="","","Right to work follow-up – "&amp;IF(LEN(INDEX('Checks'!$A$4:$A$503,_calc!$E$321))=0,"",INDEX('Checks'!$A$4:$A$503,_calc!$E$321)))</f>
        <v/>
      </c>
      <c r="B319" s="43">
        <f>IF(_calc!$E$321="","",IF(ISNUMBER(INDEX('Checks'!$H$4:$H$503,_calc!$E$321)),TEXT(INDEX('Checks'!$H$4:$H$503,_calc!$E$321),"yyyy-mm-dd"),""))</f>
        <v/>
      </c>
      <c r="C319" s="43">
        <f>IF(_calc!$E$321="","","Right to work")</f>
        <v/>
      </c>
      <c r="D319" s="43">
        <f>IF(_calc!$E$321="","",IF(ISNUMBER(INDEX('Checks'!$F$4:$F$503,_calc!$E$321)),TEXT(INDEX('Checks'!$F$4:$F$503,_calc!$E$321),"yyyy-mm-dd"),""))</f>
        <v/>
      </c>
      <c r="E319" s="43">
        <f>IF(_calc!$E$321="","","High")</f>
        <v/>
      </c>
      <c r="F319" s="43">
        <f>IF(_calc!$E$321="","",TRIM(IF(LEN(IF(LEN(INDEX('Checks'!$B$4:$B$503,_calc!$E$321))=0,"",INDEX('Checks'!$B$4:$B$503,_calc!$E$321)))=0,"","Role: "&amp;IF(LEN(INDEX('Checks'!$B$4:$B$503,_calc!$E$321))=0,"",INDEX('Checks'!$B$4:$B$503,_calc!$E$321))&amp;". ")&amp;IF(LEN(IF(LEN(INDEX('Checks'!$D$4:$D$503,_calc!$E$321))=0,"",INDEX('Checks'!$D$4:$D$503,_calc!$E$321)))=0,"","Check type: "&amp;IF(LEN(INDEX('Checks'!$D$4:$D$503,_calc!$E$321))=0,"",INDEX('Checks'!$D$4:$D$503,_calc!$E$321))&amp;". ")&amp;IF(LEN(IF(LEN(INDEX('Checks'!$E$4:$E$503,_calc!$E$321))=0,"",INDEX('Checks'!$E$4:$E$503,_calc!$E$321)))=0,"","Evidence: "&amp;IF(LEN(INDEX('Checks'!$E$4:$E$503,_calc!$E$321))=0,"",INDEX('Checks'!$E$4:$E$503,_calc!$E$321))&amp;". ")&amp;IF(LEN(IF(LEN(INDEX('Checks'!$G$4:$G$503,_calc!$E$321))=0,"",INDEX('Checks'!$G$4:$G$503,_calc!$E$321)))=0,"","Checked by: "&amp;IF(LEN(INDEX('Checks'!$G$4:$G$503,_calc!$E$321))=0,"",INDEX('Checks'!$G$4:$G$503,_calc!$E$321))&amp;". ")&amp;IF(LEN(IF(LEN(INDEX('Checks'!$Q$4:$Q$503,_calc!$E$321))=0,"",INDEX('Checks'!$Q$4:$Q$503,_calc!$E$321)))=0,"",IF(LEN(INDEX('Checks'!$Q$4:$Q$503,_calc!$E$321))=0,"",INDEX('Checks'!$Q$4:$Q$503,_calc!$E$321)))))</f>
        <v/>
      </c>
      <c r="G319" s="43">
        <f>IF(_calc!$E$321="","",IF(LEN(INDEX('Checks'!$P$4:$P$503,_calc!$E$321))=0,"",INDEX('Checks'!$P$4:$P$503,_calc!$E$321)))</f>
        <v/>
      </c>
      <c r="K319" s="43">
        <f>IF(_calc!$E$321="","",IF(LEN(INDEX('Checks'!$O$4:$O$503,_calc!$E$321))=0,"",INDEX('Checks'!$O$4:$O$503,_calc!$E$321)))</f>
        <v/>
      </c>
    </row>
    <row r="320">
      <c r="A320" s="43">
        <f>IF(_calc!$E$322="","","Right to work follow-up – "&amp;IF(LEN(INDEX('Checks'!$A$4:$A$503,_calc!$E$322))=0,"",INDEX('Checks'!$A$4:$A$503,_calc!$E$322)))</f>
        <v/>
      </c>
      <c r="B320" s="43">
        <f>IF(_calc!$E$322="","",IF(ISNUMBER(INDEX('Checks'!$H$4:$H$503,_calc!$E$322)),TEXT(INDEX('Checks'!$H$4:$H$503,_calc!$E$322),"yyyy-mm-dd"),""))</f>
        <v/>
      </c>
      <c r="C320" s="43">
        <f>IF(_calc!$E$322="","","Right to work")</f>
        <v/>
      </c>
      <c r="D320" s="43">
        <f>IF(_calc!$E$322="","",IF(ISNUMBER(INDEX('Checks'!$F$4:$F$503,_calc!$E$322)),TEXT(INDEX('Checks'!$F$4:$F$503,_calc!$E$322),"yyyy-mm-dd"),""))</f>
        <v/>
      </c>
      <c r="E320" s="43">
        <f>IF(_calc!$E$322="","","High")</f>
        <v/>
      </c>
      <c r="F320" s="43">
        <f>IF(_calc!$E$322="","",TRIM(IF(LEN(IF(LEN(INDEX('Checks'!$B$4:$B$503,_calc!$E$322))=0,"",INDEX('Checks'!$B$4:$B$503,_calc!$E$322)))=0,"","Role: "&amp;IF(LEN(INDEX('Checks'!$B$4:$B$503,_calc!$E$322))=0,"",INDEX('Checks'!$B$4:$B$503,_calc!$E$322))&amp;". ")&amp;IF(LEN(IF(LEN(INDEX('Checks'!$D$4:$D$503,_calc!$E$322))=0,"",INDEX('Checks'!$D$4:$D$503,_calc!$E$322)))=0,"","Check type: "&amp;IF(LEN(INDEX('Checks'!$D$4:$D$503,_calc!$E$322))=0,"",INDEX('Checks'!$D$4:$D$503,_calc!$E$322))&amp;". ")&amp;IF(LEN(IF(LEN(INDEX('Checks'!$E$4:$E$503,_calc!$E$322))=0,"",INDEX('Checks'!$E$4:$E$503,_calc!$E$322)))=0,"","Evidence: "&amp;IF(LEN(INDEX('Checks'!$E$4:$E$503,_calc!$E$322))=0,"",INDEX('Checks'!$E$4:$E$503,_calc!$E$322))&amp;". ")&amp;IF(LEN(IF(LEN(INDEX('Checks'!$G$4:$G$503,_calc!$E$322))=0,"",INDEX('Checks'!$G$4:$G$503,_calc!$E$322)))=0,"","Checked by: "&amp;IF(LEN(INDEX('Checks'!$G$4:$G$503,_calc!$E$322))=0,"",INDEX('Checks'!$G$4:$G$503,_calc!$E$322))&amp;". ")&amp;IF(LEN(IF(LEN(INDEX('Checks'!$Q$4:$Q$503,_calc!$E$322))=0,"",INDEX('Checks'!$Q$4:$Q$503,_calc!$E$322)))=0,"",IF(LEN(INDEX('Checks'!$Q$4:$Q$503,_calc!$E$322))=0,"",INDEX('Checks'!$Q$4:$Q$503,_calc!$E$322)))))</f>
        <v/>
      </c>
      <c r="G320" s="43">
        <f>IF(_calc!$E$322="","",IF(LEN(INDEX('Checks'!$P$4:$P$503,_calc!$E$322))=0,"",INDEX('Checks'!$P$4:$P$503,_calc!$E$322)))</f>
        <v/>
      </c>
      <c r="K320" s="43">
        <f>IF(_calc!$E$322="","",IF(LEN(INDEX('Checks'!$O$4:$O$503,_calc!$E$322))=0,"",INDEX('Checks'!$O$4:$O$503,_calc!$E$322)))</f>
        <v/>
      </c>
    </row>
    <row r="321">
      <c r="A321" s="43">
        <f>IF(_calc!$E$323="","","Right to work follow-up – "&amp;IF(LEN(INDEX('Checks'!$A$4:$A$503,_calc!$E$323))=0,"",INDEX('Checks'!$A$4:$A$503,_calc!$E$323)))</f>
        <v/>
      </c>
      <c r="B321" s="43">
        <f>IF(_calc!$E$323="","",IF(ISNUMBER(INDEX('Checks'!$H$4:$H$503,_calc!$E$323)),TEXT(INDEX('Checks'!$H$4:$H$503,_calc!$E$323),"yyyy-mm-dd"),""))</f>
        <v/>
      </c>
      <c r="C321" s="43">
        <f>IF(_calc!$E$323="","","Right to work")</f>
        <v/>
      </c>
      <c r="D321" s="43">
        <f>IF(_calc!$E$323="","",IF(ISNUMBER(INDEX('Checks'!$F$4:$F$503,_calc!$E$323)),TEXT(INDEX('Checks'!$F$4:$F$503,_calc!$E$323),"yyyy-mm-dd"),""))</f>
        <v/>
      </c>
      <c r="E321" s="43">
        <f>IF(_calc!$E$323="","","High")</f>
        <v/>
      </c>
      <c r="F321" s="43">
        <f>IF(_calc!$E$323="","",TRIM(IF(LEN(IF(LEN(INDEX('Checks'!$B$4:$B$503,_calc!$E$323))=0,"",INDEX('Checks'!$B$4:$B$503,_calc!$E$323)))=0,"","Role: "&amp;IF(LEN(INDEX('Checks'!$B$4:$B$503,_calc!$E$323))=0,"",INDEX('Checks'!$B$4:$B$503,_calc!$E$323))&amp;". ")&amp;IF(LEN(IF(LEN(INDEX('Checks'!$D$4:$D$503,_calc!$E$323))=0,"",INDEX('Checks'!$D$4:$D$503,_calc!$E$323)))=0,"","Check type: "&amp;IF(LEN(INDEX('Checks'!$D$4:$D$503,_calc!$E$323))=0,"",INDEX('Checks'!$D$4:$D$503,_calc!$E$323))&amp;". ")&amp;IF(LEN(IF(LEN(INDEX('Checks'!$E$4:$E$503,_calc!$E$323))=0,"",INDEX('Checks'!$E$4:$E$503,_calc!$E$323)))=0,"","Evidence: "&amp;IF(LEN(INDEX('Checks'!$E$4:$E$503,_calc!$E$323))=0,"",INDEX('Checks'!$E$4:$E$503,_calc!$E$323))&amp;". ")&amp;IF(LEN(IF(LEN(INDEX('Checks'!$G$4:$G$503,_calc!$E$323))=0,"",INDEX('Checks'!$G$4:$G$503,_calc!$E$323)))=0,"","Checked by: "&amp;IF(LEN(INDEX('Checks'!$G$4:$G$503,_calc!$E$323))=0,"",INDEX('Checks'!$G$4:$G$503,_calc!$E$323))&amp;". ")&amp;IF(LEN(IF(LEN(INDEX('Checks'!$Q$4:$Q$503,_calc!$E$323))=0,"",INDEX('Checks'!$Q$4:$Q$503,_calc!$E$323)))=0,"",IF(LEN(INDEX('Checks'!$Q$4:$Q$503,_calc!$E$323))=0,"",INDEX('Checks'!$Q$4:$Q$503,_calc!$E$323)))))</f>
        <v/>
      </c>
      <c r="G321" s="43">
        <f>IF(_calc!$E$323="","",IF(LEN(INDEX('Checks'!$P$4:$P$503,_calc!$E$323))=0,"",INDEX('Checks'!$P$4:$P$503,_calc!$E$323)))</f>
        <v/>
      </c>
      <c r="K321" s="43">
        <f>IF(_calc!$E$323="","",IF(LEN(INDEX('Checks'!$O$4:$O$503,_calc!$E$323))=0,"",INDEX('Checks'!$O$4:$O$503,_calc!$E$323)))</f>
        <v/>
      </c>
    </row>
    <row r="322">
      <c r="A322" s="43">
        <f>IF(_calc!$E$324="","","Right to work follow-up – "&amp;IF(LEN(INDEX('Checks'!$A$4:$A$503,_calc!$E$324))=0,"",INDEX('Checks'!$A$4:$A$503,_calc!$E$324)))</f>
        <v/>
      </c>
      <c r="B322" s="43">
        <f>IF(_calc!$E$324="","",IF(ISNUMBER(INDEX('Checks'!$H$4:$H$503,_calc!$E$324)),TEXT(INDEX('Checks'!$H$4:$H$503,_calc!$E$324),"yyyy-mm-dd"),""))</f>
        <v/>
      </c>
      <c r="C322" s="43">
        <f>IF(_calc!$E$324="","","Right to work")</f>
        <v/>
      </c>
      <c r="D322" s="43">
        <f>IF(_calc!$E$324="","",IF(ISNUMBER(INDEX('Checks'!$F$4:$F$503,_calc!$E$324)),TEXT(INDEX('Checks'!$F$4:$F$503,_calc!$E$324),"yyyy-mm-dd"),""))</f>
        <v/>
      </c>
      <c r="E322" s="43">
        <f>IF(_calc!$E$324="","","High")</f>
        <v/>
      </c>
      <c r="F322" s="43">
        <f>IF(_calc!$E$324="","",TRIM(IF(LEN(IF(LEN(INDEX('Checks'!$B$4:$B$503,_calc!$E$324))=0,"",INDEX('Checks'!$B$4:$B$503,_calc!$E$324)))=0,"","Role: "&amp;IF(LEN(INDEX('Checks'!$B$4:$B$503,_calc!$E$324))=0,"",INDEX('Checks'!$B$4:$B$503,_calc!$E$324))&amp;". ")&amp;IF(LEN(IF(LEN(INDEX('Checks'!$D$4:$D$503,_calc!$E$324))=0,"",INDEX('Checks'!$D$4:$D$503,_calc!$E$324)))=0,"","Check type: "&amp;IF(LEN(INDEX('Checks'!$D$4:$D$503,_calc!$E$324))=0,"",INDEX('Checks'!$D$4:$D$503,_calc!$E$324))&amp;". ")&amp;IF(LEN(IF(LEN(INDEX('Checks'!$E$4:$E$503,_calc!$E$324))=0,"",INDEX('Checks'!$E$4:$E$503,_calc!$E$324)))=0,"","Evidence: "&amp;IF(LEN(INDEX('Checks'!$E$4:$E$503,_calc!$E$324))=0,"",INDEX('Checks'!$E$4:$E$503,_calc!$E$324))&amp;". ")&amp;IF(LEN(IF(LEN(INDEX('Checks'!$G$4:$G$503,_calc!$E$324))=0,"",INDEX('Checks'!$G$4:$G$503,_calc!$E$324)))=0,"","Checked by: "&amp;IF(LEN(INDEX('Checks'!$G$4:$G$503,_calc!$E$324))=0,"",INDEX('Checks'!$G$4:$G$503,_calc!$E$324))&amp;". ")&amp;IF(LEN(IF(LEN(INDEX('Checks'!$Q$4:$Q$503,_calc!$E$324))=0,"",INDEX('Checks'!$Q$4:$Q$503,_calc!$E$324)))=0,"",IF(LEN(INDEX('Checks'!$Q$4:$Q$503,_calc!$E$324))=0,"",INDEX('Checks'!$Q$4:$Q$503,_calc!$E$324)))))</f>
        <v/>
      </c>
      <c r="G322" s="43">
        <f>IF(_calc!$E$324="","",IF(LEN(INDEX('Checks'!$P$4:$P$503,_calc!$E$324))=0,"",INDEX('Checks'!$P$4:$P$503,_calc!$E$324)))</f>
        <v/>
      </c>
      <c r="K322" s="43">
        <f>IF(_calc!$E$324="","",IF(LEN(INDEX('Checks'!$O$4:$O$503,_calc!$E$324))=0,"",INDEX('Checks'!$O$4:$O$503,_calc!$E$324)))</f>
        <v/>
      </c>
    </row>
    <row r="323">
      <c r="A323" s="43">
        <f>IF(_calc!$E$325="","","Right to work follow-up – "&amp;IF(LEN(INDEX('Checks'!$A$4:$A$503,_calc!$E$325))=0,"",INDEX('Checks'!$A$4:$A$503,_calc!$E$325)))</f>
        <v/>
      </c>
      <c r="B323" s="43">
        <f>IF(_calc!$E$325="","",IF(ISNUMBER(INDEX('Checks'!$H$4:$H$503,_calc!$E$325)),TEXT(INDEX('Checks'!$H$4:$H$503,_calc!$E$325),"yyyy-mm-dd"),""))</f>
        <v/>
      </c>
      <c r="C323" s="43">
        <f>IF(_calc!$E$325="","","Right to work")</f>
        <v/>
      </c>
      <c r="D323" s="43">
        <f>IF(_calc!$E$325="","",IF(ISNUMBER(INDEX('Checks'!$F$4:$F$503,_calc!$E$325)),TEXT(INDEX('Checks'!$F$4:$F$503,_calc!$E$325),"yyyy-mm-dd"),""))</f>
        <v/>
      </c>
      <c r="E323" s="43">
        <f>IF(_calc!$E$325="","","High")</f>
        <v/>
      </c>
      <c r="F323" s="43">
        <f>IF(_calc!$E$325="","",TRIM(IF(LEN(IF(LEN(INDEX('Checks'!$B$4:$B$503,_calc!$E$325))=0,"",INDEX('Checks'!$B$4:$B$503,_calc!$E$325)))=0,"","Role: "&amp;IF(LEN(INDEX('Checks'!$B$4:$B$503,_calc!$E$325))=0,"",INDEX('Checks'!$B$4:$B$503,_calc!$E$325))&amp;". ")&amp;IF(LEN(IF(LEN(INDEX('Checks'!$D$4:$D$503,_calc!$E$325))=0,"",INDEX('Checks'!$D$4:$D$503,_calc!$E$325)))=0,"","Check type: "&amp;IF(LEN(INDEX('Checks'!$D$4:$D$503,_calc!$E$325))=0,"",INDEX('Checks'!$D$4:$D$503,_calc!$E$325))&amp;". ")&amp;IF(LEN(IF(LEN(INDEX('Checks'!$E$4:$E$503,_calc!$E$325))=0,"",INDEX('Checks'!$E$4:$E$503,_calc!$E$325)))=0,"","Evidence: "&amp;IF(LEN(INDEX('Checks'!$E$4:$E$503,_calc!$E$325))=0,"",INDEX('Checks'!$E$4:$E$503,_calc!$E$325))&amp;". ")&amp;IF(LEN(IF(LEN(INDEX('Checks'!$G$4:$G$503,_calc!$E$325))=0,"",INDEX('Checks'!$G$4:$G$503,_calc!$E$325)))=0,"","Checked by: "&amp;IF(LEN(INDEX('Checks'!$G$4:$G$503,_calc!$E$325))=0,"",INDEX('Checks'!$G$4:$G$503,_calc!$E$325))&amp;". ")&amp;IF(LEN(IF(LEN(INDEX('Checks'!$Q$4:$Q$503,_calc!$E$325))=0,"",INDEX('Checks'!$Q$4:$Q$503,_calc!$E$325)))=0,"",IF(LEN(INDEX('Checks'!$Q$4:$Q$503,_calc!$E$325))=0,"",INDEX('Checks'!$Q$4:$Q$503,_calc!$E$325)))))</f>
        <v/>
      </c>
      <c r="G323" s="43">
        <f>IF(_calc!$E$325="","",IF(LEN(INDEX('Checks'!$P$4:$P$503,_calc!$E$325))=0,"",INDEX('Checks'!$P$4:$P$503,_calc!$E$325)))</f>
        <v/>
      </c>
      <c r="K323" s="43">
        <f>IF(_calc!$E$325="","",IF(LEN(INDEX('Checks'!$O$4:$O$503,_calc!$E$325))=0,"",INDEX('Checks'!$O$4:$O$503,_calc!$E$325)))</f>
        <v/>
      </c>
    </row>
    <row r="324">
      <c r="A324" s="43">
        <f>IF(_calc!$E$326="","","Right to work follow-up – "&amp;IF(LEN(INDEX('Checks'!$A$4:$A$503,_calc!$E$326))=0,"",INDEX('Checks'!$A$4:$A$503,_calc!$E$326)))</f>
        <v/>
      </c>
      <c r="B324" s="43">
        <f>IF(_calc!$E$326="","",IF(ISNUMBER(INDEX('Checks'!$H$4:$H$503,_calc!$E$326)),TEXT(INDEX('Checks'!$H$4:$H$503,_calc!$E$326),"yyyy-mm-dd"),""))</f>
        <v/>
      </c>
      <c r="C324" s="43">
        <f>IF(_calc!$E$326="","","Right to work")</f>
        <v/>
      </c>
      <c r="D324" s="43">
        <f>IF(_calc!$E$326="","",IF(ISNUMBER(INDEX('Checks'!$F$4:$F$503,_calc!$E$326)),TEXT(INDEX('Checks'!$F$4:$F$503,_calc!$E$326),"yyyy-mm-dd"),""))</f>
        <v/>
      </c>
      <c r="E324" s="43">
        <f>IF(_calc!$E$326="","","High")</f>
        <v/>
      </c>
      <c r="F324" s="43">
        <f>IF(_calc!$E$326="","",TRIM(IF(LEN(IF(LEN(INDEX('Checks'!$B$4:$B$503,_calc!$E$326))=0,"",INDEX('Checks'!$B$4:$B$503,_calc!$E$326)))=0,"","Role: "&amp;IF(LEN(INDEX('Checks'!$B$4:$B$503,_calc!$E$326))=0,"",INDEX('Checks'!$B$4:$B$503,_calc!$E$326))&amp;". ")&amp;IF(LEN(IF(LEN(INDEX('Checks'!$D$4:$D$503,_calc!$E$326))=0,"",INDEX('Checks'!$D$4:$D$503,_calc!$E$326)))=0,"","Check type: "&amp;IF(LEN(INDEX('Checks'!$D$4:$D$503,_calc!$E$326))=0,"",INDEX('Checks'!$D$4:$D$503,_calc!$E$326))&amp;". ")&amp;IF(LEN(IF(LEN(INDEX('Checks'!$E$4:$E$503,_calc!$E$326))=0,"",INDEX('Checks'!$E$4:$E$503,_calc!$E$326)))=0,"","Evidence: "&amp;IF(LEN(INDEX('Checks'!$E$4:$E$503,_calc!$E$326))=0,"",INDEX('Checks'!$E$4:$E$503,_calc!$E$326))&amp;". ")&amp;IF(LEN(IF(LEN(INDEX('Checks'!$G$4:$G$503,_calc!$E$326))=0,"",INDEX('Checks'!$G$4:$G$503,_calc!$E$326)))=0,"","Checked by: "&amp;IF(LEN(INDEX('Checks'!$G$4:$G$503,_calc!$E$326))=0,"",INDEX('Checks'!$G$4:$G$503,_calc!$E$326))&amp;". ")&amp;IF(LEN(IF(LEN(INDEX('Checks'!$Q$4:$Q$503,_calc!$E$326))=0,"",INDEX('Checks'!$Q$4:$Q$503,_calc!$E$326)))=0,"",IF(LEN(INDEX('Checks'!$Q$4:$Q$503,_calc!$E$326))=0,"",INDEX('Checks'!$Q$4:$Q$503,_calc!$E$326)))))</f>
        <v/>
      </c>
      <c r="G324" s="43">
        <f>IF(_calc!$E$326="","",IF(LEN(INDEX('Checks'!$P$4:$P$503,_calc!$E$326))=0,"",INDEX('Checks'!$P$4:$P$503,_calc!$E$326)))</f>
        <v/>
      </c>
      <c r="K324" s="43">
        <f>IF(_calc!$E$326="","",IF(LEN(INDEX('Checks'!$O$4:$O$503,_calc!$E$326))=0,"",INDEX('Checks'!$O$4:$O$503,_calc!$E$326)))</f>
        <v/>
      </c>
    </row>
    <row r="325">
      <c r="A325" s="43">
        <f>IF(_calc!$E$327="","","Right to work follow-up – "&amp;IF(LEN(INDEX('Checks'!$A$4:$A$503,_calc!$E$327))=0,"",INDEX('Checks'!$A$4:$A$503,_calc!$E$327)))</f>
        <v/>
      </c>
      <c r="B325" s="43">
        <f>IF(_calc!$E$327="","",IF(ISNUMBER(INDEX('Checks'!$H$4:$H$503,_calc!$E$327)),TEXT(INDEX('Checks'!$H$4:$H$503,_calc!$E$327),"yyyy-mm-dd"),""))</f>
        <v/>
      </c>
      <c r="C325" s="43">
        <f>IF(_calc!$E$327="","","Right to work")</f>
        <v/>
      </c>
      <c r="D325" s="43">
        <f>IF(_calc!$E$327="","",IF(ISNUMBER(INDEX('Checks'!$F$4:$F$503,_calc!$E$327)),TEXT(INDEX('Checks'!$F$4:$F$503,_calc!$E$327),"yyyy-mm-dd"),""))</f>
        <v/>
      </c>
      <c r="E325" s="43">
        <f>IF(_calc!$E$327="","","High")</f>
        <v/>
      </c>
      <c r="F325" s="43">
        <f>IF(_calc!$E$327="","",TRIM(IF(LEN(IF(LEN(INDEX('Checks'!$B$4:$B$503,_calc!$E$327))=0,"",INDEX('Checks'!$B$4:$B$503,_calc!$E$327)))=0,"","Role: "&amp;IF(LEN(INDEX('Checks'!$B$4:$B$503,_calc!$E$327))=0,"",INDEX('Checks'!$B$4:$B$503,_calc!$E$327))&amp;". ")&amp;IF(LEN(IF(LEN(INDEX('Checks'!$D$4:$D$503,_calc!$E$327))=0,"",INDEX('Checks'!$D$4:$D$503,_calc!$E$327)))=0,"","Check type: "&amp;IF(LEN(INDEX('Checks'!$D$4:$D$503,_calc!$E$327))=0,"",INDEX('Checks'!$D$4:$D$503,_calc!$E$327))&amp;". ")&amp;IF(LEN(IF(LEN(INDEX('Checks'!$E$4:$E$503,_calc!$E$327))=0,"",INDEX('Checks'!$E$4:$E$503,_calc!$E$327)))=0,"","Evidence: "&amp;IF(LEN(INDEX('Checks'!$E$4:$E$503,_calc!$E$327))=0,"",INDEX('Checks'!$E$4:$E$503,_calc!$E$327))&amp;". ")&amp;IF(LEN(IF(LEN(INDEX('Checks'!$G$4:$G$503,_calc!$E$327))=0,"",INDEX('Checks'!$G$4:$G$503,_calc!$E$327)))=0,"","Checked by: "&amp;IF(LEN(INDEX('Checks'!$G$4:$G$503,_calc!$E$327))=0,"",INDEX('Checks'!$G$4:$G$503,_calc!$E$327))&amp;". ")&amp;IF(LEN(IF(LEN(INDEX('Checks'!$Q$4:$Q$503,_calc!$E$327))=0,"",INDEX('Checks'!$Q$4:$Q$503,_calc!$E$327)))=0,"",IF(LEN(INDEX('Checks'!$Q$4:$Q$503,_calc!$E$327))=0,"",INDEX('Checks'!$Q$4:$Q$503,_calc!$E$327)))))</f>
        <v/>
      </c>
      <c r="G325" s="43">
        <f>IF(_calc!$E$327="","",IF(LEN(INDEX('Checks'!$P$4:$P$503,_calc!$E$327))=0,"",INDEX('Checks'!$P$4:$P$503,_calc!$E$327)))</f>
        <v/>
      </c>
      <c r="K325" s="43">
        <f>IF(_calc!$E$327="","",IF(LEN(INDEX('Checks'!$O$4:$O$503,_calc!$E$327))=0,"",INDEX('Checks'!$O$4:$O$503,_calc!$E$327)))</f>
        <v/>
      </c>
    </row>
    <row r="326">
      <c r="A326" s="43">
        <f>IF(_calc!$E$328="","","Right to work follow-up – "&amp;IF(LEN(INDEX('Checks'!$A$4:$A$503,_calc!$E$328))=0,"",INDEX('Checks'!$A$4:$A$503,_calc!$E$328)))</f>
        <v/>
      </c>
      <c r="B326" s="43">
        <f>IF(_calc!$E$328="","",IF(ISNUMBER(INDEX('Checks'!$H$4:$H$503,_calc!$E$328)),TEXT(INDEX('Checks'!$H$4:$H$503,_calc!$E$328),"yyyy-mm-dd"),""))</f>
        <v/>
      </c>
      <c r="C326" s="43">
        <f>IF(_calc!$E$328="","","Right to work")</f>
        <v/>
      </c>
      <c r="D326" s="43">
        <f>IF(_calc!$E$328="","",IF(ISNUMBER(INDEX('Checks'!$F$4:$F$503,_calc!$E$328)),TEXT(INDEX('Checks'!$F$4:$F$503,_calc!$E$328),"yyyy-mm-dd"),""))</f>
        <v/>
      </c>
      <c r="E326" s="43">
        <f>IF(_calc!$E$328="","","High")</f>
        <v/>
      </c>
      <c r="F326" s="43">
        <f>IF(_calc!$E$328="","",TRIM(IF(LEN(IF(LEN(INDEX('Checks'!$B$4:$B$503,_calc!$E$328))=0,"",INDEX('Checks'!$B$4:$B$503,_calc!$E$328)))=0,"","Role: "&amp;IF(LEN(INDEX('Checks'!$B$4:$B$503,_calc!$E$328))=0,"",INDEX('Checks'!$B$4:$B$503,_calc!$E$328))&amp;". ")&amp;IF(LEN(IF(LEN(INDEX('Checks'!$D$4:$D$503,_calc!$E$328))=0,"",INDEX('Checks'!$D$4:$D$503,_calc!$E$328)))=0,"","Check type: "&amp;IF(LEN(INDEX('Checks'!$D$4:$D$503,_calc!$E$328))=0,"",INDEX('Checks'!$D$4:$D$503,_calc!$E$328))&amp;". ")&amp;IF(LEN(IF(LEN(INDEX('Checks'!$E$4:$E$503,_calc!$E$328))=0,"",INDEX('Checks'!$E$4:$E$503,_calc!$E$328)))=0,"","Evidence: "&amp;IF(LEN(INDEX('Checks'!$E$4:$E$503,_calc!$E$328))=0,"",INDEX('Checks'!$E$4:$E$503,_calc!$E$328))&amp;". ")&amp;IF(LEN(IF(LEN(INDEX('Checks'!$G$4:$G$503,_calc!$E$328))=0,"",INDEX('Checks'!$G$4:$G$503,_calc!$E$328)))=0,"","Checked by: "&amp;IF(LEN(INDEX('Checks'!$G$4:$G$503,_calc!$E$328))=0,"",INDEX('Checks'!$G$4:$G$503,_calc!$E$328))&amp;". ")&amp;IF(LEN(IF(LEN(INDEX('Checks'!$Q$4:$Q$503,_calc!$E$328))=0,"",INDEX('Checks'!$Q$4:$Q$503,_calc!$E$328)))=0,"",IF(LEN(INDEX('Checks'!$Q$4:$Q$503,_calc!$E$328))=0,"",INDEX('Checks'!$Q$4:$Q$503,_calc!$E$328)))))</f>
        <v/>
      </c>
      <c r="G326" s="43">
        <f>IF(_calc!$E$328="","",IF(LEN(INDEX('Checks'!$P$4:$P$503,_calc!$E$328))=0,"",INDEX('Checks'!$P$4:$P$503,_calc!$E$328)))</f>
        <v/>
      </c>
      <c r="K326" s="43">
        <f>IF(_calc!$E$328="","",IF(LEN(INDEX('Checks'!$O$4:$O$503,_calc!$E$328))=0,"",INDEX('Checks'!$O$4:$O$503,_calc!$E$328)))</f>
        <v/>
      </c>
    </row>
    <row r="327">
      <c r="A327" s="43">
        <f>IF(_calc!$E$329="","","Right to work follow-up – "&amp;IF(LEN(INDEX('Checks'!$A$4:$A$503,_calc!$E$329))=0,"",INDEX('Checks'!$A$4:$A$503,_calc!$E$329)))</f>
        <v/>
      </c>
      <c r="B327" s="43">
        <f>IF(_calc!$E$329="","",IF(ISNUMBER(INDEX('Checks'!$H$4:$H$503,_calc!$E$329)),TEXT(INDEX('Checks'!$H$4:$H$503,_calc!$E$329),"yyyy-mm-dd"),""))</f>
        <v/>
      </c>
      <c r="C327" s="43">
        <f>IF(_calc!$E$329="","","Right to work")</f>
        <v/>
      </c>
      <c r="D327" s="43">
        <f>IF(_calc!$E$329="","",IF(ISNUMBER(INDEX('Checks'!$F$4:$F$503,_calc!$E$329)),TEXT(INDEX('Checks'!$F$4:$F$503,_calc!$E$329),"yyyy-mm-dd"),""))</f>
        <v/>
      </c>
      <c r="E327" s="43">
        <f>IF(_calc!$E$329="","","High")</f>
        <v/>
      </c>
      <c r="F327" s="43">
        <f>IF(_calc!$E$329="","",TRIM(IF(LEN(IF(LEN(INDEX('Checks'!$B$4:$B$503,_calc!$E$329))=0,"",INDEX('Checks'!$B$4:$B$503,_calc!$E$329)))=0,"","Role: "&amp;IF(LEN(INDEX('Checks'!$B$4:$B$503,_calc!$E$329))=0,"",INDEX('Checks'!$B$4:$B$503,_calc!$E$329))&amp;". ")&amp;IF(LEN(IF(LEN(INDEX('Checks'!$D$4:$D$503,_calc!$E$329))=0,"",INDEX('Checks'!$D$4:$D$503,_calc!$E$329)))=0,"","Check type: "&amp;IF(LEN(INDEX('Checks'!$D$4:$D$503,_calc!$E$329))=0,"",INDEX('Checks'!$D$4:$D$503,_calc!$E$329))&amp;". ")&amp;IF(LEN(IF(LEN(INDEX('Checks'!$E$4:$E$503,_calc!$E$329))=0,"",INDEX('Checks'!$E$4:$E$503,_calc!$E$329)))=0,"","Evidence: "&amp;IF(LEN(INDEX('Checks'!$E$4:$E$503,_calc!$E$329))=0,"",INDEX('Checks'!$E$4:$E$503,_calc!$E$329))&amp;". ")&amp;IF(LEN(IF(LEN(INDEX('Checks'!$G$4:$G$503,_calc!$E$329))=0,"",INDEX('Checks'!$G$4:$G$503,_calc!$E$329)))=0,"","Checked by: "&amp;IF(LEN(INDEX('Checks'!$G$4:$G$503,_calc!$E$329))=0,"",INDEX('Checks'!$G$4:$G$503,_calc!$E$329))&amp;". ")&amp;IF(LEN(IF(LEN(INDEX('Checks'!$Q$4:$Q$503,_calc!$E$329))=0,"",INDEX('Checks'!$Q$4:$Q$503,_calc!$E$329)))=0,"",IF(LEN(INDEX('Checks'!$Q$4:$Q$503,_calc!$E$329))=0,"",INDEX('Checks'!$Q$4:$Q$503,_calc!$E$329)))))</f>
        <v/>
      </c>
      <c r="G327" s="43">
        <f>IF(_calc!$E$329="","",IF(LEN(INDEX('Checks'!$P$4:$P$503,_calc!$E$329))=0,"",INDEX('Checks'!$P$4:$P$503,_calc!$E$329)))</f>
        <v/>
      </c>
      <c r="K327" s="43">
        <f>IF(_calc!$E$329="","",IF(LEN(INDEX('Checks'!$O$4:$O$503,_calc!$E$329))=0,"",INDEX('Checks'!$O$4:$O$503,_calc!$E$329)))</f>
        <v/>
      </c>
    </row>
    <row r="328">
      <c r="A328" s="43">
        <f>IF(_calc!$E$330="","","Right to work follow-up – "&amp;IF(LEN(INDEX('Checks'!$A$4:$A$503,_calc!$E$330))=0,"",INDEX('Checks'!$A$4:$A$503,_calc!$E$330)))</f>
        <v/>
      </c>
      <c r="B328" s="43">
        <f>IF(_calc!$E$330="","",IF(ISNUMBER(INDEX('Checks'!$H$4:$H$503,_calc!$E$330)),TEXT(INDEX('Checks'!$H$4:$H$503,_calc!$E$330),"yyyy-mm-dd"),""))</f>
        <v/>
      </c>
      <c r="C328" s="43">
        <f>IF(_calc!$E$330="","","Right to work")</f>
        <v/>
      </c>
      <c r="D328" s="43">
        <f>IF(_calc!$E$330="","",IF(ISNUMBER(INDEX('Checks'!$F$4:$F$503,_calc!$E$330)),TEXT(INDEX('Checks'!$F$4:$F$503,_calc!$E$330),"yyyy-mm-dd"),""))</f>
        <v/>
      </c>
      <c r="E328" s="43">
        <f>IF(_calc!$E$330="","","High")</f>
        <v/>
      </c>
      <c r="F328" s="43">
        <f>IF(_calc!$E$330="","",TRIM(IF(LEN(IF(LEN(INDEX('Checks'!$B$4:$B$503,_calc!$E$330))=0,"",INDEX('Checks'!$B$4:$B$503,_calc!$E$330)))=0,"","Role: "&amp;IF(LEN(INDEX('Checks'!$B$4:$B$503,_calc!$E$330))=0,"",INDEX('Checks'!$B$4:$B$503,_calc!$E$330))&amp;". ")&amp;IF(LEN(IF(LEN(INDEX('Checks'!$D$4:$D$503,_calc!$E$330))=0,"",INDEX('Checks'!$D$4:$D$503,_calc!$E$330)))=0,"","Check type: "&amp;IF(LEN(INDEX('Checks'!$D$4:$D$503,_calc!$E$330))=0,"",INDEX('Checks'!$D$4:$D$503,_calc!$E$330))&amp;". ")&amp;IF(LEN(IF(LEN(INDEX('Checks'!$E$4:$E$503,_calc!$E$330))=0,"",INDEX('Checks'!$E$4:$E$503,_calc!$E$330)))=0,"","Evidence: "&amp;IF(LEN(INDEX('Checks'!$E$4:$E$503,_calc!$E$330))=0,"",INDEX('Checks'!$E$4:$E$503,_calc!$E$330))&amp;". ")&amp;IF(LEN(IF(LEN(INDEX('Checks'!$G$4:$G$503,_calc!$E$330))=0,"",INDEX('Checks'!$G$4:$G$503,_calc!$E$330)))=0,"","Checked by: "&amp;IF(LEN(INDEX('Checks'!$G$4:$G$503,_calc!$E$330))=0,"",INDEX('Checks'!$G$4:$G$503,_calc!$E$330))&amp;". ")&amp;IF(LEN(IF(LEN(INDEX('Checks'!$Q$4:$Q$503,_calc!$E$330))=0,"",INDEX('Checks'!$Q$4:$Q$503,_calc!$E$330)))=0,"",IF(LEN(INDEX('Checks'!$Q$4:$Q$503,_calc!$E$330))=0,"",INDEX('Checks'!$Q$4:$Q$503,_calc!$E$330)))))</f>
        <v/>
      </c>
      <c r="G328" s="43">
        <f>IF(_calc!$E$330="","",IF(LEN(INDEX('Checks'!$P$4:$P$503,_calc!$E$330))=0,"",INDEX('Checks'!$P$4:$P$503,_calc!$E$330)))</f>
        <v/>
      </c>
      <c r="K328" s="43">
        <f>IF(_calc!$E$330="","",IF(LEN(INDEX('Checks'!$O$4:$O$503,_calc!$E$330))=0,"",INDEX('Checks'!$O$4:$O$503,_calc!$E$330)))</f>
        <v/>
      </c>
    </row>
    <row r="329">
      <c r="A329" s="43">
        <f>IF(_calc!$E$331="","","Right to work follow-up – "&amp;IF(LEN(INDEX('Checks'!$A$4:$A$503,_calc!$E$331))=0,"",INDEX('Checks'!$A$4:$A$503,_calc!$E$331)))</f>
        <v/>
      </c>
      <c r="B329" s="43">
        <f>IF(_calc!$E$331="","",IF(ISNUMBER(INDEX('Checks'!$H$4:$H$503,_calc!$E$331)),TEXT(INDEX('Checks'!$H$4:$H$503,_calc!$E$331),"yyyy-mm-dd"),""))</f>
        <v/>
      </c>
      <c r="C329" s="43">
        <f>IF(_calc!$E$331="","","Right to work")</f>
        <v/>
      </c>
      <c r="D329" s="43">
        <f>IF(_calc!$E$331="","",IF(ISNUMBER(INDEX('Checks'!$F$4:$F$503,_calc!$E$331)),TEXT(INDEX('Checks'!$F$4:$F$503,_calc!$E$331),"yyyy-mm-dd"),""))</f>
        <v/>
      </c>
      <c r="E329" s="43">
        <f>IF(_calc!$E$331="","","High")</f>
        <v/>
      </c>
      <c r="F329" s="43">
        <f>IF(_calc!$E$331="","",TRIM(IF(LEN(IF(LEN(INDEX('Checks'!$B$4:$B$503,_calc!$E$331))=0,"",INDEX('Checks'!$B$4:$B$503,_calc!$E$331)))=0,"","Role: "&amp;IF(LEN(INDEX('Checks'!$B$4:$B$503,_calc!$E$331))=0,"",INDEX('Checks'!$B$4:$B$503,_calc!$E$331))&amp;". ")&amp;IF(LEN(IF(LEN(INDEX('Checks'!$D$4:$D$503,_calc!$E$331))=0,"",INDEX('Checks'!$D$4:$D$503,_calc!$E$331)))=0,"","Check type: "&amp;IF(LEN(INDEX('Checks'!$D$4:$D$503,_calc!$E$331))=0,"",INDEX('Checks'!$D$4:$D$503,_calc!$E$331))&amp;". ")&amp;IF(LEN(IF(LEN(INDEX('Checks'!$E$4:$E$503,_calc!$E$331))=0,"",INDEX('Checks'!$E$4:$E$503,_calc!$E$331)))=0,"","Evidence: "&amp;IF(LEN(INDEX('Checks'!$E$4:$E$503,_calc!$E$331))=0,"",INDEX('Checks'!$E$4:$E$503,_calc!$E$331))&amp;". ")&amp;IF(LEN(IF(LEN(INDEX('Checks'!$G$4:$G$503,_calc!$E$331))=0,"",INDEX('Checks'!$G$4:$G$503,_calc!$E$331)))=0,"","Checked by: "&amp;IF(LEN(INDEX('Checks'!$G$4:$G$503,_calc!$E$331))=0,"",INDEX('Checks'!$G$4:$G$503,_calc!$E$331))&amp;". ")&amp;IF(LEN(IF(LEN(INDEX('Checks'!$Q$4:$Q$503,_calc!$E$331))=0,"",INDEX('Checks'!$Q$4:$Q$503,_calc!$E$331)))=0,"",IF(LEN(INDEX('Checks'!$Q$4:$Q$503,_calc!$E$331))=0,"",INDEX('Checks'!$Q$4:$Q$503,_calc!$E$331)))))</f>
        <v/>
      </c>
      <c r="G329" s="43">
        <f>IF(_calc!$E$331="","",IF(LEN(INDEX('Checks'!$P$4:$P$503,_calc!$E$331))=0,"",INDEX('Checks'!$P$4:$P$503,_calc!$E$331)))</f>
        <v/>
      </c>
      <c r="K329" s="43">
        <f>IF(_calc!$E$331="","",IF(LEN(INDEX('Checks'!$O$4:$O$503,_calc!$E$331))=0,"",INDEX('Checks'!$O$4:$O$503,_calc!$E$331)))</f>
        <v/>
      </c>
    </row>
    <row r="330">
      <c r="A330" s="43">
        <f>IF(_calc!$E$332="","","Right to work follow-up – "&amp;IF(LEN(INDEX('Checks'!$A$4:$A$503,_calc!$E$332))=0,"",INDEX('Checks'!$A$4:$A$503,_calc!$E$332)))</f>
        <v/>
      </c>
      <c r="B330" s="43">
        <f>IF(_calc!$E$332="","",IF(ISNUMBER(INDEX('Checks'!$H$4:$H$503,_calc!$E$332)),TEXT(INDEX('Checks'!$H$4:$H$503,_calc!$E$332),"yyyy-mm-dd"),""))</f>
        <v/>
      </c>
      <c r="C330" s="43">
        <f>IF(_calc!$E$332="","","Right to work")</f>
        <v/>
      </c>
      <c r="D330" s="43">
        <f>IF(_calc!$E$332="","",IF(ISNUMBER(INDEX('Checks'!$F$4:$F$503,_calc!$E$332)),TEXT(INDEX('Checks'!$F$4:$F$503,_calc!$E$332),"yyyy-mm-dd"),""))</f>
        <v/>
      </c>
      <c r="E330" s="43">
        <f>IF(_calc!$E$332="","","High")</f>
        <v/>
      </c>
      <c r="F330" s="43">
        <f>IF(_calc!$E$332="","",TRIM(IF(LEN(IF(LEN(INDEX('Checks'!$B$4:$B$503,_calc!$E$332))=0,"",INDEX('Checks'!$B$4:$B$503,_calc!$E$332)))=0,"","Role: "&amp;IF(LEN(INDEX('Checks'!$B$4:$B$503,_calc!$E$332))=0,"",INDEX('Checks'!$B$4:$B$503,_calc!$E$332))&amp;". ")&amp;IF(LEN(IF(LEN(INDEX('Checks'!$D$4:$D$503,_calc!$E$332))=0,"",INDEX('Checks'!$D$4:$D$503,_calc!$E$332)))=0,"","Check type: "&amp;IF(LEN(INDEX('Checks'!$D$4:$D$503,_calc!$E$332))=0,"",INDEX('Checks'!$D$4:$D$503,_calc!$E$332))&amp;". ")&amp;IF(LEN(IF(LEN(INDEX('Checks'!$E$4:$E$503,_calc!$E$332))=0,"",INDEX('Checks'!$E$4:$E$503,_calc!$E$332)))=0,"","Evidence: "&amp;IF(LEN(INDEX('Checks'!$E$4:$E$503,_calc!$E$332))=0,"",INDEX('Checks'!$E$4:$E$503,_calc!$E$332))&amp;". ")&amp;IF(LEN(IF(LEN(INDEX('Checks'!$G$4:$G$503,_calc!$E$332))=0,"",INDEX('Checks'!$G$4:$G$503,_calc!$E$332)))=0,"","Checked by: "&amp;IF(LEN(INDEX('Checks'!$G$4:$G$503,_calc!$E$332))=0,"",INDEX('Checks'!$G$4:$G$503,_calc!$E$332))&amp;". ")&amp;IF(LEN(IF(LEN(INDEX('Checks'!$Q$4:$Q$503,_calc!$E$332))=0,"",INDEX('Checks'!$Q$4:$Q$503,_calc!$E$332)))=0,"",IF(LEN(INDEX('Checks'!$Q$4:$Q$503,_calc!$E$332))=0,"",INDEX('Checks'!$Q$4:$Q$503,_calc!$E$332)))))</f>
        <v/>
      </c>
      <c r="G330" s="43">
        <f>IF(_calc!$E$332="","",IF(LEN(INDEX('Checks'!$P$4:$P$503,_calc!$E$332))=0,"",INDEX('Checks'!$P$4:$P$503,_calc!$E$332)))</f>
        <v/>
      </c>
      <c r="K330" s="43">
        <f>IF(_calc!$E$332="","",IF(LEN(INDEX('Checks'!$O$4:$O$503,_calc!$E$332))=0,"",INDEX('Checks'!$O$4:$O$503,_calc!$E$332)))</f>
        <v/>
      </c>
    </row>
    <row r="331">
      <c r="A331" s="43">
        <f>IF(_calc!$E$333="","","Right to work follow-up – "&amp;IF(LEN(INDEX('Checks'!$A$4:$A$503,_calc!$E$333))=0,"",INDEX('Checks'!$A$4:$A$503,_calc!$E$333)))</f>
        <v/>
      </c>
      <c r="B331" s="43">
        <f>IF(_calc!$E$333="","",IF(ISNUMBER(INDEX('Checks'!$H$4:$H$503,_calc!$E$333)),TEXT(INDEX('Checks'!$H$4:$H$503,_calc!$E$333),"yyyy-mm-dd"),""))</f>
        <v/>
      </c>
      <c r="C331" s="43">
        <f>IF(_calc!$E$333="","","Right to work")</f>
        <v/>
      </c>
      <c r="D331" s="43">
        <f>IF(_calc!$E$333="","",IF(ISNUMBER(INDEX('Checks'!$F$4:$F$503,_calc!$E$333)),TEXT(INDEX('Checks'!$F$4:$F$503,_calc!$E$333),"yyyy-mm-dd"),""))</f>
        <v/>
      </c>
      <c r="E331" s="43">
        <f>IF(_calc!$E$333="","","High")</f>
        <v/>
      </c>
      <c r="F331" s="43">
        <f>IF(_calc!$E$333="","",TRIM(IF(LEN(IF(LEN(INDEX('Checks'!$B$4:$B$503,_calc!$E$333))=0,"",INDEX('Checks'!$B$4:$B$503,_calc!$E$333)))=0,"","Role: "&amp;IF(LEN(INDEX('Checks'!$B$4:$B$503,_calc!$E$333))=0,"",INDEX('Checks'!$B$4:$B$503,_calc!$E$333))&amp;". ")&amp;IF(LEN(IF(LEN(INDEX('Checks'!$D$4:$D$503,_calc!$E$333))=0,"",INDEX('Checks'!$D$4:$D$503,_calc!$E$333)))=0,"","Check type: "&amp;IF(LEN(INDEX('Checks'!$D$4:$D$503,_calc!$E$333))=0,"",INDEX('Checks'!$D$4:$D$503,_calc!$E$333))&amp;". ")&amp;IF(LEN(IF(LEN(INDEX('Checks'!$E$4:$E$503,_calc!$E$333))=0,"",INDEX('Checks'!$E$4:$E$503,_calc!$E$333)))=0,"","Evidence: "&amp;IF(LEN(INDEX('Checks'!$E$4:$E$503,_calc!$E$333))=0,"",INDEX('Checks'!$E$4:$E$503,_calc!$E$333))&amp;". ")&amp;IF(LEN(IF(LEN(INDEX('Checks'!$G$4:$G$503,_calc!$E$333))=0,"",INDEX('Checks'!$G$4:$G$503,_calc!$E$333)))=0,"","Checked by: "&amp;IF(LEN(INDEX('Checks'!$G$4:$G$503,_calc!$E$333))=0,"",INDEX('Checks'!$G$4:$G$503,_calc!$E$333))&amp;". ")&amp;IF(LEN(IF(LEN(INDEX('Checks'!$Q$4:$Q$503,_calc!$E$333))=0,"",INDEX('Checks'!$Q$4:$Q$503,_calc!$E$333)))=0,"",IF(LEN(INDEX('Checks'!$Q$4:$Q$503,_calc!$E$333))=0,"",INDEX('Checks'!$Q$4:$Q$503,_calc!$E$333)))))</f>
        <v/>
      </c>
      <c r="G331" s="43">
        <f>IF(_calc!$E$333="","",IF(LEN(INDEX('Checks'!$P$4:$P$503,_calc!$E$333))=0,"",INDEX('Checks'!$P$4:$P$503,_calc!$E$333)))</f>
        <v/>
      </c>
      <c r="K331" s="43">
        <f>IF(_calc!$E$333="","",IF(LEN(INDEX('Checks'!$O$4:$O$503,_calc!$E$333))=0,"",INDEX('Checks'!$O$4:$O$503,_calc!$E$333)))</f>
        <v/>
      </c>
    </row>
    <row r="332">
      <c r="A332" s="43">
        <f>IF(_calc!$E$334="","","Right to work follow-up – "&amp;IF(LEN(INDEX('Checks'!$A$4:$A$503,_calc!$E$334))=0,"",INDEX('Checks'!$A$4:$A$503,_calc!$E$334)))</f>
        <v/>
      </c>
      <c r="B332" s="43">
        <f>IF(_calc!$E$334="","",IF(ISNUMBER(INDEX('Checks'!$H$4:$H$503,_calc!$E$334)),TEXT(INDEX('Checks'!$H$4:$H$503,_calc!$E$334),"yyyy-mm-dd"),""))</f>
        <v/>
      </c>
      <c r="C332" s="43">
        <f>IF(_calc!$E$334="","","Right to work")</f>
        <v/>
      </c>
      <c r="D332" s="43">
        <f>IF(_calc!$E$334="","",IF(ISNUMBER(INDEX('Checks'!$F$4:$F$503,_calc!$E$334)),TEXT(INDEX('Checks'!$F$4:$F$503,_calc!$E$334),"yyyy-mm-dd"),""))</f>
        <v/>
      </c>
      <c r="E332" s="43">
        <f>IF(_calc!$E$334="","","High")</f>
        <v/>
      </c>
      <c r="F332" s="43">
        <f>IF(_calc!$E$334="","",TRIM(IF(LEN(IF(LEN(INDEX('Checks'!$B$4:$B$503,_calc!$E$334))=0,"",INDEX('Checks'!$B$4:$B$503,_calc!$E$334)))=0,"","Role: "&amp;IF(LEN(INDEX('Checks'!$B$4:$B$503,_calc!$E$334))=0,"",INDEX('Checks'!$B$4:$B$503,_calc!$E$334))&amp;". ")&amp;IF(LEN(IF(LEN(INDEX('Checks'!$D$4:$D$503,_calc!$E$334))=0,"",INDEX('Checks'!$D$4:$D$503,_calc!$E$334)))=0,"","Check type: "&amp;IF(LEN(INDEX('Checks'!$D$4:$D$503,_calc!$E$334))=0,"",INDEX('Checks'!$D$4:$D$503,_calc!$E$334))&amp;". ")&amp;IF(LEN(IF(LEN(INDEX('Checks'!$E$4:$E$503,_calc!$E$334))=0,"",INDEX('Checks'!$E$4:$E$503,_calc!$E$334)))=0,"","Evidence: "&amp;IF(LEN(INDEX('Checks'!$E$4:$E$503,_calc!$E$334))=0,"",INDEX('Checks'!$E$4:$E$503,_calc!$E$334))&amp;". ")&amp;IF(LEN(IF(LEN(INDEX('Checks'!$G$4:$G$503,_calc!$E$334))=0,"",INDEX('Checks'!$G$4:$G$503,_calc!$E$334)))=0,"","Checked by: "&amp;IF(LEN(INDEX('Checks'!$G$4:$G$503,_calc!$E$334))=0,"",INDEX('Checks'!$G$4:$G$503,_calc!$E$334))&amp;". ")&amp;IF(LEN(IF(LEN(INDEX('Checks'!$Q$4:$Q$503,_calc!$E$334))=0,"",INDEX('Checks'!$Q$4:$Q$503,_calc!$E$334)))=0,"",IF(LEN(INDEX('Checks'!$Q$4:$Q$503,_calc!$E$334))=0,"",INDEX('Checks'!$Q$4:$Q$503,_calc!$E$334)))))</f>
        <v/>
      </c>
      <c r="G332" s="43">
        <f>IF(_calc!$E$334="","",IF(LEN(INDEX('Checks'!$P$4:$P$503,_calc!$E$334))=0,"",INDEX('Checks'!$P$4:$P$503,_calc!$E$334)))</f>
        <v/>
      </c>
      <c r="K332" s="43">
        <f>IF(_calc!$E$334="","",IF(LEN(INDEX('Checks'!$O$4:$O$503,_calc!$E$334))=0,"",INDEX('Checks'!$O$4:$O$503,_calc!$E$334)))</f>
        <v/>
      </c>
    </row>
    <row r="333">
      <c r="A333" s="43">
        <f>IF(_calc!$E$335="","","Right to work follow-up – "&amp;IF(LEN(INDEX('Checks'!$A$4:$A$503,_calc!$E$335))=0,"",INDEX('Checks'!$A$4:$A$503,_calc!$E$335)))</f>
        <v/>
      </c>
      <c r="B333" s="43">
        <f>IF(_calc!$E$335="","",IF(ISNUMBER(INDEX('Checks'!$H$4:$H$503,_calc!$E$335)),TEXT(INDEX('Checks'!$H$4:$H$503,_calc!$E$335),"yyyy-mm-dd"),""))</f>
        <v/>
      </c>
      <c r="C333" s="43">
        <f>IF(_calc!$E$335="","","Right to work")</f>
        <v/>
      </c>
      <c r="D333" s="43">
        <f>IF(_calc!$E$335="","",IF(ISNUMBER(INDEX('Checks'!$F$4:$F$503,_calc!$E$335)),TEXT(INDEX('Checks'!$F$4:$F$503,_calc!$E$335),"yyyy-mm-dd"),""))</f>
        <v/>
      </c>
      <c r="E333" s="43">
        <f>IF(_calc!$E$335="","","High")</f>
        <v/>
      </c>
      <c r="F333" s="43">
        <f>IF(_calc!$E$335="","",TRIM(IF(LEN(IF(LEN(INDEX('Checks'!$B$4:$B$503,_calc!$E$335))=0,"",INDEX('Checks'!$B$4:$B$503,_calc!$E$335)))=0,"","Role: "&amp;IF(LEN(INDEX('Checks'!$B$4:$B$503,_calc!$E$335))=0,"",INDEX('Checks'!$B$4:$B$503,_calc!$E$335))&amp;". ")&amp;IF(LEN(IF(LEN(INDEX('Checks'!$D$4:$D$503,_calc!$E$335))=0,"",INDEX('Checks'!$D$4:$D$503,_calc!$E$335)))=0,"","Check type: "&amp;IF(LEN(INDEX('Checks'!$D$4:$D$503,_calc!$E$335))=0,"",INDEX('Checks'!$D$4:$D$503,_calc!$E$335))&amp;". ")&amp;IF(LEN(IF(LEN(INDEX('Checks'!$E$4:$E$503,_calc!$E$335))=0,"",INDEX('Checks'!$E$4:$E$503,_calc!$E$335)))=0,"","Evidence: "&amp;IF(LEN(INDEX('Checks'!$E$4:$E$503,_calc!$E$335))=0,"",INDEX('Checks'!$E$4:$E$503,_calc!$E$335))&amp;". ")&amp;IF(LEN(IF(LEN(INDEX('Checks'!$G$4:$G$503,_calc!$E$335))=0,"",INDEX('Checks'!$G$4:$G$503,_calc!$E$335)))=0,"","Checked by: "&amp;IF(LEN(INDEX('Checks'!$G$4:$G$503,_calc!$E$335))=0,"",INDEX('Checks'!$G$4:$G$503,_calc!$E$335))&amp;". ")&amp;IF(LEN(IF(LEN(INDEX('Checks'!$Q$4:$Q$503,_calc!$E$335))=0,"",INDEX('Checks'!$Q$4:$Q$503,_calc!$E$335)))=0,"",IF(LEN(INDEX('Checks'!$Q$4:$Q$503,_calc!$E$335))=0,"",INDEX('Checks'!$Q$4:$Q$503,_calc!$E$335)))))</f>
        <v/>
      </c>
      <c r="G333" s="43">
        <f>IF(_calc!$E$335="","",IF(LEN(INDEX('Checks'!$P$4:$P$503,_calc!$E$335))=0,"",INDEX('Checks'!$P$4:$P$503,_calc!$E$335)))</f>
        <v/>
      </c>
      <c r="K333" s="43">
        <f>IF(_calc!$E$335="","",IF(LEN(INDEX('Checks'!$O$4:$O$503,_calc!$E$335))=0,"",INDEX('Checks'!$O$4:$O$503,_calc!$E$335)))</f>
        <v/>
      </c>
    </row>
    <row r="334">
      <c r="A334" s="43">
        <f>IF(_calc!$E$336="","","Right to work follow-up – "&amp;IF(LEN(INDEX('Checks'!$A$4:$A$503,_calc!$E$336))=0,"",INDEX('Checks'!$A$4:$A$503,_calc!$E$336)))</f>
        <v/>
      </c>
      <c r="B334" s="43">
        <f>IF(_calc!$E$336="","",IF(ISNUMBER(INDEX('Checks'!$H$4:$H$503,_calc!$E$336)),TEXT(INDEX('Checks'!$H$4:$H$503,_calc!$E$336),"yyyy-mm-dd"),""))</f>
        <v/>
      </c>
      <c r="C334" s="43">
        <f>IF(_calc!$E$336="","","Right to work")</f>
        <v/>
      </c>
      <c r="D334" s="43">
        <f>IF(_calc!$E$336="","",IF(ISNUMBER(INDEX('Checks'!$F$4:$F$503,_calc!$E$336)),TEXT(INDEX('Checks'!$F$4:$F$503,_calc!$E$336),"yyyy-mm-dd"),""))</f>
        <v/>
      </c>
      <c r="E334" s="43">
        <f>IF(_calc!$E$336="","","High")</f>
        <v/>
      </c>
      <c r="F334" s="43">
        <f>IF(_calc!$E$336="","",TRIM(IF(LEN(IF(LEN(INDEX('Checks'!$B$4:$B$503,_calc!$E$336))=0,"",INDEX('Checks'!$B$4:$B$503,_calc!$E$336)))=0,"","Role: "&amp;IF(LEN(INDEX('Checks'!$B$4:$B$503,_calc!$E$336))=0,"",INDEX('Checks'!$B$4:$B$503,_calc!$E$336))&amp;". ")&amp;IF(LEN(IF(LEN(INDEX('Checks'!$D$4:$D$503,_calc!$E$336))=0,"",INDEX('Checks'!$D$4:$D$503,_calc!$E$336)))=0,"","Check type: "&amp;IF(LEN(INDEX('Checks'!$D$4:$D$503,_calc!$E$336))=0,"",INDEX('Checks'!$D$4:$D$503,_calc!$E$336))&amp;". ")&amp;IF(LEN(IF(LEN(INDEX('Checks'!$E$4:$E$503,_calc!$E$336))=0,"",INDEX('Checks'!$E$4:$E$503,_calc!$E$336)))=0,"","Evidence: "&amp;IF(LEN(INDEX('Checks'!$E$4:$E$503,_calc!$E$336))=0,"",INDEX('Checks'!$E$4:$E$503,_calc!$E$336))&amp;". ")&amp;IF(LEN(IF(LEN(INDEX('Checks'!$G$4:$G$503,_calc!$E$336))=0,"",INDEX('Checks'!$G$4:$G$503,_calc!$E$336)))=0,"","Checked by: "&amp;IF(LEN(INDEX('Checks'!$G$4:$G$503,_calc!$E$336))=0,"",INDEX('Checks'!$G$4:$G$503,_calc!$E$336))&amp;". ")&amp;IF(LEN(IF(LEN(INDEX('Checks'!$Q$4:$Q$503,_calc!$E$336))=0,"",INDEX('Checks'!$Q$4:$Q$503,_calc!$E$336)))=0,"",IF(LEN(INDEX('Checks'!$Q$4:$Q$503,_calc!$E$336))=0,"",INDEX('Checks'!$Q$4:$Q$503,_calc!$E$336)))))</f>
        <v/>
      </c>
      <c r="G334" s="43">
        <f>IF(_calc!$E$336="","",IF(LEN(INDEX('Checks'!$P$4:$P$503,_calc!$E$336))=0,"",INDEX('Checks'!$P$4:$P$503,_calc!$E$336)))</f>
        <v/>
      </c>
      <c r="K334" s="43">
        <f>IF(_calc!$E$336="","",IF(LEN(INDEX('Checks'!$O$4:$O$503,_calc!$E$336))=0,"",INDEX('Checks'!$O$4:$O$503,_calc!$E$336)))</f>
        <v/>
      </c>
    </row>
    <row r="335">
      <c r="A335" s="43">
        <f>IF(_calc!$E$337="","","Right to work follow-up – "&amp;IF(LEN(INDEX('Checks'!$A$4:$A$503,_calc!$E$337))=0,"",INDEX('Checks'!$A$4:$A$503,_calc!$E$337)))</f>
        <v/>
      </c>
      <c r="B335" s="43">
        <f>IF(_calc!$E$337="","",IF(ISNUMBER(INDEX('Checks'!$H$4:$H$503,_calc!$E$337)),TEXT(INDEX('Checks'!$H$4:$H$503,_calc!$E$337),"yyyy-mm-dd"),""))</f>
        <v/>
      </c>
      <c r="C335" s="43">
        <f>IF(_calc!$E$337="","","Right to work")</f>
        <v/>
      </c>
      <c r="D335" s="43">
        <f>IF(_calc!$E$337="","",IF(ISNUMBER(INDEX('Checks'!$F$4:$F$503,_calc!$E$337)),TEXT(INDEX('Checks'!$F$4:$F$503,_calc!$E$337),"yyyy-mm-dd"),""))</f>
        <v/>
      </c>
      <c r="E335" s="43">
        <f>IF(_calc!$E$337="","","High")</f>
        <v/>
      </c>
      <c r="F335" s="43">
        <f>IF(_calc!$E$337="","",TRIM(IF(LEN(IF(LEN(INDEX('Checks'!$B$4:$B$503,_calc!$E$337))=0,"",INDEX('Checks'!$B$4:$B$503,_calc!$E$337)))=0,"","Role: "&amp;IF(LEN(INDEX('Checks'!$B$4:$B$503,_calc!$E$337))=0,"",INDEX('Checks'!$B$4:$B$503,_calc!$E$337))&amp;". ")&amp;IF(LEN(IF(LEN(INDEX('Checks'!$D$4:$D$503,_calc!$E$337))=0,"",INDEX('Checks'!$D$4:$D$503,_calc!$E$337)))=0,"","Check type: "&amp;IF(LEN(INDEX('Checks'!$D$4:$D$503,_calc!$E$337))=0,"",INDEX('Checks'!$D$4:$D$503,_calc!$E$337))&amp;". ")&amp;IF(LEN(IF(LEN(INDEX('Checks'!$E$4:$E$503,_calc!$E$337))=0,"",INDEX('Checks'!$E$4:$E$503,_calc!$E$337)))=0,"","Evidence: "&amp;IF(LEN(INDEX('Checks'!$E$4:$E$503,_calc!$E$337))=0,"",INDEX('Checks'!$E$4:$E$503,_calc!$E$337))&amp;". ")&amp;IF(LEN(IF(LEN(INDEX('Checks'!$G$4:$G$503,_calc!$E$337))=0,"",INDEX('Checks'!$G$4:$G$503,_calc!$E$337)))=0,"","Checked by: "&amp;IF(LEN(INDEX('Checks'!$G$4:$G$503,_calc!$E$337))=0,"",INDEX('Checks'!$G$4:$G$503,_calc!$E$337))&amp;". ")&amp;IF(LEN(IF(LEN(INDEX('Checks'!$Q$4:$Q$503,_calc!$E$337))=0,"",INDEX('Checks'!$Q$4:$Q$503,_calc!$E$337)))=0,"",IF(LEN(INDEX('Checks'!$Q$4:$Q$503,_calc!$E$337))=0,"",INDEX('Checks'!$Q$4:$Q$503,_calc!$E$337)))))</f>
        <v/>
      </c>
      <c r="G335" s="43">
        <f>IF(_calc!$E$337="","",IF(LEN(INDEX('Checks'!$P$4:$P$503,_calc!$E$337))=0,"",INDEX('Checks'!$P$4:$P$503,_calc!$E$337)))</f>
        <v/>
      </c>
      <c r="K335" s="43">
        <f>IF(_calc!$E$337="","",IF(LEN(INDEX('Checks'!$O$4:$O$503,_calc!$E$337))=0,"",INDEX('Checks'!$O$4:$O$503,_calc!$E$337)))</f>
        <v/>
      </c>
    </row>
    <row r="336">
      <c r="A336" s="43">
        <f>IF(_calc!$E$338="","","Right to work follow-up – "&amp;IF(LEN(INDEX('Checks'!$A$4:$A$503,_calc!$E$338))=0,"",INDEX('Checks'!$A$4:$A$503,_calc!$E$338)))</f>
        <v/>
      </c>
      <c r="B336" s="43">
        <f>IF(_calc!$E$338="","",IF(ISNUMBER(INDEX('Checks'!$H$4:$H$503,_calc!$E$338)),TEXT(INDEX('Checks'!$H$4:$H$503,_calc!$E$338),"yyyy-mm-dd"),""))</f>
        <v/>
      </c>
      <c r="C336" s="43">
        <f>IF(_calc!$E$338="","","Right to work")</f>
        <v/>
      </c>
      <c r="D336" s="43">
        <f>IF(_calc!$E$338="","",IF(ISNUMBER(INDEX('Checks'!$F$4:$F$503,_calc!$E$338)),TEXT(INDEX('Checks'!$F$4:$F$503,_calc!$E$338),"yyyy-mm-dd"),""))</f>
        <v/>
      </c>
      <c r="E336" s="43">
        <f>IF(_calc!$E$338="","","High")</f>
        <v/>
      </c>
      <c r="F336" s="43">
        <f>IF(_calc!$E$338="","",TRIM(IF(LEN(IF(LEN(INDEX('Checks'!$B$4:$B$503,_calc!$E$338))=0,"",INDEX('Checks'!$B$4:$B$503,_calc!$E$338)))=0,"","Role: "&amp;IF(LEN(INDEX('Checks'!$B$4:$B$503,_calc!$E$338))=0,"",INDEX('Checks'!$B$4:$B$503,_calc!$E$338))&amp;". ")&amp;IF(LEN(IF(LEN(INDEX('Checks'!$D$4:$D$503,_calc!$E$338))=0,"",INDEX('Checks'!$D$4:$D$503,_calc!$E$338)))=0,"","Check type: "&amp;IF(LEN(INDEX('Checks'!$D$4:$D$503,_calc!$E$338))=0,"",INDEX('Checks'!$D$4:$D$503,_calc!$E$338))&amp;". ")&amp;IF(LEN(IF(LEN(INDEX('Checks'!$E$4:$E$503,_calc!$E$338))=0,"",INDEX('Checks'!$E$4:$E$503,_calc!$E$338)))=0,"","Evidence: "&amp;IF(LEN(INDEX('Checks'!$E$4:$E$503,_calc!$E$338))=0,"",INDEX('Checks'!$E$4:$E$503,_calc!$E$338))&amp;". ")&amp;IF(LEN(IF(LEN(INDEX('Checks'!$G$4:$G$503,_calc!$E$338))=0,"",INDEX('Checks'!$G$4:$G$503,_calc!$E$338)))=0,"","Checked by: "&amp;IF(LEN(INDEX('Checks'!$G$4:$G$503,_calc!$E$338))=0,"",INDEX('Checks'!$G$4:$G$503,_calc!$E$338))&amp;". ")&amp;IF(LEN(IF(LEN(INDEX('Checks'!$Q$4:$Q$503,_calc!$E$338))=0,"",INDEX('Checks'!$Q$4:$Q$503,_calc!$E$338)))=0,"",IF(LEN(INDEX('Checks'!$Q$4:$Q$503,_calc!$E$338))=0,"",INDEX('Checks'!$Q$4:$Q$503,_calc!$E$338)))))</f>
        <v/>
      </c>
      <c r="G336" s="43">
        <f>IF(_calc!$E$338="","",IF(LEN(INDEX('Checks'!$P$4:$P$503,_calc!$E$338))=0,"",INDEX('Checks'!$P$4:$P$503,_calc!$E$338)))</f>
        <v/>
      </c>
      <c r="K336" s="43">
        <f>IF(_calc!$E$338="","",IF(LEN(INDEX('Checks'!$O$4:$O$503,_calc!$E$338))=0,"",INDEX('Checks'!$O$4:$O$503,_calc!$E$338)))</f>
        <v/>
      </c>
    </row>
    <row r="337">
      <c r="A337" s="43">
        <f>IF(_calc!$E$339="","","Right to work follow-up – "&amp;IF(LEN(INDEX('Checks'!$A$4:$A$503,_calc!$E$339))=0,"",INDEX('Checks'!$A$4:$A$503,_calc!$E$339)))</f>
        <v/>
      </c>
      <c r="B337" s="43">
        <f>IF(_calc!$E$339="","",IF(ISNUMBER(INDEX('Checks'!$H$4:$H$503,_calc!$E$339)),TEXT(INDEX('Checks'!$H$4:$H$503,_calc!$E$339),"yyyy-mm-dd"),""))</f>
        <v/>
      </c>
      <c r="C337" s="43">
        <f>IF(_calc!$E$339="","","Right to work")</f>
        <v/>
      </c>
      <c r="D337" s="43">
        <f>IF(_calc!$E$339="","",IF(ISNUMBER(INDEX('Checks'!$F$4:$F$503,_calc!$E$339)),TEXT(INDEX('Checks'!$F$4:$F$503,_calc!$E$339),"yyyy-mm-dd"),""))</f>
        <v/>
      </c>
      <c r="E337" s="43">
        <f>IF(_calc!$E$339="","","High")</f>
        <v/>
      </c>
      <c r="F337" s="43">
        <f>IF(_calc!$E$339="","",TRIM(IF(LEN(IF(LEN(INDEX('Checks'!$B$4:$B$503,_calc!$E$339))=0,"",INDEX('Checks'!$B$4:$B$503,_calc!$E$339)))=0,"","Role: "&amp;IF(LEN(INDEX('Checks'!$B$4:$B$503,_calc!$E$339))=0,"",INDEX('Checks'!$B$4:$B$503,_calc!$E$339))&amp;". ")&amp;IF(LEN(IF(LEN(INDEX('Checks'!$D$4:$D$503,_calc!$E$339))=0,"",INDEX('Checks'!$D$4:$D$503,_calc!$E$339)))=0,"","Check type: "&amp;IF(LEN(INDEX('Checks'!$D$4:$D$503,_calc!$E$339))=0,"",INDEX('Checks'!$D$4:$D$503,_calc!$E$339))&amp;". ")&amp;IF(LEN(IF(LEN(INDEX('Checks'!$E$4:$E$503,_calc!$E$339))=0,"",INDEX('Checks'!$E$4:$E$503,_calc!$E$339)))=0,"","Evidence: "&amp;IF(LEN(INDEX('Checks'!$E$4:$E$503,_calc!$E$339))=0,"",INDEX('Checks'!$E$4:$E$503,_calc!$E$339))&amp;". ")&amp;IF(LEN(IF(LEN(INDEX('Checks'!$G$4:$G$503,_calc!$E$339))=0,"",INDEX('Checks'!$G$4:$G$503,_calc!$E$339)))=0,"","Checked by: "&amp;IF(LEN(INDEX('Checks'!$G$4:$G$503,_calc!$E$339))=0,"",INDEX('Checks'!$G$4:$G$503,_calc!$E$339))&amp;". ")&amp;IF(LEN(IF(LEN(INDEX('Checks'!$Q$4:$Q$503,_calc!$E$339))=0,"",INDEX('Checks'!$Q$4:$Q$503,_calc!$E$339)))=0,"",IF(LEN(INDEX('Checks'!$Q$4:$Q$503,_calc!$E$339))=0,"",INDEX('Checks'!$Q$4:$Q$503,_calc!$E$339)))))</f>
        <v/>
      </c>
      <c r="G337" s="43">
        <f>IF(_calc!$E$339="","",IF(LEN(INDEX('Checks'!$P$4:$P$503,_calc!$E$339))=0,"",INDEX('Checks'!$P$4:$P$503,_calc!$E$339)))</f>
        <v/>
      </c>
      <c r="K337" s="43">
        <f>IF(_calc!$E$339="","",IF(LEN(INDEX('Checks'!$O$4:$O$503,_calc!$E$339))=0,"",INDEX('Checks'!$O$4:$O$503,_calc!$E$339)))</f>
        <v/>
      </c>
    </row>
    <row r="338">
      <c r="A338" s="43">
        <f>IF(_calc!$E$340="","","Right to work follow-up – "&amp;IF(LEN(INDEX('Checks'!$A$4:$A$503,_calc!$E$340))=0,"",INDEX('Checks'!$A$4:$A$503,_calc!$E$340)))</f>
        <v/>
      </c>
      <c r="B338" s="43">
        <f>IF(_calc!$E$340="","",IF(ISNUMBER(INDEX('Checks'!$H$4:$H$503,_calc!$E$340)),TEXT(INDEX('Checks'!$H$4:$H$503,_calc!$E$340),"yyyy-mm-dd"),""))</f>
        <v/>
      </c>
      <c r="C338" s="43">
        <f>IF(_calc!$E$340="","","Right to work")</f>
        <v/>
      </c>
      <c r="D338" s="43">
        <f>IF(_calc!$E$340="","",IF(ISNUMBER(INDEX('Checks'!$F$4:$F$503,_calc!$E$340)),TEXT(INDEX('Checks'!$F$4:$F$503,_calc!$E$340),"yyyy-mm-dd"),""))</f>
        <v/>
      </c>
      <c r="E338" s="43">
        <f>IF(_calc!$E$340="","","High")</f>
        <v/>
      </c>
      <c r="F338" s="43">
        <f>IF(_calc!$E$340="","",TRIM(IF(LEN(IF(LEN(INDEX('Checks'!$B$4:$B$503,_calc!$E$340))=0,"",INDEX('Checks'!$B$4:$B$503,_calc!$E$340)))=0,"","Role: "&amp;IF(LEN(INDEX('Checks'!$B$4:$B$503,_calc!$E$340))=0,"",INDEX('Checks'!$B$4:$B$503,_calc!$E$340))&amp;". ")&amp;IF(LEN(IF(LEN(INDEX('Checks'!$D$4:$D$503,_calc!$E$340))=0,"",INDEX('Checks'!$D$4:$D$503,_calc!$E$340)))=0,"","Check type: "&amp;IF(LEN(INDEX('Checks'!$D$4:$D$503,_calc!$E$340))=0,"",INDEX('Checks'!$D$4:$D$503,_calc!$E$340))&amp;". ")&amp;IF(LEN(IF(LEN(INDEX('Checks'!$E$4:$E$503,_calc!$E$340))=0,"",INDEX('Checks'!$E$4:$E$503,_calc!$E$340)))=0,"","Evidence: "&amp;IF(LEN(INDEX('Checks'!$E$4:$E$503,_calc!$E$340))=0,"",INDEX('Checks'!$E$4:$E$503,_calc!$E$340))&amp;". ")&amp;IF(LEN(IF(LEN(INDEX('Checks'!$G$4:$G$503,_calc!$E$340))=0,"",INDEX('Checks'!$G$4:$G$503,_calc!$E$340)))=0,"","Checked by: "&amp;IF(LEN(INDEX('Checks'!$G$4:$G$503,_calc!$E$340))=0,"",INDEX('Checks'!$G$4:$G$503,_calc!$E$340))&amp;". ")&amp;IF(LEN(IF(LEN(INDEX('Checks'!$Q$4:$Q$503,_calc!$E$340))=0,"",INDEX('Checks'!$Q$4:$Q$503,_calc!$E$340)))=0,"",IF(LEN(INDEX('Checks'!$Q$4:$Q$503,_calc!$E$340))=0,"",INDEX('Checks'!$Q$4:$Q$503,_calc!$E$340)))))</f>
        <v/>
      </c>
      <c r="G338" s="43">
        <f>IF(_calc!$E$340="","",IF(LEN(INDEX('Checks'!$P$4:$P$503,_calc!$E$340))=0,"",INDEX('Checks'!$P$4:$P$503,_calc!$E$340)))</f>
        <v/>
      </c>
      <c r="K338" s="43">
        <f>IF(_calc!$E$340="","",IF(LEN(INDEX('Checks'!$O$4:$O$503,_calc!$E$340))=0,"",INDEX('Checks'!$O$4:$O$503,_calc!$E$340)))</f>
        <v/>
      </c>
    </row>
    <row r="339">
      <c r="A339" s="43">
        <f>IF(_calc!$E$341="","","Right to work follow-up – "&amp;IF(LEN(INDEX('Checks'!$A$4:$A$503,_calc!$E$341))=0,"",INDEX('Checks'!$A$4:$A$503,_calc!$E$341)))</f>
        <v/>
      </c>
      <c r="B339" s="43">
        <f>IF(_calc!$E$341="","",IF(ISNUMBER(INDEX('Checks'!$H$4:$H$503,_calc!$E$341)),TEXT(INDEX('Checks'!$H$4:$H$503,_calc!$E$341),"yyyy-mm-dd"),""))</f>
        <v/>
      </c>
      <c r="C339" s="43">
        <f>IF(_calc!$E$341="","","Right to work")</f>
        <v/>
      </c>
      <c r="D339" s="43">
        <f>IF(_calc!$E$341="","",IF(ISNUMBER(INDEX('Checks'!$F$4:$F$503,_calc!$E$341)),TEXT(INDEX('Checks'!$F$4:$F$503,_calc!$E$341),"yyyy-mm-dd"),""))</f>
        <v/>
      </c>
      <c r="E339" s="43">
        <f>IF(_calc!$E$341="","","High")</f>
        <v/>
      </c>
      <c r="F339" s="43">
        <f>IF(_calc!$E$341="","",TRIM(IF(LEN(IF(LEN(INDEX('Checks'!$B$4:$B$503,_calc!$E$341))=0,"",INDEX('Checks'!$B$4:$B$503,_calc!$E$341)))=0,"","Role: "&amp;IF(LEN(INDEX('Checks'!$B$4:$B$503,_calc!$E$341))=0,"",INDEX('Checks'!$B$4:$B$503,_calc!$E$341))&amp;". ")&amp;IF(LEN(IF(LEN(INDEX('Checks'!$D$4:$D$503,_calc!$E$341))=0,"",INDEX('Checks'!$D$4:$D$503,_calc!$E$341)))=0,"","Check type: "&amp;IF(LEN(INDEX('Checks'!$D$4:$D$503,_calc!$E$341))=0,"",INDEX('Checks'!$D$4:$D$503,_calc!$E$341))&amp;". ")&amp;IF(LEN(IF(LEN(INDEX('Checks'!$E$4:$E$503,_calc!$E$341))=0,"",INDEX('Checks'!$E$4:$E$503,_calc!$E$341)))=0,"","Evidence: "&amp;IF(LEN(INDEX('Checks'!$E$4:$E$503,_calc!$E$341))=0,"",INDEX('Checks'!$E$4:$E$503,_calc!$E$341))&amp;". ")&amp;IF(LEN(IF(LEN(INDEX('Checks'!$G$4:$G$503,_calc!$E$341))=0,"",INDEX('Checks'!$G$4:$G$503,_calc!$E$341)))=0,"","Checked by: "&amp;IF(LEN(INDEX('Checks'!$G$4:$G$503,_calc!$E$341))=0,"",INDEX('Checks'!$G$4:$G$503,_calc!$E$341))&amp;". ")&amp;IF(LEN(IF(LEN(INDEX('Checks'!$Q$4:$Q$503,_calc!$E$341))=0,"",INDEX('Checks'!$Q$4:$Q$503,_calc!$E$341)))=0,"",IF(LEN(INDEX('Checks'!$Q$4:$Q$503,_calc!$E$341))=0,"",INDEX('Checks'!$Q$4:$Q$503,_calc!$E$341)))))</f>
        <v/>
      </c>
      <c r="G339" s="43">
        <f>IF(_calc!$E$341="","",IF(LEN(INDEX('Checks'!$P$4:$P$503,_calc!$E$341))=0,"",INDEX('Checks'!$P$4:$P$503,_calc!$E$341)))</f>
        <v/>
      </c>
      <c r="K339" s="43">
        <f>IF(_calc!$E$341="","",IF(LEN(INDEX('Checks'!$O$4:$O$503,_calc!$E$341))=0,"",INDEX('Checks'!$O$4:$O$503,_calc!$E$341)))</f>
        <v/>
      </c>
    </row>
    <row r="340">
      <c r="A340" s="43">
        <f>IF(_calc!$E$342="","","Right to work follow-up – "&amp;IF(LEN(INDEX('Checks'!$A$4:$A$503,_calc!$E$342))=0,"",INDEX('Checks'!$A$4:$A$503,_calc!$E$342)))</f>
        <v/>
      </c>
      <c r="B340" s="43">
        <f>IF(_calc!$E$342="","",IF(ISNUMBER(INDEX('Checks'!$H$4:$H$503,_calc!$E$342)),TEXT(INDEX('Checks'!$H$4:$H$503,_calc!$E$342),"yyyy-mm-dd"),""))</f>
        <v/>
      </c>
      <c r="C340" s="43">
        <f>IF(_calc!$E$342="","","Right to work")</f>
        <v/>
      </c>
      <c r="D340" s="43">
        <f>IF(_calc!$E$342="","",IF(ISNUMBER(INDEX('Checks'!$F$4:$F$503,_calc!$E$342)),TEXT(INDEX('Checks'!$F$4:$F$503,_calc!$E$342),"yyyy-mm-dd"),""))</f>
        <v/>
      </c>
      <c r="E340" s="43">
        <f>IF(_calc!$E$342="","","High")</f>
        <v/>
      </c>
      <c r="F340" s="43">
        <f>IF(_calc!$E$342="","",TRIM(IF(LEN(IF(LEN(INDEX('Checks'!$B$4:$B$503,_calc!$E$342))=0,"",INDEX('Checks'!$B$4:$B$503,_calc!$E$342)))=0,"","Role: "&amp;IF(LEN(INDEX('Checks'!$B$4:$B$503,_calc!$E$342))=0,"",INDEX('Checks'!$B$4:$B$503,_calc!$E$342))&amp;". ")&amp;IF(LEN(IF(LEN(INDEX('Checks'!$D$4:$D$503,_calc!$E$342))=0,"",INDEX('Checks'!$D$4:$D$503,_calc!$E$342)))=0,"","Check type: "&amp;IF(LEN(INDEX('Checks'!$D$4:$D$503,_calc!$E$342))=0,"",INDEX('Checks'!$D$4:$D$503,_calc!$E$342))&amp;". ")&amp;IF(LEN(IF(LEN(INDEX('Checks'!$E$4:$E$503,_calc!$E$342))=0,"",INDEX('Checks'!$E$4:$E$503,_calc!$E$342)))=0,"","Evidence: "&amp;IF(LEN(INDEX('Checks'!$E$4:$E$503,_calc!$E$342))=0,"",INDEX('Checks'!$E$4:$E$503,_calc!$E$342))&amp;". ")&amp;IF(LEN(IF(LEN(INDEX('Checks'!$G$4:$G$503,_calc!$E$342))=0,"",INDEX('Checks'!$G$4:$G$503,_calc!$E$342)))=0,"","Checked by: "&amp;IF(LEN(INDEX('Checks'!$G$4:$G$503,_calc!$E$342))=0,"",INDEX('Checks'!$G$4:$G$503,_calc!$E$342))&amp;". ")&amp;IF(LEN(IF(LEN(INDEX('Checks'!$Q$4:$Q$503,_calc!$E$342))=0,"",INDEX('Checks'!$Q$4:$Q$503,_calc!$E$342)))=0,"",IF(LEN(INDEX('Checks'!$Q$4:$Q$503,_calc!$E$342))=0,"",INDEX('Checks'!$Q$4:$Q$503,_calc!$E$342)))))</f>
        <v/>
      </c>
      <c r="G340" s="43">
        <f>IF(_calc!$E$342="","",IF(LEN(INDEX('Checks'!$P$4:$P$503,_calc!$E$342))=0,"",INDEX('Checks'!$P$4:$P$503,_calc!$E$342)))</f>
        <v/>
      </c>
      <c r="K340" s="43">
        <f>IF(_calc!$E$342="","",IF(LEN(INDEX('Checks'!$O$4:$O$503,_calc!$E$342))=0,"",INDEX('Checks'!$O$4:$O$503,_calc!$E$342)))</f>
        <v/>
      </c>
    </row>
    <row r="341">
      <c r="A341" s="43">
        <f>IF(_calc!$E$343="","","Right to work follow-up – "&amp;IF(LEN(INDEX('Checks'!$A$4:$A$503,_calc!$E$343))=0,"",INDEX('Checks'!$A$4:$A$503,_calc!$E$343)))</f>
        <v/>
      </c>
      <c r="B341" s="43">
        <f>IF(_calc!$E$343="","",IF(ISNUMBER(INDEX('Checks'!$H$4:$H$503,_calc!$E$343)),TEXT(INDEX('Checks'!$H$4:$H$503,_calc!$E$343),"yyyy-mm-dd"),""))</f>
        <v/>
      </c>
      <c r="C341" s="43">
        <f>IF(_calc!$E$343="","","Right to work")</f>
        <v/>
      </c>
      <c r="D341" s="43">
        <f>IF(_calc!$E$343="","",IF(ISNUMBER(INDEX('Checks'!$F$4:$F$503,_calc!$E$343)),TEXT(INDEX('Checks'!$F$4:$F$503,_calc!$E$343),"yyyy-mm-dd"),""))</f>
        <v/>
      </c>
      <c r="E341" s="43">
        <f>IF(_calc!$E$343="","","High")</f>
        <v/>
      </c>
      <c r="F341" s="43">
        <f>IF(_calc!$E$343="","",TRIM(IF(LEN(IF(LEN(INDEX('Checks'!$B$4:$B$503,_calc!$E$343))=0,"",INDEX('Checks'!$B$4:$B$503,_calc!$E$343)))=0,"","Role: "&amp;IF(LEN(INDEX('Checks'!$B$4:$B$503,_calc!$E$343))=0,"",INDEX('Checks'!$B$4:$B$503,_calc!$E$343))&amp;". ")&amp;IF(LEN(IF(LEN(INDEX('Checks'!$D$4:$D$503,_calc!$E$343))=0,"",INDEX('Checks'!$D$4:$D$503,_calc!$E$343)))=0,"","Check type: "&amp;IF(LEN(INDEX('Checks'!$D$4:$D$503,_calc!$E$343))=0,"",INDEX('Checks'!$D$4:$D$503,_calc!$E$343))&amp;". ")&amp;IF(LEN(IF(LEN(INDEX('Checks'!$E$4:$E$503,_calc!$E$343))=0,"",INDEX('Checks'!$E$4:$E$503,_calc!$E$343)))=0,"","Evidence: "&amp;IF(LEN(INDEX('Checks'!$E$4:$E$503,_calc!$E$343))=0,"",INDEX('Checks'!$E$4:$E$503,_calc!$E$343))&amp;". ")&amp;IF(LEN(IF(LEN(INDEX('Checks'!$G$4:$G$503,_calc!$E$343))=0,"",INDEX('Checks'!$G$4:$G$503,_calc!$E$343)))=0,"","Checked by: "&amp;IF(LEN(INDEX('Checks'!$G$4:$G$503,_calc!$E$343))=0,"",INDEX('Checks'!$G$4:$G$503,_calc!$E$343))&amp;". ")&amp;IF(LEN(IF(LEN(INDEX('Checks'!$Q$4:$Q$503,_calc!$E$343))=0,"",INDEX('Checks'!$Q$4:$Q$503,_calc!$E$343)))=0,"",IF(LEN(INDEX('Checks'!$Q$4:$Q$503,_calc!$E$343))=0,"",INDEX('Checks'!$Q$4:$Q$503,_calc!$E$343)))))</f>
        <v/>
      </c>
      <c r="G341" s="43">
        <f>IF(_calc!$E$343="","",IF(LEN(INDEX('Checks'!$P$4:$P$503,_calc!$E$343))=0,"",INDEX('Checks'!$P$4:$P$503,_calc!$E$343)))</f>
        <v/>
      </c>
      <c r="K341" s="43">
        <f>IF(_calc!$E$343="","",IF(LEN(INDEX('Checks'!$O$4:$O$503,_calc!$E$343))=0,"",INDEX('Checks'!$O$4:$O$503,_calc!$E$343)))</f>
        <v/>
      </c>
    </row>
    <row r="342">
      <c r="A342" s="43">
        <f>IF(_calc!$E$344="","","Right to work follow-up – "&amp;IF(LEN(INDEX('Checks'!$A$4:$A$503,_calc!$E$344))=0,"",INDEX('Checks'!$A$4:$A$503,_calc!$E$344)))</f>
        <v/>
      </c>
      <c r="B342" s="43">
        <f>IF(_calc!$E$344="","",IF(ISNUMBER(INDEX('Checks'!$H$4:$H$503,_calc!$E$344)),TEXT(INDEX('Checks'!$H$4:$H$503,_calc!$E$344),"yyyy-mm-dd"),""))</f>
        <v/>
      </c>
      <c r="C342" s="43">
        <f>IF(_calc!$E$344="","","Right to work")</f>
        <v/>
      </c>
      <c r="D342" s="43">
        <f>IF(_calc!$E$344="","",IF(ISNUMBER(INDEX('Checks'!$F$4:$F$503,_calc!$E$344)),TEXT(INDEX('Checks'!$F$4:$F$503,_calc!$E$344),"yyyy-mm-dd"),""))</f>
        <v/>
      </c>
      <c r="E342" s="43">
        <f>IF(_calc!$E$344="","","High")</f>
        <v/>
      </c>
      <c r="F342" s="43">
        <f>IF(_calc!$E$344="","",TRIM(IF(LEN(IF(LEN(INDEX('Checks'!$B$4:$B$503,_calc!$E$344))=0,"",INDEX('Checks'!$B$4:$B$503,_calc!$E$344)))=0,"","Role: "&amp;IF(LEN(INDEX('Checks'!$B$4:$B$503,_calc!$E$344))=0,"",INDEX('Checks'!$B$4:$B$503,_calc!$E$344))&amp;". ")&amp;IF(LEN(IF(LEN(INDEX('Checks'!$D$4:$D$503,_calc!$E$344))=0,"",INDEX('Checks'!$D$4:$D$503,_calc!$E$344)))=0,"","Check type: "&amp;IF(LEN(INDEX('Checks'!$D$4:$D$503,_calc!$E$344))=0,"",INDEX('Checks'!$D$4:$D$503,_calc!$E$344))&amp;". ")&amp;IF(LEN(IF(LEN(INDEX('Checks'!$E$4:$E$503,_calc!$E$344))=0,"",INDEX('Checks'!$E$4:$E$503,_calc!$E$344)))=0,"","Evidence: "&amp;IF(LEN(INDEX('Checks'!$E$4:$E$503,_calc!$E$344))=0,"",INDEX('Checks'!$E$4:$E$503,_calc!$E$344))&amp;". ")&amp;IF(LEN(IF(LEN(INDEX('Checks'!$G$4:$G$503,_calc!$E$344))=0,"",INDEX('Checks'!$G$4:$G$503,_calc!$E$344)))=0,"","Checked by: "&amp;IF(LEN(INDEX('Checks'!$G$4:$G$503,_calc!$E$344))=0,"",INDEX('Checks'!$G$4:$G$503,_calc!$E$344))&amp;". ")&amp;IF(LEN(IF(LEN(INDEX('Checks'!$Q$4:$Q$503,_calc!$E$344))=0,"",INDEX('Checks'!$Q$4:$Q$503,_calc!$E$344)))=0,"",IF(LEN(INDEX('Checks'!$Q$4:$Q$503,_calc!$E$344))=0,"",INDEX('Checks'!$Q$4:$Q$503,_calc!$E$344)))))</f>
        <v/>
      </c>
      <c r="G342" s="43">
        <f>IF(_calc!$E$344="","",IF(LEN(INDEX('Checks'!$P$4:$P$503,_calc!$E$344))=0,"",INDEX('Checks'!$P$4:$P$503,_calc!$E$344)))</f>
        <v/>
      </c>
      <c r="K342" s="43">
        <f>IF(_calc!$E$344="","",IF(LEN(INDEX('Checks'!$O$4:$O$503,_calc!$E$344))=0,"",INDEX('Checks'!$O$4:$O$503,_calc!$E$344)))</f>
        <v/>
      </c>
    </row>
    <row r="343">
      <c r="A343" s="43">
        <f>IF(_calc!$E$345="","","Right to work follow-up – "&amp;IF(LEN(INDEX('Checks'!$A$4:$A$503,_calc!$E$345))=0,"",INDEX('Checks'!$A$4:$A$503,_calc!$E$345)))</f>
        <v/>
      </c>
      <c r="B343" s="43">
        <f>IF(_calc!$E$345="","",IF(ISNUMBER(INDEX('Checks'!$H$4:$H$503,_calc!$E$345)),TEXT(INDEX('Checks'!$H$4:$H$503,_calc!$E$345),"yyyy-mm-dd"),""))</f>
        <v/>
      </c>
      <c r="C343" s="43">
        <f>IF(_calc!$E$345="","","Right to work")</f>
        <v/>
      </c>
      <c r="D343" s="43">
        <f>IF(_calc!$E$345="","",IF(ISNUMBER(INDEX('Checks'!$F$4:$F$503,_calc!$E$345)),TEXT(INDEX('Checks'!$F$4:$F$503,_calc!$E$345),"yyyy-mm-dd"),""))</f>
        <v/>
      </c>
      <c r="E343" s="43">
        <f>IF(_calc!$E$345="","","High")</f>
        <v/>
      </c>
      <c r="F343" s="43">
        <f>IF(_calc!$E$345="","",TRIM(IF(LEN(IF(LEN(INDEX('Checks'!$B$4:$B$503,_calc!$E$345))=0,"",INDEX('Checks'!$B$4:$B$503,_calc!$E$345)))=0,"","Role: "&amp;IF(LEN(INDEX('Checks'!$B$4:$B$503,_calc!$E$345))=0,"",INDEX('Checks'!$B$4:$B$503,_calc!$E$345))&amp;". ")&amp;IF(LEN(IF(LEN(INDEX('Checks'!$D$4:$D$503,_calc!$E$345))=0,"",INDEX('Checks'!$D$4:$D$503,_calc!$E$345)))=0,"","Check type: "&amp;IF(LEN(INDEX('Checks'!$D$4:$D$503,_calc!$E$345))=0,"",INDEX('Checks'!$D$4:$D$503,_calc!$E$345))&amp;". ")&amp;IF(LEN(IF(LEN(INDEX('Checks'!$E$4:$E$503,_calc!$E$345))=0,"",INDEX('Checks'!$E$4:$E$503,_calc!$E$345)))=0,"","Evidence: "&amp;IF(LEN(INDEX('Checks'!$E$4:$E$503,_calc!$E$345))=0,"",INDEX('Checks'!$E$4:$E$503,_calc!$E$345))&amp;". ")&amp;IF(LEN(IF(LEN(INDEX('Checks'!$G$4:$G$503,_calc!$E$345))=0,"",INDEX('Checks'!$G$4:$G$503,_calc!$E$345)))=0,"","Checked by: "&amp;IF(LEN(INDEX('Checks'!$G$4:$G$503,_calc!$E$345))=0,"",INDEX('Checks'!$G$4:$G$503,_calc!$E$345))&amp;". ")&amp;IF(LEN(IF(LEN(INDEX('Checks'!$Q$4:$Q$503,_calc!$E$345))=0,"",INDEX('Checks'!$Q$4:$Q$503,_calc!$E$345)))=0,"",IF(LEN(INDEX('Checks'!$Q$4:$Q$503,_calc!$E$345))=0,"",INDEX('Checks'!$Q$4:$Q$503,_calc!$E$345)))))</f>
        <v/>
      </c>
      <c r="G343" s="43">
        <f>IF(_calc!$E$345="","",IF(LEN(INDEX('Checks'!$P$4:$P$503,_calc!$E$345))=0,"",INDEX('Checks'!$P$4:$P$503,_calc!$E$345)))</f>
        <v/>
      </c>
      <c r="K343" s="43">
        <f>IF(_calc!$E$345="","",IF(LEN(INDEX('Checks'!$O$4:$O$503,_calc!$E$345))=0,"",INDEX('Checks'!$O$4:$O$503,_calc!$E$345)))</f>
        <v/>
      </c>
    </row>
    <row r="344">
      <c r="A344" s="43">
        <f>IF(_calc!$E$346="","","Right to work follow-up – "&amp;IF(LEN(INDEX('Checks'!$A$4:$A$503,_calc!$E$346))=0,"",INDEX('Checks'!$A$4:$A$503,_calc!$E$346)))</f>
        <v/>
      </c>
      <c r="B344" s="43">
        <f>IF(_calc!$E$346="","",IF(ISNUMBER(INDEX('Checks'!$H$4:$H$503,_calc!$E$346)),TEXT(INDEX('Checks'!$H$4:$H$503,_calc!$E$346),"yyyy-mm-dd"),""))</f>
        <v/>
      </c>
      <c r="C344" s="43">
        <f>IF(_calc!$E$346="","","Right to work")</f>
        <v/>
      </c>
      <c r="D344" s="43">
        <f>IF(_calc!$E$346="","",IF(ISNUMBER(INDEX('Checks'!$F$4:$F$503,_calc!$E$346)),TEXT(INDEX('Checks'!$F$4:$F$503,_calc!$E$346),"yyyy-mm-dd"),""))</f>
        <v/>
      </c>
      <c r="E344" s="43">
        <f>IF(_calc!$E$346="","","High")</f>
        <v/>
      </c>
      <c r="F344" s="43">
        <f>IF(_calc!$E$346="","",TRIM(IF(LEN(IF(LEN(INDEX('Checks'!$B$4:$B$503,_calc!$E$346))=0,"",INDEX('Checks'!$B$4:$B$503,_calc!$E$346)))=0,"","Role: "&amp;IF(LEN(INDEX('Checks'!$B$4:$B$503,_calc!$E$346))=0,"",INDEX('Checks'!$B$4:$B$503,_calc!$E$346))&amp;". ")&amp;IF(LEN(IF(LEN(INDEX('Checks'!$D$4:$D$503,_calc!$E$346))=0,"",INDEX('Checks'!$D$4:$D$503,_calc!$E$346)))=0,"","Check type: "&amp;IF(LEN(INDEX('Checks'!$D$4:$D$503,_calc!$E$346))=0,"",INDEX('Checks'!$D$4:$D$503,_calc!$E$346))&amp;". ")&amp;IF(LEN(IF(LEN(INDEX('Checks'!$E$4:$E$503,_calc!$E$346))=0,"",INDEX('Checks'!$E$4:$E$503,_calc!$E$346)))=0,"","Evidence: "&amp;IF(LEN(INDEX('Checks'!$E$4:$E$503,_calc!$E$346))=0,"",INDEX('Checks'!$E$4:$E$503,_calc!$E$346))&amp;". ")&amp;IF(LEN(IF(LEN(INDEX('Checks'!$G$4:$G$503,_calc!$E$346))=0,"",INDEX('Checks'!$G$4:$G$503,_calc!$E$346)))=0,"","Checked by: "&amp;IF(LEN(INDEX('Checks'!$G$4:$G$503,_calc!$E$346))=0,"",INDEX('Checks'!$G$4:$G$503,_calc!$E$346))&amp;". ")&amp;IF(LEN(IF(LEN(INDEX('Checks'!$Q$4:$Q$503,_calc!$E$346))=0,"",INDEX('Checks'!$Q$4:$Q$503,_calc!$E$346)))=0,"",IF(LEN(INDEX('Checks'!$Q$4:$Q$503,_calc!$E$346))=0,"",INDEX('Checks'!$Q$4:$Q$503,_calc!$E$346)))))</f>
        <v/>
      </c>
      <c r="G344" s="43">
        <f>IF(_calc!$E$346="","",IF(LEN(INDEX('Checks'!$P$4:$P$503,_calc!$E$346))=0,"",INDEX('Checks'!$P$4:$P$503,_calc!$E$346)))</f>
        <v/>
      </c>
      <c r="K344" s="43">
        <f>IF(_calc!$E$346="","",IF(LEN(INDEX('Checks'!$O$4:$O$503,_calc!$E$346))=0,"",INDEX('Checks'!$O$4:$O$503,_calc!$E$346)))</f>
        <v/>
      </c>
    </row>
    <row r="345">
      <c r="A345" s="43">
        <f>IF(_calc!$E$347="","","Right to work follow-up – "&amp;IF(LEN(INDEX('Checks'!$A$4:$A$503,_calc!$E$347))=0,"",INDEX('Checks'!$A$4:$A$503,_calc!$E$347)))</f>
        <v/>
      </c>
      <c r="B345" s="43">
        <f>IF(_calc!$E$347="","",IF(ISNUMBER(INDEX('Checks'!$H$4:$H$503,_calc!$E$347)),TEXT(INDEX('Checks'!$H$4:$H$503,_calc!$E$347),"yyyy-mm-dd"),""))</f>
        <v/>
      </c>
      <c r="C345" s="43">
        <f>IF(_calc!$E$347="","","Right to work")</f>
        <v/>
      </c>
      <c r="D345" s="43">
        <f>IF(_calc!$E$347="","",IF(ISNUMBER(INDEX('Checks'!$F$4:$F$503,_calc!$E$347)),TEXT(INDEX('Checks'!$F$4:$F$503,_calc!$E$347),"yyyy-mm-dd"),""))</f>
        <v/>
      </c>
      <c r="E345" s="43">
        <f>IF(_calc!$E$347="","","High")</f>
        <v/>
      </c>
      <c r="F345" s="43">
        <f>IF(_calc!$E$347="","",TRIM(IF(LEN(IF(LEN(INDEX('Checks'!$B$4:$B$503,_calc!$E$347))=0,"",INDEX('Checks'!$B$4:$B$503,_calc!$E$347)))=0,"","Role: "&amp;IF(LEN(INDEX('Checks'!$B$4:$B$503,_calc!$E$347))=0,"",INDEX('Checks'!$B$4:$B$503,_calc!$E$347))&amp;". ")&amp;IF(LEN(IF(LEN(INDEX('Checks'!$D$4:$D$503,_calc!$E$347))=0,"",INDEX('Checks'!$D$4:$D$503,_calc!$E$347)))=0,"","Check type: "&amp;IF(LEN(INDEX('Checks'!$D$4:$D$503,_calc!$E$347))=0,"",INDEX('Checks'!$D$4:$D$503,_calc!$E$347))&amp;". ")&amp;IF(LEN(IF(LEN(INDEX('Checks'!$E$4:$E$503,_calc!$E$347))=0,"",INDEX('Checks'!$E$4:$E$503,_calc!$E$347)))=0,"","Evidence: "&amp;IF(LEN(INDEX('Checks'!$E$4:$E$503,_calc!$E$347))=0,"",INDEX('Checks'!$E$4:$E$503,_calc!$E$347))&amp;". ")&amp;IF(LEN(IF(LEN(INDEX('Checks'!$G$4:$G$503,_calc!$E$347))=0,"",INDEX('Checks'!$G$4:$G$503,_calc!$E$347)))=0,"","Checked by: "&amp;IF(LEN(INDEX('Checks'!$G$4:$G$503,_calc!$E$347))=0,"",INDEX('Checks'!$G$4:$G$503,_calc!$E$347))&amp;". ")&amp;IF(LEN(IF(LEN(INDEX('Checks'!$Q$4:$Q$503,_calc!$E$347))=0,"",INDEX('Checks'!$Q$4:$Q$503,_calc!$E$347)))=0,"",IF(LEN(INDEX('Checks'!$Q$4:$Q$503,_calc!$E$347))=0,"",INDEX('Checks'!$Q$4:$Q$503,_calc!$E$347)))))</f>
        <v/>
      </c>
      <c r="G345" s="43">
        <f>IF(_calc!$E$347="","",IF(LEN(INDEX('Checks'!$P$4:$P$503,_calc!$E$347))=0,"",INDEX('Checks'!$P$4:$P$503,_calc!$E$347)))</f>
        <v/>
      </c>
      <c r="K345" s="43">
        <f>IF(_calc!$E$347="","",IF(LEN(INDEX('Checks'!$O$4:$O$503,_calc!$E$347))=0,"",INDEX('Checks'!$O$4:$O$503,_calc!$E$347)))</f>
        <v/>
      </c>
    </row>
    <row r="346">
      <c r="A346" s="43">
        <f>IF(_calc!$E$348="","","Right to work follow-up – "&amp;IF(LEN(INDEX('Checks'!$A$4:$A$503,_calc!$E$348))=0,"",INDEX('Checks'!$A$4:$A$503,_calc!$E$348)))</f>
        <v/>
      </c>
      <c r="B346" s="43">
        <f>IF(_calc!$E$348="","",IF(ISNUMBER(INDEX('Checks'!$H$4:$H$503,_calc!$E$348)),TEXT(INDEX('Checks'!$H$4:$H$503,_calc!$E$348),"yyyy-mm-dd"),""))</f>
        <v/>
      </c>
      <c r="C346" s="43">
        <f>IF(_calc!$E$348="","","Right to work")</f>
        <v/>
      </c>
      <c r="D346" s="43">
        <f>IF(_calc!$E$348="","",IF(ISNUMBER(INDEX('Checks'!$F$4:$F$503,_calc!$E$348)),TEXT(INDEX('Checks'!$F$4:$F$503,_calc!$E$348),"yyyy-mm-dd"),""))</f>
        <v/>
      </c>
      <c r="E346" s="43">
        <f>IF(_calc!$E$348="","","High")</f>
        <v/>
      </c>
      <c r="F346" s="43">
        <f>IF(_calc!$E$348="","",TRIM(IF(LEN(IF(LEN(INDEX('Checks'!$B$4:$B$503,_calc!$E$348))=0,"",INDEX('Checks'!$B$4:$B$503,_calc!$E$348)))=0,"","Role: "&amp;IF(LEN(INDEX('Checks'!$B$4:$B$503,_calc!$E$348))=0,"",INDEX('Checks'!$B$4:$B$503,_calc!$E$348))&amp;". ")&amp;IF(LEN(IF(LEN(INDEX('Checks'!$D$4:$D$503,_calc!$E$348))=0,"",INDEX('Checks'!$D$4:$D$503,_calc!$E$348)))=0,"","Check type: "&amp;IF(LEN(INDEX('Checks'!$D$4:$D$503,_calc!$E$348))=0,"",INDEX('Checks'!$D$4:$D$503,_calc!$E$348))&amp;". ")&amp;IF(LEN(IF(LEN(INDEX('Checks'!$E$4:$E$503,_calc!$E$348))=0,"",INDEX('Checks'!$E$4:$E$503,_calc!$E$348)))=0,"","Evidence: "&amp;IF(LEN(INDEX('Checks'!$E$4:$E$503,_calc!$E$348))=0,"",INDEX('Checks'!$E$4:$E$503,_calc!$E$348))&amp;". ")&amp;IF(LEN(IF(LEN(INDEX('Checks'!$G$4:$G$503,_calc!$E$348))=0,"",INDEX('Checks'!$G$4:$G$503,_calc!$E$348)))=0,"","Checked by: "&amp;IF(LEN(INDEX('Checks'!$G$4:$G$503,_calc!$E$348))=0,"",INDEX('Checks'!$G$4:$G$503,_calc!$E$348))&amp;". ")&amp;IF(LEN(IF(LEN(INDEX('Checks'!$Q$4:$Q$503,_calc!$E$348))=0,"",INDEX('Checks'!$Q$4:$Q$503,_calc!$E$348)))=0,"",IF(LEN(INDEX('Checks'!$Q$4:$Q$503,_calc!$E$348))=0,"",INDEX('Checks'!$Q$4:$Q$503,_calc!$E$348)))))</f>
        <v/>
      </c>
      <c r="G346" s="43">
        <f>IF(_calc!$E$348="","",IF(LEN(INDEX('Checks'!$P$4:$P$503,_calc!$E$348))=0,"",INDEX('Checks'!$P$4:$P$503,_calc!$E$348)))</f>
        <v/>
      </c>
      <c r="K346" s="43">
        <f>IF(_calc!$E$348="","",IF(LEN(INDEX('Checks'!$O$4:$O$503,_calc!$E$348))=0,"",INDEX('Checks'!$O$4:$O$503,_calc!$E$348)))</f>
        <v/>
      </c>
    </row>
    <row r="347">
      <c r="A347" s="43">
        <f>IF(_calc!$E$349="","","Right to work follow-up – "&amp;IF(LEN(INDEX('Checks'!$A$4:$A$503,_calc!$E$349))=0,"",INDEX('Checks'!$A$4:$A$503,_calc!$E$349)))</f>
        <v/>
      </c>
      <c r="B347" s="43">
        <f>IF(_calc!$E$349="","",IF(ISNUMBER(INDEX('Checks'!$H$4:$H$503,_calc!$E$349)),TEXT(INDEX('Checks'!$H$4:$H$503,_calc!$E$349),"yyyy-mm-dd"),""))</f>
        <v/>
      </c>
      <c r="C347" s="43">
        <f>IF(_calc!$E$349="","","Right to work")</f>
        <v/>
      </c>
      <c r="D347" s="43">
        <f>IF(_calc!$E$349="","",IF(ISNUMBER(INDEX('Checks'!$F$4:$F$503,_calc!$E$349)),TEXT(INDEX('Checks'!$F$4:$F$503,_calc!$E$349),"yyyy-mm-dd"),""))</f>
        <v/>
      </c>
      <c r="E347" s="43">
        <f>IF(_calc!$E$349="","","High")</f>
        <v/>
      </c>
      <c r="F347" s="43">
        <f>IF(_calc!$E$349="","",TRIM(IF(LEN(IF(LEN(INDEX('Checks'!$B$4:$B$503,_calc!$E$349))=0,"",INDEX('Checks'!$B$4:$B$503,_calc!$E$349)))=0,"","Role: "&amp;IF(LEN(INDEX('Checks'!$B$4:$B$503,_calc!$E$349))=0,"",INDEX('Checks'!$B$4:$B$503,_calc!$E$349))&amp;". ")&amp;IF(LEN(IF(LEN(INDEX('Checks'!$D$4:$D$503,_calc!$E$349))=0,"",INDEX('Checks'!$D$4:$D$503,_calc!$E$349)))=0,"","Check type: "&amp;IF(LEN(INDEX('Checks'!$D$4:$D$503,_calc!$E$349))=0,"",INDEX('Checks'!$D$4:$D$503,_calc!$E$349))&amp;". ")&amp;IF(LEN(IF(LEN(INDEX('Checks'!$E$4:$E$503,_calc!$E$349))=0,"",INDEX('Checks'!$E$4:$E$503,_calc!$E$349)))=0,"","Evidence: "&amp;IF(LEN(INDEX('Checks'!$E$4:$E$503,_calc!$E$349))=0,"",INDEX('Checks'!$E$4:$E$503,_calc!$E$349))&amp;". ")&amp;IF(LEN(IF(LEN(INDEX('Checks'!$G$4:$G$503,_calc!$E$349))=0,"",INDEX('Checks'!$G$4:$G$503,_calc!$E$349)))=0,"","Checked by: "&amp;IF(LEN(INDEX('Checks'!$G$4:$G$503,_calc!$E$349))=0,"",INDEX('Checks'!$G$4:$G$503,_calc!$E$349))&amp;". ")&amp;IF(LEN(IF(LEN(INDEX('Checks'!$Q$4:$Q$503,_calc!$E$349))=0,"",INDEX('Checks'!$Q$4:$Q$503,_calc!$E$349)))=0,"",IF(LEN(INDEX('Checks'!$Q$4:$Q$503,_calc!$E$349))=0,"",INDEX('Checks'!$Q$4:$Q$503,_calc!$E$349)))))</f>
        <v/>
      </c>
      <c r="G347" s="43">
        <f>IF(_calc!$E$349="","",IF(LEN(INDEX('Checks'!$P$4:$P$503,_calc!$E$349))=0,"",INDEX('Checks'!$P$4:$P$503,_calc!$E$349)))</f>
        <v/>
      </c>
      <c r="K347" s="43">
        <f>IF(_calc!$E$349="","",IF(LEN(INDEX('Checks'!$O$4:$O$503,_calc!$E$349))=0,"",INDEX('Checks'!$O$4:$O$503,_calc!$E$349)))</f>
        <v/>
      </c>
    </row>
    <row r="348">
      <c r="A348" s="43">
        <f>IF(_calc!$E$350="","","Right to work follow-up – "&amp;IF(LEN(INDEX('Checks'!$A$4:$A$503,_calc!$E$350))=0,"",INDEX('Checks'!$A$4:$A$503,_calc!$E$350)))</f>
        <v/>
      </c>
      <c r="B348" s="43">
        <f>IF(_calc!$E$350="","",IF(ISNUMBER(INDEX('Checks'!$H$4:$H$503,_calc!$E$350)),TEXT(INDEX('Checks'!$H$4:$H$503,_calc!$E$350),"yyyy-mm-dd"),""))</f>
        <v/>
      </c>
      <c r="C348" s="43">
        <f>IF(_calc!$E$350="","","Right to work")</f>
        <v/>
      </c>
      <c r="D348" s="43">
        <f>IF(_calc!$E$350="","",IF(ISNUMBER(INDEX('Checks'!$F$4:$F$503,_calc!$E$350)),TEXT(INDEX('Checks'!$F$4:$F$503,_calc!$E$350),"yyyy-mm-dd"),""))</f>
        <v/>
      </c>
      <c r="E348" s="43">
        <f>IF(_calc!$E$350="","","High")</f>
        <v/>
      </c>
      <c r="F348" s="43">
        <f>IF(_calc!$E$350="","",TRIM(IF(LEN(IF(LEN(INDEX('Checks'!$B$4:$B$503,_calc!$E$350))=0,"",INDEX('Checks'!$B$4:$B$503,_calc!$E$350)))=0,"","Role: "&amp;IF(LEN(INDEX('Checks'!$B$4:$B$503,_calc!$E$350))=0,"",INDEX('Checks'!$B$4:$B$503,_calc!$E$350))&amp;". ")&amp;IF(LEN(IF(LEN(INDEX('Checks'!$D$4:$D$503,_calc!$E$350))=0,"",INDEX('Checks'!$D$4:$D$503,_calc!$E$350)))=0,"","Check type: "&amp;IF(LEN(INDEX('Checks'!$D$4:$D$503,_calc!$E$350))=0,"",INDEX('Checks'!$D$4:$D$503,_calc!$E$350))&amp;". ")&amp;IF(LEN(IF(LEN(INDEX('Checks'!$E$4:$E$503,_calc!$E$350))=0,"",INDEX('Checks'!$E$4:$E$503,_calc!$E$350)))=0,"","Evidence: "&amp;IF(LEN(INDEX('Checks'!$E$4:$E$503,_calc!$E$350))=0,"",INDEX('Checks'!$E$4:$E$503,_calc!$E$350))&amp;". ")&amp;IF(LEN(IF(LEN(INDEX('Checks'!$G$4:$G$503,_calc!$E$350))=0,"",INDEX('Checks'!$G$4:$G$503,_calc!$E$350)))=0,"","Checked by: "&amp;IF(LEN(INDEX('Checks'!$G$4:$G$503,_calc!$E$350))=0,"",INDEX('Checks'!$G$4:$G$503,_calc!$E$350))&amp;". ")&amp;IF(LEN(IF(LEN(INDEX('Checks'!$Q$4:$Q$503,_calc!$E$350))=0,"",INDEX('Checks'!$Q$4:$Q$503,_calc!$E$350)))=0,"",IF(LEN(INDEX('Checks'!$Q$4:$Q$503,_calc!$E$350))=0,"",INDEX('Checks'!$Q$4:$Q$503,_calc!$E$350)))))</f>
        <v/>
      </c>
      <c r="G348" s="43">
        <f>IF(_calc!$E$350="","",IF(LEN(INDEX('Checks'!$P$4:$P$503,_calc!$E$350))=0,"",INDEX('Checks'!$P$4:$P$503,_calc!$E$350)))</f>
        <v/>
      </c>
      <c r="K348" s="43">
        <f>IF(_calc!$E$350="","",IF(LEN(INDEX('Checks'!$O$4:$O$503,_calc!$E$350))=0,"",INDEX('Checks'!$O$4:$O$503,_calc!$E$350)))</f>
        <v/>
      </c>
    </row>
    <row r="349">
      <c r="A349" s="43">
        <f>IF(_calc!$E$351="","","Right to work follow-up – "&amp;IF(LEN(INDEX('Checks'!$A$4:$A$503,_calc!$E$351))=0,"",INDEX('Checks'!$A$4:$A$503,_calc!$E$351)))</f>
        <v/>
      </c>
      <c r="B349" s="43">
        <f>IF(_calc!$E$351="","",IF(ISNUMBER(INDEX('Checks'!$H$4:$H$503,_calc!$E$351)),TEXT(INDEX('Checks'!$H$4:$H$503,_calc!$E$351),"yyyy-mm-dd"),""))</f>
        <v/>
      </c>
      <c r="C349" s="43">
        <f>IF(_calc!$E$351="","","Right to work")</f>
        <v/>
      </c>
      <c r="D349" s="43">
        <f>IF(_calc!$E$351="","",IF(ISNUMBER(INDEX('Checks'!$F$4:$F$503,_calc!$E$351)),TEXT(INDEX('Checks'!$F$4:$F$503,_calc!$E$351),"yyyy-mm-dd"),""))</f>
        <v/>
      </c>
      <c r="E349" s="43">
        <f>IF(_calc!$E$351="","","High")</f>
        <v/>
      </c>
      <c r="F349" s="43">
        <f>IF(_calc!$E$351="","",TRIM(IF(LEN(IF(LEN(INDEX('Checks'!$B$4:$B$503,_calc!$E$351))=0,"",INDEX('Checks'!$B$4:$B$503,_calc!$E$351)))=0,"","Role: "&amp;IF(LEN(INDEX('Checks'!$B$4:$B$503,_calc!$E$351))=0,"",INDEX('Checks'!$B$4:$B$503,_calc!$E$351))&amp;". ")&amp;IF(LEN(IF(LEN(INDEX('Checks'!$D$4:$D$503,_calc!$E$351))=0,"",INDEX('Checks'!$D$4:$D$503,_calc!$E$351)))=0,"","Check type: "&amp;IF(LEN(INDEX('Checks'!$D$4:$D$503,_calc!$E$351))=0,"",INDEX('Checks'!$D$4:$D$503,_calc!$E$351))&amp;". ")&amp;IF(LEN(IF(LEN(INDEX('Checks'!$E$4:$E$503,_calc!$E$351))=0,"",INDEX('Checks'!$E$4:$E$503,_calc!$E$351)))=0,"","Evidence: "&amp;IF(LEN(INDEX('Checks'!$E$4:$E$503,_calc!$E$351))=0,"",INDEX('Checks'!$E$4:$E$503,_calc!$E$351))&amp;". ")&amp;IF(LEN(IF(LEN(INDEX('Checks'!$G$4:$G$503,_calc!$E$351))=0,"",INDEX('Checks'!$G$4:$G$503,_calc!$E$351)))=0,"","Checked by: "&amp;IF(LEN(INDEX('Checks'!$G$4:$G$503,_calc!$E$351))=0,"",INDEX('Checks'!$G$4:$G$503,_calc!$E$351))&amp;". ")&amp;IF(LEN(IF(LEN(INDEX('Checks'!$Q$4:$Q$503,_calc!$E$351))=0,"",INDEX('Checks'!$Q$4:$Q$503,_calc!$E$351)))=0,"",IF(LEN(INDEX('Checks'!$Q$4:$Q$503,_calc!$E$351))=0,"",INDEX('Checks'!$Q$4:$Q$503,_calc!$E$351)))))</f>
        <v/>
      </c>
      <c r="G349" s="43">
        <f>IF(_calc!$E$351="","",IF(LEN(INDEX('Checks'!$P$4:$P$503,_calc!$E$351))=0,"",INDEX('Checks'!$P$4:$P$503,_calc!$E$351)))</f>
        <v/>
      </c>
      <c r="K349" s="43">
        <f>IF(_calc!$E$351="","",IF(LEN(INDEX('Checks'!$O$4:$O$503,_calc!$E$351))=0,"",INDEX('Checks'!$O$4:$O$503,_calc!$E$351)))</f>
        <v/>
      </c>
    </row>
    <row r="350">
      <c r="A350" s="43">
        <f>IF(_calc!$E$352="","","Right to work follow-up – "&amp;IF(LEN(INDEX('Checks'!$A$4:$A$503,_calc!$E$352))=0,"",INDEX('Checks'!$A$4:$A$503,_calc!$E$352)))</f>
        <v/>
      </c>
      <c r="B350" s="43">
        <f>IF(_calc!$E$352="","",IF(ISNUMBER(INDEX('Checks'!$H$4:$H$503,_calc!$E$352)),TEXT(INDEX('Checks'!$H$4:$H$503,_calc!$E$352),"yyyy-mm-dd"),""))</f>
        <v/>
      </c>
      <c r="C350" s="43">
        <f>IF(_calc!$E$352="","","Right to work")</f>
        <v/>
      </c>
      <c r="D350" s="43">
        <f>IF(_calc!$E$352="","",IF(ISNUMBER(INDEX('Checks'!$F$4:$F$503,_calc!$E$352)),TEXT(INDEX('Checks'!$F$4:$F$503,_calc!$E$352),"yyyy-mm-dd"),""))</f>
        <v/>
      </c>
      <c r="E350" s="43">
        <f>IF(_calc!$E$352="","","High")</f>
        <v/>
      </c>
      <c r="F350" s="43">
        <f>IF(_calc!$E$352="","",TRIM(IF(LEN(IF(LEN(INDEX('Checks'!$B$4:$B$503,_calc!$E$352))=0,"",INDEX('Checks'!$B$4:$B$503,_calc!$E$352)))=0,"","Role: "&amp;IF(LEN(INDEX('Checks'!$B$4:$B$503,_calc!$E$352))=0,"",INDEX('Checks'!$B$4:$B$503,_calc!$E$352))&amp;". ")&amp;IF(LEN(IF(LEN(INDEX('Checks'!$D$4:$D$503,_calc!$E$352))=0,"",INDEX('Checks'!$D$4:$D$503,_calc!$E$352)))=0,"","Check type: "&amp;IF(LEN(INDEX('Checks'!$D$4:$D$503,_calc!$E$352))=0,"",INDEX('Checks'!$D$4:$D$503,_calc!$E$352))&amp;". ")&amp;IF(LEN(IF(LEN(INDEX('Checks'!$E$4:$E$503,_calc!$E$352))=0,"",INDEX('Checks'!$E$4:$E$503,_calc!$E$352)))=0,"","Evidence: "&amp;IF(LEN(INDEX('Checks'!$E$4:$E$503,_calc!$E$352))=0,"",INDEX('Checks'!$E$4:$E$503,_calc!$E$352))&amp;". ")&amp;IF(LEN(IF(LEN(INDEX('Checks'!$G$4:$G$503,_calc!$E$352))=0,"",INDEX('Checks'!$G$4:$G$503,_calc!$E$352)))=0,"","Checked by: "&amp;IF(LEN(INDEX('Checks'!$G$4:$G$503,_calc!$E$352))=0,"",INDEX('Checks'!$G$4:$G$503,_calc!$E$352))&amp;". ")&amp;IF(LEN(IF(LEN(INDEX('Checks'!$Q$4:$Q$503,_calc!$E$352))=0,"",INDEX('Checks'!$Q$4:$Q$503,_calc!$E$352)))=0,"",IF(LEN(INDEX('Checks'!$Q$4:$Q$503,_calc!$E$352))=0,"",INDEX('Checks'!$Q$4:$Q$503,_calc!$E$352)))))</f>
        <v/>
      </c>
      <c r="G350" s="43">
        <f>IF(_calc!$E$352="","",IF(LEN(INDEX('Checks'!$P$4:$P$503,_calc!$E$352))=0,"",INDEX('Checks'!$P$4:$P$503,_calc!$E$352)))</f>
        <v/>
      </c>
      <c r="K350" s="43">
        <f>IF(_calc!$E$352="","",IF(LEN(INDEX('Checks'!$O$4:$O$503,_calc!$E$352))=0,"",INDEX('Checks'!$O$4:$O$503,_calc!$E$352)))</f>
        <v/>
      </c>
    </row>
    <row r="351">
      <c r="A351" s="43">
        <f>IF(_calc!$E$353="","","Right to work follow-up – "&amp;IF(LEN(INDEX('Checks'!$A$4:$A$503,_calc!$E$353))=0,"",INDEX('Checks'!$A$4:$A$503,_calc!$E$353)))</f>
        <v/>
      </c>
      <c r="B351" s="43">
        <f>IF(_calc!$E$353="","",IF(ISNUMBER(INDEX('Checks'!$H$4:$H$503,_calc!$E$353)),TEXT(INDEX('Checks'!$H$4:$H$503,_calc!$E$353),"yyyy-mm-dd"),""))</f>
        <v/>
      </c>
      <c r="C351" s="43">
        <f>IF(_calc!$E$353="","","Right to work")</f>
        <v/>
      </c>
      <c r="D351" s="43">
        <f>IF(_calc!$E$353="","",IF(ISNUMBER(INDEX('Checks'!$F$4:$F$503,_calc!$E$353)),TEXT(INDEX('Checks'!$F$4:$F$503,_calc!$E$353),"yyyy-mm-dd"),""))</f>
        <v/>
      </c>
      <c r="E351" s="43">
        <f>IF(_calc!$E$353="","","High")</f>
        <v/>
      </c>
      <c r="F351" s="43">
        <f>IF(_calc!$E$353="","",TRIM(IF(LEN(IF(LEN(INDEX('Checks'!$B$4:$B$503,_calc!$E$353))=0,"",INDEX('Checks'!$B$4:$B$503,_calc!$E$353)))=0,"","Role: "&amp;IF(LEN(INDEX('Checks'!$B$4:$B$503,_calc!$E$353))=0,"",INDEX('Checks'!$B$4:$B$503,_calc!$E$353))&amp;". ")&amp;IF(LEN(IF(LEN(INDEX('Checks'!$D$4:$D$503,_calc!$E$353))=0,"",INDEX('Checks'!$D$4:$D$503,_calc!$E$353)))=0,"","Check type: "&amp;IF(LEN(INDEX('Checks'!$D$4:$D$503,_calc!$E$353))=0,"",INDEX('Checks'!$D$4:$D$503,_calc!$E$353))&amp;". ")&amp;IF(LEN(IF(LEN(INDEX('Checks'!$E$4:$E$503,_calc!$E$353))=0,"",INDEX('Checks'!$E$4:$E$503,_calc!$E$353)))=0,"","Evidence: "&amp;IF(LEN(INDEX('Checks'!$E$4:$E$503,_calc!$E$353))=0,"",INDEX('Checks'!$E$4:$E$503,_calc!$E$353))&amp;". ")&amp;IF(LEN(IF(LEN(INDEX('Checks'!$G$4:$G$503,_calc!$E$353))=0,"",INDEX('Checks'!$G$4:$G$503,_calc!$E$353)))=0,"","Checked by: "&amp;IF(LEN(INDEX('Checks'!$G$4:$G$503,_calc!$E$353))=0,"",INDEX('Checks'!$G$4:$G$503,_calc!$E$353))&amp;". ")&amp;IF(LEN(IF(LEN(INDEX('Checks'!$Q$4:$Q$503,_calc!$E$353))=0,"",INDEX('Checks'!$Q$4:$Q$503,_calc!$E$353)))=0,"",IF(LEN(INDEX('Checks'!$Q$4:$Q$503,_calc!$E$353))=0,"",INDEX('Checks'!$Q$4:$Q$503,_calc!$E$353)))))</f>
        <v/>
      </c>
      <c r="G351" s="43">
        <f>IF(_calc!$E$353="","",IF(LEN(INDEX('Checks'!$P$4:$P$503,_calc!$E$353))=0,"",INDEX('Checks'!$P$4:$P$503,_calc!$E$353)))</f>
        <v/>
      </c>
      <c r="K351" s="43">
        <f>IF(_calc!$E$353="","",IF(LEN(INDEX('Checks'!$O$4:$O$503,_calc!$E$353))=0,"",INDEX('Checks'!$O$4:$O$503,_calc!$E$353)))</f>
        <v/>
      </c>
    </row>
    <row r="352">
      <c r="A352" s="43">
        <f>IF(_calc!$E$354="","","Right to work follow-up – "&amp;IF(LEN(INDEX('Checks'!$A$4:$A$503,_calc!$E$354))=0,"",INDEX('Checks'!$A$4:$A$503,_calc!$E$354)))</f>
        <v/>
      </c>
      <c r="B352" s="43">
        <f>IF(_calc!$E$354="","",IF(ISNUMBER(INDEX('Checks'!$H$4:$H$503,_calc!$E$354)),TEXT(INDEX('Checks'!$H$4:$H$503,_calc!$E$354),"yyyy-mm-dd"),""))</f>
        <v/>
      </c>
      <c r="C352" s="43">
        <f>IF(_calc!$E$354="","","Right to work")</f>
        <v/>
      </c>
      <c r="D352" s="43">
        <f>IF(_calc!$E$354="","",IF(ISNUMBER(INDEX('Checks'!$F$4:$F$503,_calc!$E$354)),TEXT(INDEX('Checks'!$F$4:$F$503,_calc!$E$354),"yyyy-mm-dd"),""))</f>
        <v/>
      </c>
      <c r="E352" s="43">
        <f>IF(_calc!$E$354="","","High")</f>
        <v/>
      </c>
      <c r="F352" s="43">
        <f>IF(_calc!$E$354="","",TRIM(IF(LEN(IF(LEN(INDEX('Checks'!$B$4:$B$503,_calc!$E$354))=0,"",INDEX('Checks'!$B$4:$B$503,_calc!$E$354)))=0,"","Role: "&amp;IF(LEN(INDEX('Checks'!$B$4:$B$503,_calc!$E$354))=0,"",INDEX('Checks'!$B$4:$B$503,_calc!$E$354))&amp;". ")&amp;IF(LEN(IF(LEN(INDEX('Checks'!$D$4:$D$503,_calc!$E$354))=0,"",INDEX('Checks'!$D$4:$D$503,_calc!$E$354)))=0,"","Check type: "&amp;IF(LEN(INDEX('Checks'!$D$4:$D$503,_calc!$E$354))=0,"",INDEX('Checks'!$D$4:$D$503,_calc!$E$354))&amp;". ")&amp;IF(LEN(IF(LEN(INDEX('Checks'!$E$4:$E$503,_calc!$E$354))=0,"",INDEX('Checks'!$E$4:$E$503,_calc!$E$354)))=0,"","Evidence: "&amp;IF(LEN(INDEX('Checks'!$E$4:$E$503,_calc!$E$354))=0,"",INDEX('Checks'!$E$4:$E$503,_calc!$E$354))&amp;". ")&amp;IF(LEN(IF(LEN(INDEX('Checks'!$G$4:$G$503,_calc!$E$354))=0,"",INDEX('Checks'!$G$4:$G$503,_calc!$E$354)))=0,"","Checked by: "&amp;IF(LEN(INDEX('Checks'!$G$4:$G$503,_calc!$E$354))=0,"",INDEX('Checks'!$G$4:$G$503,_calc!$E$354))&amp;". ")&amp;IF(LEN(IF(LEN(INDEX('Checks'!$Q$4:$Q$503,_calc!$E$354))=0,"",INDEX('Checks'!$Q$4:$Q$503,_calc!$E$354)))=0,"",IF(LEN(INDEX('Checks'!$Q$4:$Q$503,_calc!$E$354))=0,"",INDEX('Checks'!$Q$4:$Q$503,_calc!$E$354)))))</f>
        <v/>
      </c>
      <c r="G352" s="43">
        <f>IF(_calc!$E$354="","",IF(LEN(INDEX('Checks'!$P$4:$P$503,_calc!$E$354))=0,"",INDEX('Checks'!$P$4:$P$503,_calc!$E$354)))</f>
        <v/>
      </c>
      <c r="K352" s="43">
        <f>IF(_calc!$E$354="","",IF(LEN(INDEX('Checks'!$O$4:$O$503,_calc!$E$354))=0,"",INDEX('Checks'!$O$4:$O$503,_calc!$E$354)))</f>
        <v/>
      </c>
    </row>
    <row r="353">
      <c r="A353" s="43">
        <f>IF(_calc!$E$355="","","Right to work follow-up – "&amp;IF(LEN(INDEX('Checks'!$A$4:$A$503,_calc!$E$355))=0,"",INDEX('Checks'!$A$4:$A$503,_calc!$E$355)))</f>
        <v/>
      </c>
      <c r="B353" s="43">
        <f>IF(_calc!$E$355="","",IF(ISNUMBER(INDEX('Checks'!$H$4:$H$503,_calc!$E$355)),TEXT(INDEX('Checks'!$H$4:$H$503,_calc!$E$355),"yyyy-mm-dd"),""))</f>
        <v/>
      </c>
      <c r="C353" s="43">
        <f>IF(_calc!$E$355="","","Right to work")</f>
        <v/>
      </c>
      <c r="D353" s="43">
        <f>IF(_calc!$E$355="","",IF(ISNUMBER(INDEX('Checks'!$F$4:$F$503,_calc!$E$355)),TEXT(INDEX('Checks'!$F$4:$F$503,_calc!$E$355),"yyyy-mm-dd"),""))</f>
        <v/>
      </c>
      <c r="E353" s="43">
        <f>IF(_calc!$E$355="","","High")</f>
        <v/>
      </c>
      <c r="F353" s="43">
        <f>IF(_calc!$E$355="","",TRIM(IF(LEN(IF(LEN(INDEX('Checks'!$B$4:$B$503,_calc!$E$355))=0,"",INDEX('Checks'!$B$4:$B$503,_calc!$E$355)))=0,"","Role: "&amp;IF(LEN(INDEX('Checks'!$B$4:$B$503,_calc!$E$355))=0,"",INDEX('Checks'!$B$4:$B$503,_calc!$E$355))&amp;". ")&amp;IF(LEN(IF(LEN(INDEX('Checks'!$D$4:$D$503,_calc!$E$355))=0,"",INDEX('Checks'!$D$4:$D$503,_calc!$E$355)))=0,"","Check type: "&amp;IF(LEN(INDEX('Checks'!$D$4:$D$503,_calc!$E$355))=0,"",INDEX('Checks'!$D$4:$D$503,_calc!$E$355))&amp;". ")&amp;IF(LEN(IF(LEN(INDEX('Checks'!$E$4:$E$503,_calc!$E$355))=0,"",INDEX('Checks'!$E$4:$E$503,_calc!$E$355)))=0,"","Evidence: "&amp;IF(LEN(INDEX('Checks'!$E$4:$E$503,_calc!$E$355))=0,"",INDEX('Checks'!$E$4:$E$503,_calc!$E$355))&amp;". ")&amp;IF(LEN(IF(LEN(INDEX('Checks'!$G$4:$G$503,_calc!$E$355))=0,"",INDEX('Checks'!$G$4:$G$503,_calc!$E$355)))=0,"","Checked by: "&amp;IF(LEN(INDEX('Checks'!$G$4:$G$503,_calc!$E$355))=0,"",INDEX('Checks'!$G$4:$G$503,_calc!$E$355))&amp;". ")&amp;IF(LEN(IF(LEN(INDEX('Checks'!$Q$4:$Q$503,_calc!$E$355))=0,"",INDEX('Checks'!$Q$4:$Q$503,_calc!$E$355)))=0,"",IF(LEN(INDEX('Checks'!$Q$4:$Q$503,_calc!$E$355))=0,"",INDEX('Checks'!$Q$4:$Q$503,_calc!$E$355)))))</f>
        <v/>
      </c>
      <c r="G353" s="43">
        <f>IF(_calc!$E$355="","",IF(LEN(INDEX('Checks'!$P$4:$P$503,_calc!$E$355))=0,"",INDEX('Checks'!$P$4:$P$503,_calc!$E$355)))</f>
        <v/>
      </c>
      <c r="K353" s="43">
        <f>IF(_calc!$E$355="","",IF(LEN(INDEX('Checks'!$O$4:$O$503,_calc!$E$355))=0,"",INDEX('Checks'!$O$4:$O$503,_calc!$E$355)))</f>
        <v/>
      </c>
    </row>
    <row r="354">
      <c r="A354" s="43">
        <f>IF(_calc!$E$356="","","Right to work follow-up – "&amp;IF(LEN(INDEX('Checks'!$A$4:$A$503,_calc!$E$356))=0,"",INDEX('Checks'!$A$4:$A$503,_calc!$E$356)))</f>
        <v/>
      </c>
      <c r="B354" s="43">
        <f>IF(_calc!$E$356="","",IF(ISNUMBER(INDEX('Checks'!$H$4:$H$503,_calc!$E$356)),TEXT(INDEX('Checks'!$H$4:$H$503,_calc!$E$356),"yyyy-mm-dd"),""))</f>
        <v/>
      </c>
      <c r="C354" s="43">
        <f>IF(_calc!$E$356="","","Right to work")</f>
        <v/>
      </c>
      <c r="D354" s="43">
        <f>IF(_calc!$E$356="","",IF(ISNUMBER(INDEX('Checks'!$F$4:$F$503,_calc!$E$356)),TEXT(INDEX('Checks'!$F$4:$F$503,_calc!$E$356),"yyyy-mm-dd"),""))</f>
        <v/>
      </c>
      <c r="E354" s="43">
        <f>IF(_calc!$E$356="","","High")</f>
        <v/>
      </c>
      <c r="F354" s="43">
        <f>IF(_calc!$E$356="","",TRIM(IF(LEN(IF(LEN(INDEX('Checks'!$B$4:$B$503,_calc!$E$356))=0,"",INDEX('Checks'!$B$4:$B$503,_calc!$E$356)))=0,"","Role: "&amp;IF(LEN(INDEX('Checks'!$B$4:$B$503,_calc!$E$356))=0,"",INDEX('Checks'!$B$4:$B$503,_calc!$E$356))&amp;". ")&amp;IF(LEN(IF(LEN(INDEX('Checks'!$D$4:$D$503,_calc!$E$356))=0,"",INDEX('Checks'!$D$4:$D$503,_calc!$E$356)))=0,"","Check type: "&amp;IF(LEN(INDEX('Checks'!$D$4:$D$503,_calc!$E$356))=0,"",INDEX('Checks'!$D$4:$D$503,_calc!$E$356))&amp;". ")&amp;IF(LEN(IF(LEN(INDEX('Checks'!$E$4:$E$503,_calc!$E$356))=0,"",INDEX('Checks'!$E$4:$E$503,_calc!$E$356)))=0,"","Evidence: "&amp;IF(LEN(INDEX('Checks'!$E$4:$E$503,_calc!$E$356))=0,"",INDEX('Checks'!$E$4:$E$503,_calc!$E$356))&amp;". ")&amp;IF(LEN(IF(LEN(INDEX('Checks'!$G$4:$G$503,_calc!$E$356))=0,"",INDEX('Checks'!$G$4:$G$503,_calc!$E$356)))=0,"","Checked by: "&amp;IF(LEN(INDEX('Checks'!$G$4:$G$503,_calc!$E$356))=0,"",INDEX('Checks'!$G$4:$G$503,_calc!$E$356))&amp;". ")&amp;IF(LEN(IF(LEN(INDEX('Checks'!$Q$4:$Q$503,_calc!$E$356))=0,"",INDEX('Checks'!$Q$4:$Q$503,_calc!$E$356)))=0,"",IF(LEN(INDEX('Checks'!$Q$4:$Q$503,_calc!$E$356))=0,"",INDEX('Checks'!$Q$4:$Q$503,_calc!$E$356)))))</f>
        <v/>
      </c>
      <c r="G354" s="43">
        <f>IF(_calc!$E$356="","",IF(LEN(INDEX('Checks'!$P$4:$P$503,_calc!$E$356))=0,"",INDEX('Checks'!$P$4:$P$503,_calc!$E$356)))</f>
        <v/>
      </c>
      <c r="K354" s="43">
        <f>IF(_calc!$E$356="","",IF(LEN(INDEX('Checks'!$O$4:$O$503,_calc!$E$356))=0,"",INDEX('Checks'!$O$4:$O$503,_calc!$E$356)))</f>
        <v/>
      </c>
    </row>
    <row r="355">
      <c r="A355" s="43">
        <f>IF(_calc!$E$357="","","Right to work follow-up – "&amp;IF(LEN(INDEX('Checks'!$A$4:$A$503,_calc!$E$357))=0,"",INDEX('Checks'!$A$4:$A$503,_calc!$E$357)))</f>
        <v/>
      </c>
      <c r="B355" s="43">
        <f>IF(_calc!$E$357="","",IF(ISNUMBER(INDEX('Checks'!$H$4:$H$503,_calc!$E$357)),TEXT(INDEX('Checks'!$H$4:$H$503,_calc!$E$357),"yyyy-mm-dd"),""))</f>
        <v/>
      </c>
      <c r="C355" s="43">
        <f>IF(_calc!$E$357="","","Right to work")</f>
        <v/>
      </c>
      <c r="D355" s="43">
        <f>IF(_calc!$E$357="","",IF(ISNUMBER(INDEX('Checks'!$F$4:$F$503,_calc!$E$357)),TEXT(INDEX('Checks'!$F$4:$F$503,_calc!$E$357),"yyyy-mm-dd"),""))</f>
        <v/>
      </c>
      <c r="E355" s="43">
        <f>IF(_calc!$E$357="","","High")</f>
        <v/>
      </c>
      <c r="F355" s="43">
        <f>IF(_calc!$E$357="","",TRIM(IF(LEN(IF(LEN(INDEX('Checks'!$B$4:$B$503,_calc!$E$357))=0,"",INDEX('Checks'!$B$4:$B$503,_calc!$E$357)))=0,"","Role: "&amp;IF(LEN(INDEX('Checks'!$B$4:$B$503,_calc!$E$357))=0,"",INDEX('Checks'!$B$4:$B$503,_calc!$E$357))&amp;". ")&amp;IF(LEN(IF(LEN(INDEX('Checks'!$D$4:$D$503,_calc!$E$357))=0,"",INDEX('Checks'!$D$4:$D$503,_calc!$E$357)))=0,"","Check type: "&amp;IF(LEN(INDEX('Checks'!$D$4:$D$503,_calc!$E$357))=0,"",INDEX('Checks'!$D$4:$D$503,_calc!$E$357))&amp;". ")&amp;IF(LEN(IF(LEN(INDEX('Checks'!$E$4:$E$503,_calc!$E$357))=0,"",INDEX('Checks'!$E$4:$E$503,_calc!$E$357)))=0,"","Evidence: "&amp;IF(LEN(INDEX('Checks'!$E$4:$E$503,_calc!$E$357))=0,"",INDEX('Checks'!$E$4:$E$503,_calc!$E$357))&amp;". ")&amp;IF(LEN(IF(LEN(INDEX('Checks'!$G$4:$G$503,_calc!$E$357))=0,"",INDEX('Checks'!$G$4:$G$503,_calc!$E$357)))=0,"","Checked by: "&amp;IF(LEN(INDEX('Checks'!$G$4:$G$503,_calc!$E$357))=0,"",INDEX('Checks'!$G$4:$G$503,_calc!$E$357))&amp;". ")&amp;IF(LEN(IF(LEN(INDEX('Checks'!$Q$4:$Q$503,_calc!$E$357))=0,"",INDEX('Checks'!$Q$4:$Q$503,_calc!$E$357)))=0,"",IF(LEN(INDEX('Checks'!$Q$4:$Q$503,_calc!$E$357))=0,"",INDEX('Checks'!$Q$4:$Q$503,_calc!$E$357)))))</f>
        <v/>
      </c>
      <c r="G355" s="43">
        <f>IF(_calc!$E$357="","",IF(LEN(INDEX('Checks'!$P$4:$P$503,_calc!$E$357))=0,"",INDEX('Checks'!$P$4:$P$503,_calc!$E$357)))</f>
        <v/>
      </c>
      <c r="K355" s="43">
        <f>IF(_calc!$E$357="","",IF(LEN(INDEX('Checks'!$O$4:$O$503,_calc!$E$357))=0,"",INDEX('Checks'!$O$4:$O$503,_calc!$E$357)))</f>
        <v/>
      </c>
    </row>
    <row r="356">
      <c r="A356" s="43">
        <f>IF(_calc!$E$358="","","Right to work follow-up – "&amp;IF(LEN(INDEX('Checks'!$A$4:$A$503,_calc!$E$358))=0,"",INDEX('Checks'!$A$4:$A$503,_calc!$E$358)))</f>
        <v/>
      </c>
      <c r="B356" s="43">
        <f>IF(_calc!$E$358="","",IF(ISNUMBER(INDEX('Checks'!$H$4:$H$503,_calc!$E$358)),TEXT(INDEX('Checks'!$H$4:$H$503,_calc!$E$358),"yyyy-mm-dd"),""))</f>
        <v/>
      </c>
      <c r="C356" s="43">
        <f>IF(_calc!$E$358="","","Right to work")</f>
        <v/>
      </c>
      <c r="D356" s="43">
        <f>IF(_calc!$E$358="","",IF(ISNUMBER(INDEX('Checks'!$F$4:$F$503,_calc!$E$358)),TEXT(INDEX('Checks'!$F$4:$F$503,_calc!$E$358),"yyyy-mm-dd"),""))</f>
        <v/>
      </c>
      <c r="E356" s="43">
        <f>IF(_calc!$E$358="","","High")</f>
        <v/>
      </c>
      <c r="F356" s="43">
        <f>IF(_calc!$E$358="","",TRIM(IF(LEN(IF(LEN(INDEX('Checks'!$B$4:$B$503,_calc!$E$358))=0,"",INDEX('Checks'!$B$4:$B$503,_calc!$E$358)))=0,"","Role: "&amp;IF(LEN(INDEX('Checks'!$B$4:$B$503,_calc!$E$358))=0,"",INDEX('Checks'!$B$4:$B$503,_calc!$E$358))&amp;". ")&amp;IF(LEN(IF(LEN(INDEX('Checks'!$D$4:$D$503,_calc!$E$358))=0,"",INDEX('Checks'!$D$4:$D$503,_calc!$E$358)))=0,"","Check type: "&amp;IF(LEN(INDEX('Checks'!$D$4:$D$503,_calc!$E$358))=0,"",INDEX('Checks'!$D$4:$D$503,_calc!$E$358))&amp;". ")&amp;IF(LEN(IF(LEN(INDEX('Checks'!$E$4:$E$503,_calc!$E$358))=0,"",INDEX('Checks'!$E$4:$E$503,_calc!$E$358)))=0,"","Evidence: "&amp;IF(LEN(INDEX('Checks'!$E$4:$E$503,_calc!$E$358))=0,"",INDEX('Checks'!$E$4:$E$503,_calc!$E$358))&amp;". ")&amp;IF(LEN(IF(LEN(INDEX('Checks'!$G$4:$G$503,_calc!$E$358))=0,"",INDEX('Checks'!$G$4:$G$503,_calc!$E$358)))=0,"","Checked by: "&amp;IF(LEN(INDEX('Checks'!$G$4:$G$503,_calc!$E$358))=0,"",INDEX('Checks'!$G$4:$G$503,_calc!$E$358))&amp;". ")&amp;IF(LEN(IF(LEN(INDEX('Checks'!$Q$4:$Q$503,_calc!$E$358))=0,"",INDEX('Checks'!$Q$4:$Q$503,_calc!$E$358)))=0,"",IF(LEN(INDEX('Checks'!$Q$4:$Q$503,_calc!$E$358))=0,"",INDEX('Checks'!$Q$4:$Q$503,_calc!$E$358)))))</f>
        <v/>
      </c>
      <c r="G356" s="43">
        <f>IF(_calc!$E$358="","",IF(LEN(INDEX('Checks'!$P$4:$P$503,_calc!$E$358))=0,"",INDEX('Checks'!$P$4:$P$503,_calc!$E$358)))</f>
        <v/>
      </c>
      <c r="K356" s="43">
        <f>IF(_calc!$E$358="","",IF(LEN(INDEX('Checks'!$O$4:$O$503,_calc!$E$358))=0,"",INDEX('Checks'!$O$4:$O$503,_calc!$E$358)))</f>
        <v/>
      </c>
    </row>
    <row r="357">
      <c r="A357" s="43">
        <f>IF(_calc!$E$359="","","Right to work follow-up – "&amp;IF(LEN(INDEX('Checks'!$A$4:$A$503,_calc!$E$359))=0,"",INDEX('Checks'!$A$4:$A$503,_calc!$E$359)))</f>
        <v/>
      </c>
      <c r="B357" s="43">
        <f>IF(_calc!$E$359="","",IF(ISNUMBER(INDEX('Checks'!$H$4:$H$503,_calc!$E$359)),TEXT(INDEX('Checks'!$H$4:$H$503,_calc!$E$359),"yyyy-mm-dd"),""))</f>
        <v/>
      </c>
      <c r="C357" s="43">
        <f>IF(_calc!$E$359="","","Right to work")</f>
        <v/>
      </c>
      <c r="D357" s="43">
        <f>IF(_calc!$E$359="","",IF(ISNUMBER(INDEX('Checks'!$F$4:$F$503,_calc!$E$359)),TEXT(INDEX('Checks'!$F$4:$F$503,_calc!$E$359),"yyyy-mm-dd"),""))</f>
        <v/>
      </c>
      <c r="E357" s="43">
        <f>IF(_calc!$E$359="","","High")</f>
        <v/>
      </c>
      <c r="F357" s="43">
        <f>IF(_calc!$E$359="","",TRIM(IF(LEN(IF(LEN(INDEX('Checks'!$B$4:$B$503,_calc!$E$359))=0,"",INDEX('Checks'!$B$4:$B$503,_calc!$E$359)))=0,"","Role: "&amp;IF(LEN(INDEX('Checks'!$B$4:$B$503,_calc!$E$359))=0,"",INDEX('Checks'!$B$4:$B$503,_calc!$E$359))&amp;". ")&amp;IF(LEN(IF(LEN(INDEX('Checks'!$D$4:$D$503,_calc!$E$359))=0,"",INDEX('Checks'!$D$4:$D$503,_calc!$E$359)))=0,"","Check type: "&amp;IF(LEN(INDEX('Checks'!$D$4:$D$503,_calc!$E$359))=0,"",INDEX('Checks'!$D$4:$D$503,_calc!$E$359))&amp;". ")&amp;IF(LEN(IF(LEN(INDEX('Checks'!$E$4:$E$503,_calc!$E$359))=0,"",INDEX('Checks'!$E$4:$E$503,_calc!$E$359)))=0,"","Evidence: "&amp;IF(LEN(INDEX('Checks'!$E$4:$E$503,_calc!$E$359))=0,"",INDEX('Checks'!$E$4:$E$503,_calc!$E$359))&amp;". ")&amp;IF(LEN(IF(LEN(INDEX('Checks'!$G$4:$G$503,_calc!$E$359))=0,"",INDEX('Checks'!$G$4:$G$503,_calc!$E$359)))=0,"","Checked by: "&amp;IF(LEN(INDEX('Checks'!$G$4:$G$503,_calc!$E$359))=0,"",INDEX('Checks'!$G$4:$G$503,_calc!$E$359))&amp;". ")&amp;IF(LEN(IF(LEN(INDEX('Checks'!$Q$4:$Q$503,_calc!$E$359))=0,"",INDEX('Checks'!$Q$4:$Q$503,_calc!$E$359)))=0,"",IF(LEN(INDEX('Checks'!$Q$4:$Q$503,_calc!$E$359))=0,"",INDEX('Checks'!$Q$4:$Q$503,_calc!$E$359)))))</f>
        <v/>
      </c>
      <c r="G357" s="43">
        <f>IF(_calc!$E$359="","",IF(LEN(INDEX('Checks'!$P$4:$P$503,_calc!$E$359))=0,"",INDEX('Checks'!$P$4:$P$503,_calc!$E$359)))</f>
        <v/>
      </c>
      <c r="K357" s="43">
        <f>IF(_calc!$E$359="","",IF(LEN(INDEX('Checks'!$O$4:$O$503,_calc!$E$359))=0,"",INDEX('Checks'!$O$4:$O$503,_calc!$E$359)))</f>
        <v/>
      </c>
    </row>
    <row r="358">
      <c r="A358" s="43">
        <f>IF(_calc!$E$360="","","Right to work follow-up – "&amp;IF(LEN(INDEX('Checks'!$A$4:$A$503,_calc!$E$360))=0,"",INDEX('Checks'!$A$4:$A$503,_calc!$E$360)))</f>
        <v/>
      </c>
      <c r="B358" s="43">
        <f>IF(_calc!$E$360="","",IF(ISNUMBER(INDEX('Checks'!$H$4:$H$503,_calc!$E$360)),TEXT(INDEX('Checks'!$H$4:$H$503,_calc!$E$360),"yyyy-mm-dd"),""))</f>
        <v/>
      </c>
      <c r="C358" s="43">
        <f>IF(_calc!$E$360="","","Right to work")</f>
        <v/>
      </c>
      <c r="D358" s="43">
        <f>IF(_calc!$E$360="","",IF(ISNUMBER(INDEX('Checks'!$F$4:$F$503,_calc!$E$360)),TEXT(INDEX('Checks'!$F$4:$F$503,_calc!$E$360),"yyyy-mm-dd"),""))</f>
        <v/>
      </c>
      <c r="E358" s="43">
        <f>IF(_calc!$E$360="","","High")</f>
        <v/>
      </c>
      <c r="F358" s="43">
        <f>IF(_calc!$E$360="","",TRIM(IF(LEN(IF(LEN(INDEX('Checks'!$B$4:$B$503,_calc!$E$360))=0,"",INDEX('Checks'!$B$4:$B$503,_calc!$E$360)))=0,"","Role: "&amp;IF(LEN(INDEX('Checks'!$B$4:$B$503,_calc!$E$360))=0,"",INDEX('Checks'!$B$4:$B$503,_calc!$E$360))&amp;". ")&amp;IF(LEN(IF(LEN(INDEX('Checks'!$D$4:$D$503,_calc!$E$360))=0,"",INDEX('Checks'!$D$4:$D$503,_calc!$E$360)))=0,"","Check type: "&amp;IF(LEN(INDEX('Checks'!$D$4:$D$503,_calc!$E$360))=0,"",INDEX('Checks'!$D$4:$D$503,_calc!$E$360))&amp;". ")&amp;IF(LEN(IF(LEN(INDEX('Checks'!$E$4:$E$503,_calc!$E$360))=0,"",INDEX('Checks'!$E$4:$E$503,_calc!$E$360)))=0,"","Evidence: "&amp;IF(LEN(INDEX('Checks'!$E$4:$E$503,_calc!$E$360))=0,"",INDEX('Checks'!$E$4:$E$503,_calc!$E$360))&amp;". ")&amp;IF(LEN(IF(LEN(INDEX('Checks'!$G$4:$G$503,_calc!$E$360))=0,"",INDEX('Checks'!$G$4:$G$503,_calc!$E$360)))=0,"","Checked by: "&amp;IF(LEN(INDEX('Checks'!$G$4:$G$503,_calc!$E$360))=0,"",INDEX('Checks'!$G$4:$G$503,_calc!$E$360))&amp;". ")&amp;IF(LEN(IF(LEN(INDEX('Checks'!$Q$4:$Q$503,_calc!$E$360))=0,"",INDEX('Checks'!$Q$4:$Q$503,_calc!$E$360)))=0,"",IF(LEN(INDEX('Checks'!$Q$4:$Q$503,_calc!$E$360))=0,"",INDEX('Checks'!$Q$4:$Q$503,_calc!$E$360)))))</f>
        <v/>
      </c>
      <c r="G358" s="43">
        <f>IF(_calc!$E$360="","",IF(LEN(INDEX('Checks'!$P$4:$P$503,_calc!$E$360))=0,"",INDEX('Checks'!$P$4:$P$503,_calc!$E$360)))</f>
        <v/>
      </c>
      <c r="K358" s="43">
        <f>IF(_calc!$E$360="","",IF(LEN(INDEX('Checks'!$O$4:$O$503,_calc!$E$360))=0,"",INDEX('Checks'!$O$4:$O$503,_calc!$E$360)))</f>
        <v/>
      </c>
    </row>
    <row r="359">
      <c r="A359" s="43">
        <f>IF(_calc!$E$361="","","Right to work follow-up – "&amp;IF(LEN(INDEX('Checks'!$A$4:$A$503,_calc!$E$361))=0,"",INDEX('Checks'!$A$4:$A$503,_calc!$E$361)))</f>
        <v/>
      </c>
      <c r="B359" s="43">
        <f>IF(_calc!$E$361="","",IF(ISNUMBER(INDEX('Checks'!$H$4:$H$503,_calc!$E$361)),TEXT(INDEX('Checks'!$H$4:$H$503,_calc!$E$361),"yyyy-mm-dd"),""))</f>
        <v/>
      </c>
      <c r="C359" s="43">
        <f>IF(_calc!$E$361="","","Right to work")</f>
        <v/>
      </c>
      <c r="D359" s="43">
        <f>IF(_calc!$E$361="","",IF(ISNUMBER(INDEX('Checks'!$F$4:$F$503,_calc!$E$361)),TEXT(INDEX('Checks'!$F$4:$F$503,_calc!$E$361),"yyyy-mm-dd"),""))</f>
        <v/>
      </c>
      <c r="E359" s="43">
        <f>IF(_calc!$E$361="","","High")</f>
        <v/>
      </c>
      <c r="F359" s="43">
        <f>IF(_calc!$E$361="","",TRIM(IF(LEN(IF(LEN(INDEX('Checks'!$B$4:$B$503,_calc!$E$361))=0,"",INDEX('Checks'!$B$4:$B$503,_calc!$E$361)))=0,"","Role: "&amp;IF(LEN(INDEX('Checks'!$B$4:$B$503,_calc!$E$361))=0,"",INDEX('Checks'!$B$4:$B$503,_calc!$E$361))&amp;". ")&amp;IF(LEN(IF(LEN(INDEX('Checks'!$D$4:$D$503,_calc!$E$361))=0,"",INDEX('Checks'!$D$4:$D$503,_calc!$E$361)))=0,"","Check type: "&amp;IF(LEN(INDEX('Checks'!$D$4:$D$503,_calc!$E$361))=0,"",INDEX('Checks'!$D$4:$D$503,_calc!$E$361))&amp;". ")&amp;IF(LEN(IF(LEN(INDEX('Checks'!$E$4:$E$503,_calc!$E$361))=0,"",INDEX('Checks'!$E$4:$E$503,_calc!$E$361)))=0,"","Evidence: "&amp;IF(LEN(INDEX('Checks'!$E$4:$E$503,_calc!$E$361))=0,"",INDEX('Checks'!$E$4:$E$503,_calc!$E$361))&amp;". ")&amp;IF(LEN(IF(LEN(INDEX('Checks'!$G$4:$G$503,_calc!$E$361))=0,"",INDEX('Checks'!$G$4:$G$503,_calc!$E$361)))=0,"","Checked by: "&amp;IF(LEN(INDEX('Checks'!$G$4:$G$503,_calc!$E$361))=0,"",INDEX('Checks'!$G$4:$G$503,_calc!$E$361))&amp;". ")&amp;IF(LEN(IF(LEN(INDEX('Checks'!$Q$4:$Q$503,_calc!$E$361))=0,"",INDEX('Checks'!$Q$4:$Q$503,_calc!$E$361)))=0,"",IF(LEN(INDEX('Checks'!$Q$4:$Q$503,_calc!$E$361))=0,"",INDEX('Checks'!$Q$4:$Q$503,_calc!$E$361)))))</f>
        <v/>
      </c>
      <c r="G359" s="43">
        <f>IF(_calc!$E$361="","",IF(LEN(INDEX('Checks'!$P$4:$P$503,_calc!$E$361))=0,"",INDEX('Checks'!$P$4:$P$503,_calc!$E$361)))</f>
        <v/>
      </c>
      <c r="K359" s="43">
        <f>IF(_calc!$E$361="","",IF(LEN(INDEX('Checks'!$O$4:$O$503,_calc!$E$361))=0,"",INDEX('Checks'!$O$4:$O$503,_calc!$E$361)))</f>
        <v/>
      </c>
    </row>
    <row r="360">
      <c r="A360" s="43">
        <f>IF(_calc!$E$362="","","Right to work follow-up – "&amp;IF(LEN(INDEX('Checks'!$A$4:$A$503,_calc!$E$362))=0,"",INDEX('Checks'!$A$4:$A$503,_calc!$E$362)))</f>
        <v/>
      </c>
      <c r="B360" s="43">
        <f>IF(_calc!$E$362="","",IF(ISNUMBER(INDEX('Checks'!$H$4:$H$503,_calc!$E$362)),TEXT(INDEX('Checks'!$H$4:$H$503,_calc!$E$362),"yyyy-mm-dd"),""))</f>
        <v/>
      </c>
      <c r="C360" s="43">
        <f>IF(_calc!$E$362="","","Right to work")</f>
        <v/>
      </c>
      <c r="D360" s="43">
        <f>IF(_calc!$E$362="","",IF(ISNUMBER(INDEX('Checks'!$F$4:$F$503,_calc!$E$362)),TEXT(INDEX('Checks'!$F$4:$F$503,_calc!$E$362),"yyyy-mm-dd"),""))</f>
        <v/>
      </c>
      <c r="E360" s="43">
        <f>IF(_calc!$E$362="","","High")</f>
        <v/>
      </c>
      <c r="F360" s="43">
        <f>IF(_calc!$E$362="","",TRIM(IF(LEN(IF(LEN(INDEX('Checks'!$B$4:$B$503,_calc!$E$362))=0,"",INDEX('Checks'!$B$4:$B$503,_calc!$E$362)))=0,"","Role: "&amp;IF(LEN(INDEX('Checks'!$B$4:$B$503,_calc!$E$362))=0,"",INDEX('Checks'!$B$4:$B$503,_calc!$E$362))&amp;". ")&amp;IF(LEN(IF(LEN(INDEX('Checks'!$D$4:$D$503,_calc!$E$362))=0,"",INDEX('Checks'!$D$4:$D$503,_calc!$E$362)))=0,"","Check type: "&amp;IF(LEN(INDEX('Checks'!$D$4:$D$503,_calc!$E$362))=0,"",INDEX('Checks'!$D$4:$D$503,_calc!$E$362))&amp;". ")&amp;IF(LEN(IF(LEN(INDEX('Checks'!$E$4:$E$503,_calc!$E$362))=0,"",INDEX('Checks'!$E$4:$E$503,_calc!$E$362)))=0,"","Evidence: "&amp;IF(LEN(INDEX('Checks'!$E$4:$E$503,_calc!$E$362))=0,"",INDEX('Checks'!$E$4:$E$503,_calc!$E$362))&amp;". ")&amp;IF(LEN(IF(LEN(INDEX('Checks'!$G$4:$G$503,_calc!$E$362))=0,"",INDEX('Checks'!$G$4:$G$503,_calc!$E$362)))=0,"","Checked by: "&amp;IF(LEN(INDEX('Checks'!$G$4:$G$503,_calc!$E$362))=0,"",INDEX('Checks'!$G$4:$G$503,_calc!$E$362))&amp;". ")&amp;IF(LEN(IF(LEN(INDEX('Checks'!$Q$4:$Q$503,_calc!$E$362))=0,"",INDEX('Checks'!$Q$4:$Q$503,_calc!$E$362)))=0,"",IF(LEN(INDEX('Checks'!$Q$4:$Q$503,_calc!$E$362))=0,"",INDEX('Checks'!$Q$4:$Q$503,_calc!$E$362)))))</f>
        <v/>
      </c>
      <c r="G360" s="43">
        <f>IF(_calc!$E$362="","",IF(LEN(INDEX('Checks'!$P$4:$P$503,_calc!$E$362))=0,"",INDEX('Checks'!$P$4:$P$503,_calc!$E$362)))</f>
        <v/>
      </c>
      <c r="K360" s="43">
        <f>IF(_calc!$E$362="","",IF(LEN(INDEX('Checks'!$O$4:$O$503,_calc!$E$362))=0,"",INDEX('Checks'!$O$4:$O$503,_calc!$E$362)))</f>
        <v/>
      </c>
    </row>
    <row r="361">
      <c r="A361" s="43">
        <f>IF(_calc!$E$363="","","Right to work follow-up – "&amp;IF(LEN(INDEX('Checks'!$A$4:$A$503,_calc!$E$363))=0,"",INDEX('Checks'!$A$4:$A$503,_calc!$E$363)))</f>
        <v/>
      </c>
      <c r="B361" s="43">
        <f>IF(_calc!$E$363="","",IF(ISNUMBER(INDEX('Checks'!$H$4:$H$503,_calc!$E$363)),TEXT(INDEX('Checks'!$H$4:$H$503,_calc!$E$363),"yyyy-mm-dd"),""))</f>
        <v/>
      </c>
      <c r="C361" s="43">
        <f>IF(_calc!$E$363="","","Right to work")</f>
        <v/>
      </c>
      <c r="D361" s="43">
        <f>IF(_calc!$E$363="","",IF(ISNUMBER(INDEX('Checks'!$F$4:$F$503,_calc!$E$363)),TEXT(INDEX('Checks'!$F$4:$F$503,_calc!$E$363),"yyyy-mm-dd"),""))</f>
        <v/>
      </c>
      <c r="E361" s="43">
        <f>IF(_calc!$E$363="","","High")</f>
        <v/>
      </c>
      <c r="F361" s="43">
        <f>IF(_calc!$E$363="","",TRIM(IF(LEN(IF(LEN(INDEX('Checks'!$B$4:$B$503,_calc!$E$363))=0,"",INDEX('Checks'!$B$4:$B$503,_calc!$E$363)))=0,"","Role: "&amp;IF(LEN(INDEX('Checks'!$B$4:$B$503,_calc!$E$363))=0,"",INDEX('Checks'!$B$4:$B$503,_calc!$E$363))&amp;". ")&amp;IF(LEN(IF(LEN(INDEX('Checks'!$D$4:$D$503,_calc!$E$363))=0,"",INDEX('Checks'!$D$4:$D$503,_calc!$E$363)))=0,"","Check type: "&amp;IF(LEN(INDEX('Checks'!$D$4:$D$503,_calc!$E$363))=0,"",INDEX('Checks'!$D$4:$D$503,_calc!$E$363))&amp;". ")&amp;IF(LEN(IF(LEN(INDEX('Checks'!$E$4:$E$503,_calc!$E$363))=0,"",INDEX('Checks'!$E$4:$E$503,_calc!$E$363)))=0,"","Evidence: "&amp;IF(LEN(INDEX('Checks'!$E$4:$E$503,_calc!$E$363))=0,"",INDEX('Checks'!$E$4:$E$503,_calc!$E$363))&amp;". ")&amp;IF(LEN(IF(LEN(INDEX('Checks'!$G$4:$G$503,_calc!$E$363))=0,"",INDEX('Checks'!$G$4:$G$503,_calc!$E$363)))=0,"","Checked by: "&amp;IF(LEN(INDEX('Checks'!$G$4:$G$503,_calc!$E$363))=0,"",INDEX('Checks'!$G$4:$G$503,_calc!$E$363))&amp;". ")&amp;IF(LEN(IF(LEN(INDEX('Checks'!$Q$4:$Q$503,_calc!$E$363))=0,"",INDEX('Checks'!$Q$4:$Q$503,_calc!$E$363)))=0,"",IF(LEN(INDEX('Checks'!$Q$4:$Q$503,_calc!$E$363))=0,"",INDEX('Checks'!$Q$4:$Q$503,_calc!$E$363)))))</f>
        <v/>
      </c>
      <c r="G361" s="43">
        <f>IF(_calc!$E$363="","",IF(LEN(INDEX('Checks'!$P$4:$P$503,_calc!$E$363))=0,"",INDEX('Checks'!$P$4:$P$503,_calc!$E$363)))</f>
        <v/>
      </c>
      <c r="K361" s="43">
        <f>IF(_calc!$E$363="","",IF(LEN(INDEX('Checks'!$O$4:$O$503,_calc!$E$363))=0,"",INDEX('Checks'!$O$4:$O$503,_calc!$E$363)))</f>
        <v/>
      </c>
    </row>
    <row r="362">
      <c r="A362" s="43">
        <f>IF(_calc!$E$364="","","Right to work follow-up – "&amp;IF(LEN(INDEX('Checks'!$A$4:$A$503,_calc!$E$364))=0,"",INDEX('Checks'!$A$4:$A$503,_calc!$E$364)))</f>
        <v/>
      </c>
      <c r="B362" s="43">
        <f>IF(_calc!$E$364="","",IF(ISNUMBER(INDEX('Checks'!$H$4:$H$503,_calc!$E$364)),TEXT(INDEX('Checks'!$H$4:$H$503,_calc!$E$364),"yyyy-mm-dd"),""))</f>
        <v/>
      </c>
      <c r="C362" s="43">
        <f>IF(_calc!$E$364="","","Right to work")</f>
        <v/>
      </c>
      <c r="D362" s="43">
        <f>IF(_calc!$E$364="","",IF(ISNUMBER(INDEX('Checks'!$F$4:$F$503,_calc!$E$364)),TEXT(INDEX('Checks'!$F$4:$F$503,_calc!$E$364),"yyyy-mm-dd"),""))</f>
        <v/>
      </c>
      <c r="E362" s="43">
        <f>IF(_calc!$E$364="","","High")</f>
        <v/>
      </c>
      <c r="F362" s="43">
        <f>IF(_calc!$E$364="","",TRIM(IF(LEN(IF(LEN(INDEX('Checks'!$B$4:$B$503,_calc!$E$364))=0,"",INDEX('Checks'!$B$4:$B$503,_calc!$E$364)))=0,"","Role: "&amp;IF(LEN(INDEX('Checks'!$B$4:$B$503,_calc!$E$364))=0,"",INDEX('Checks'!$B$4:$B$503,_calc!$E$364))&amp;". ")&amp;IF(LEN(IF(LEN(INDEX('Checks'!$D$4:$D$503,_calc!$E$364))=0,"",INDEX('Checks'!$D$4:$D$503,_calc!$E$364)))=0,"","Check type: "&amp;IF(LEN(INDEX('Checks'!$D$4:$D$503,_calc!$E$364))=0,"",INDEX('Checks'!$D$4:$D$503,_calc!$E$364))&amp;". ")&amp;IF(LEN(IF(LEN(INDEX('Checks'!$E$4:$E$503,_calc!$E$364))=0,"",INDEX('Checks'!$E$4:$E$503,_calc!$E$364)))=0,"","Evidence: "&amp;IF(LEN(INDEX('Checks'!$E$4:$E$503,_calc!$E$364))=0,"",INDEX('Checks'!$E$4:$E$503,_calc!$E$364))&amp;". ")&amp;IF(LEN(IF(LEN(INDEX('Checks'!$G$4:$G$503,_calc!$E$364))=0,"",INDEX('Checks'!$G$4:$G$503,_calc!$E$364)))=0,"","Checked by: "&amp;IF(LEN(INDEX('Checks'!$G$4:$G$503,_calc!$E$364))=0,"",INDEX('Checks'!$G$4:$G$503,_calc!$E$364))&amp;". ")&amp;IF(LEN(IF(LEN(INDEX('Checks'!$Q$4:$Q$503,_calc!$E$364))=0,"",INDEX('Checks'!$Q$4:$Q$503,_calc!$E$364)))=0,"",IF(LEN(INDEX('Checks'!$Q$4:$Q$503,_calc!$E$364))=0,"",INDEX('Checks'!$Q$4:$Q$503,_calc!$E$364)))))</f>
        <v/>
      </c>
      <c r="G362" s="43">
        <f>IF(_calc!$E$364="","",IF(LEN(INDEX('Checks'!$P$4:$P$503,_calc!$E$364))=0,"",INDEX('Checks'!$P$4:$P$503,_calc!$E$364)))</f>
        <v/>
      </c>
      <c r="K362" s="43">
        <f>IF(_calc!$E$364="","",IF(LEN(INDEX('Checks'!$O$4:$O$503,_calc!$E$364))=0,"",INDEX('Checks'!$O$4:$O$503,_calc!$E$364)))</f>
        <v/>
      </c>
    </row>
    <row r="363">
      <c r="A363" s="43">
        <f>IF(_calc!$E$365="","","Right to work follow-up – "&amp;IF(LEN(INDEX('Checks'!$A$4:$A$503,_calc!$E$365))=0,"",INDEX('Checks'!$A$4:$A$503,_calc!$E$365)))</f>
        <v/>
      </c>
      <c r="B363" s="43">
        <f>IF(_calc!$E$365="","",IF(ISNUMBER(INDEX('Checks'!$H$4:$H$503,_calc!$E$365)),TEXT(INDEX('Checks'!$H$4:$H$503,_calc!$E$365),"yyyy-mm-dd"),""))</f>
        <v/>
      </c>
      <c r="C363" s="43">
        <f>IF(_calc!$E$365="","","Right to work")</f>
        <v/>
      </c>
      <c r="D363" s="43">
        <f>IF(_calc!$E$365="","",IF(ISNUMBER(INDEX('Checks'!$F$4:$F$503,_calc!$E$365)),TEXT(INDEX('Checks'!$F$4:$F$503,_calc!$E$365),"yyyy-mm-dd"),""))</f>
        <v/>
      </c>
      <c r="E363" s="43">
        <f>IF(_calc!$E$365="","","High")</f>
        <v/>
      </c>
      <c r="F363" s="43">
        <f>IF(_calc!$E$365="","",TRIM(IF(LEN(IF(LEN(INDEX('Checks'!$B$4:$B$503,_calc!$E$365))=0,"",INDEX('Checks'!$B$4:$B$503,_calc!$E$365)))=0,"","Role: "&amp;IF(LEN(INDEX('Checks'!$B$4:$B$503,_calc!$E$365))=0,"",INDEX('Checks'!$B$4:$B$503,_calc!$E$365))&amp;". ")&amp;IF(LEN(IF(LEN(INDEX('Checks'!$D$4:$D$503,_calc!$E$365))=0,"",INDEX('Checks'!$D$4:$D$503,_calc!$E$365)))=0,"","Check type: "&amp;IF(LEN(INDEX('Checks'!$D$4:$D$503,_calc!$E$365))=0,"",INDEX('Checks'!$D$4:$D$503,_calc!$E$365))&amp;". ")&amp;IF(LEN(IF(LEN(INDEX('Checks'!$E$4:$E$503,_calc!$E$365))=0,"",INDEX('Checks'!$E$4:$E$503,_calc!$E$365)))=0,"","Evidence: "&amp;IF(LEN(INDEX('Checks'!$E$4:$E$503,_calc!$E$365))=0,"",INDEX('Checks'!$E$4:$E$503,_calc!$E$365))&amp;". ")&amp;IF(LEN(IF(LEN(INDEX('Checks'!$G$4:$G$503,_calc!$E$365))=0,"",INDEX('Checks'!$G$4:$G$503,_calc!$E$365)))=0,"","Checked by: "&amp;IF(LEN(INDEX('Checks'!$G$4:$G$503,_calc!$E$365))=0,"",INDEX('Checks'!$G$4:$G$503,_calc!$E$365))&amp;". ")&amp;IF(LEN(IF(LEN(INDEX('Checks'!$Q$4:$Q$503,_calc!$E$365))=0,"",INDEX('Checks'!$Q$4:$Q$503,_calc!$E$365)))=0,"",IF(LEN(INDEX('Checks'!$Q$4:$Q$503,_calc!$E$365))=0,"",INDEX('Checks'!$Q$4:$Q$503,_calc!$E$365)))))</f>
        <v/>
      </c>
      <c r="G363" s="43">
        <f>IF(_calc!$E$365="","",IF(LEN(INDEX('Checks'!$P$4:$P$503,_calc!$E$365))=0,"",INDEX('Checks'!$P$4:$P$503,_calc!$E$365)))</f>
        <v/>
      </c>
      <c r="K363" s="43">
        <f>IF(_calc!$E$365="","",IF(LEN(INDEX('Checks'!$O$4:$O$503,_calc!$E$365))=0,"",INDEX('Checks'!$O$4:$O$503,_calc!$E$365)))</f>
        <v/>
      </c>
    </row>
    <row r="364">
      <c r="A364" s="43">
        <f>IF(_calc!$E$366="","","Right to work follow-up – "&amp;IF(LEN(INDEX('Checks'!$A$4:$A$503,_calc!$E$366))=0,"",INDEX('Checks'!$A$4:$A$503,_calc!$E$366)))</f>
        <v/>
      </c>
      <c r="B364" s="43">
        <f>IF(_calc!$E$366="","",IF(ISNUMBER(INDEX('Checks'!$H$4:$H$503,_calc!$E$366)),TEXT(INDEX('Checks'!$H$4:$H$503,_calc!$E$366),"yyyy-mm-dd"),""))</f>
        <v/>
      </c>
      <c r="C364" s="43">
        <f>IF(_calc!$E$366="","","Right to work")</f>
        <v/>
      </c>
      <c r="D364" s="43">
        <f>IF(_calc!$E$366="","",IF(ISNUMBER(INDEX('Checks'!$F$4:$F$503,_calc!$E$366)),TEXT(INDEX('Checks'!$F$4:$F$503,_calc!$E$366),"yyyy-mm-dd"),""))</f>
        <v/>
      </c>
      <c r="E364" s="43">
        <f>IF(_calc!$E$366="","","High")</f>
        <v/>
      </c>
      <c r="F364" s="43">
        <f>IF(_calc!$E$366="","",TRIM(IF(LEN(IF(LEN(INDEX('Checks'!$B$4:$B$503,_calc!$E$366))=0,"",INDEX('Checks'!$B$4:$B$503,_calc!$E$366)))=0,"","Role: "&amp;IF(LEN(INDEX('Checks'!$B$4:$B$503,_calc!$E$366))=0,"",INDEX('Checks'!$B$4:$B$503,_calc!$E$366))&amp;". ")&amp;IF(LEN(IF(LEN(INDEX('Checks'!$D$4:$D$503,_calc!$E$366))=0,"",INDEX('Checks'!$D$4:$D$503,_calc!$E$366)))=0,"","Check type: "&amp;IF(LEN(INDEX('Checks'!$D$4:$D$503,_calc!$E$366))=0,"",INDEX('Checks'!$D$4:$D$503,_calc!$E$366))&amp;". ")&amp;IF(LEN(IF(LEN(INDEX('Checks'!$E$4:$E$503,_calc!$E$366))=0,"",INDEX('Checks'!$E$4:$E$503,_calc!$E$366)))=0,"","Evidence: "&amp;IF(LEN(INDEX('Checks'!$E$4:$E$503,_calc!$E$366))=0,"",INDEX('Checks'!$E$4:$E$503,_calc!$E$366))&amp;". ")&amp;IF(LEN(IF(LEN(INDEX('Checks'!$G$4:$G$503,_calc!$E$366))=0,"",INDEX('Checks'!$G$4:$G$503,_calc!$E$366)))=0,"","Checked by: "&amp;IF(LEN(INDEX('Checks'!$G$4:$G$503,_calc!$E$366))=0,"",INDEX('Checks'!$G$4:$G$503,_calc!$E$366))&amp;". ")&amp;IF(LEN(IF(LEN(INDEX('Checks'!$Q$4:$Q$503,_calc!$E$366))=0,"",INDEX('Checks'!$Q$4:$Q$503,_calc!$E$366)))=0,"",IF(LEN(INDEX('Checks'!$Q$4:$Q$503,_calc!$E$366))=0,"",INDEX('Checks'!$Q$4:$Q$503,_calc!$E$366)))))</f>
        <v/>
      </c>
      <c r="G364" s="43">
        <f>IF(_calc!$E$366="","",IF(LEN(INDEX('Checks'!$P$4:$P$503,_calc!$E$366))=0,"",INDEX('Checks'!$P$4:$P$503,_calc!$E$366)))</f>
        <v/>
      </c>
      <c r="K364" s="43">
        <f>IF(_calc!$E$366="","",IF(LEN(INDEX('Checks'!$O$4:$O$503,_calc!$E$366))=0,"",INDEX('Checks'!$O$4:$O$503,_calc!$E$366)))</f>
        <v/>
      </c>
    </row>
    <row r="365">
      <c r="A365" s="43">
        <f>IF(_calc!$E$367="","","Right to work follow-up – "&amp;IF(LEN(INDEX('Checks'!$A$4:$A$503,_calc!$E$367))=0,"",INDEX('Checks'!$A$4:$A$503,_calc!$E$367)))</f>
        <v/>
      </c>
      <c r="B365" s="43">
        <f>IF(_calc!$E$367="","",IF(ISNUMBER(INDEX('Checks'!$H$4:$H$503,_calc!$E$367)),TEXT(INDEX('Checks'!$H$4:$H$503,_calc!$E$367),"yyyy-mm-dd"),""))</f>
        <v/>
      </c>
      <c r="C365" s="43">
        <f>IF(_calc!$E$367="","","Right to work")</f>
        <v/>
      </c>
      <c r="D365" s="43">
        <f>IF(_calc!$E$367="","",IF(ISNUMBER(INDEX('Checks'!$F$4:$F$503,_calc!$E$367)),TEXT(INDEX('Checks'!$F$4:$F$503,_calc!$E$367),"yyyy-mm-dd"),""))</f>
        <v/>
      </c>
      <c r="E365" s="43">
        <f>IF(_calc!$E$367="","","High")</f>
        <v/>
      </c>
      <c r="F365" s="43">
        <f>IF(_calc!$E$367="","",TRIM(IF(LEN(IF(LEN(INDEX('Checks'!$B$4:$B$503,_calc!$E$367))=0,"",INDEX('Checks'!$B$4:$B$503,_calc!$E$367)))=0,"","Role: "&amp;IF(LEN(INDEX('Checks'!$B$4:$B$503,_calc!$E$367))=0,"",INDEX('Checks'!$B$4:$B$503,_calc!$E$367))&amp;". ")&amp;IF(LEN(IF(LEN(INDEX('Checks'!$D$4:$D$503,_calc!$E$367))=0,"",INDEX('Checks'!$D$4:$D$503,_calc!$E$367)))=0,"","Check type: "&amp;IF(LEN(INDEX('Checks'!$D$4:$D$503,_calc!$E$367))=0,"",INDEX('Checks'!$D$4:$D$503,_calc!$E$367))&amp;". ")&amp;IF(LEN(IF(LEN(INDEX('Checks'!$E$4:$E$503,_calc!$E$367))=0,"",INDEX('Checks'!$E$4:$E$503,_calc!$E$367)))=0,"","Evidence: "&amp;IF(LEN(INDEX('Checks'!$E$4:$E$503,_calc!$E$367))=0,"",INDEX('Checks'!$E$4:$E$503,_calc!$E$367))&amp;". ")&amp;IF(LEN(IF(LEN(INDEX('Checks'!$G$4:$G$503,_calc!$E$367))=0,"",INDEX('Checks'!$G$4:$G$503,_calc!$E$367)))=0,"","Checked by: "&amp;IF(LEN(INDEX('Checks'!$G$4:$G$503,_calc!$E$367))=0,"",INDEX('Checks'!$G$4:$G$503,_calc!$E$367))&amp;". ")&amp;IF(LEN(IF(LEN(INDEX('Checks'!$Q$4:$Q$503,_calc!$E$367))=0,"",INDEX('Checks'!$Q$4:$Q$503,_calc!$E$367)))=0,"",IF(LEN(INDEX('Checks'!$Q$4:$Q$503,_calc!$E$367))=0,"",INDEX('Checks'!$Q$4:$Q$503,_calc!$E$367)))))</f>
        <v/>
      </c>
      <c r="G365" s="43">
        <f>IF(_calc!$E$367="","",IF(LEN(INDEX('Checks'!$P$4:$P$503,_calc!$E$367))=0,"",INDEX('Checks'!$P$4:$P$503,_calc!$E$367)))</f>
        <v/>
      </c>
      <c r="K365" s="43">
        <f>IF(_calc!$E$367="","",IF(LEN(INDEX('Checks'!$O$4:$O$503,_calc!$E$367))=0,"",INDEX('Checks'!$O$4:$O$503,_calc!$E$367)))</f>
        <v/>
      </c>
    </row>
    <row r="366">
      <c r="A366" s="43">
        <f>IF(_calc!$E$368="","","Right to work follow-up – "&amp;IF(LEN(INDEX('Checks'!$A$4:$A$503,_calc!$E$368))=0,"",INDEX('Checks'!$A$4:$A$503,_calc!$E$368)))</f>
        <v/>
      </c>
      <c r="B366" s="43">
        <f>IF(_calc!$E$368="","",IF(ISNUMBER(INDEX('Checks'!$H$4:$H$503,_calc!$E$368)),TEXT(INDEX('Checks'!$H$4:$H$503,_calc!$E$368),"yyyy-mm-dd"),""))</f>
        <v/>
      </c>
      <c r="C366" s="43">
        <f>IF(_calc!$E$368="","","Right to work")</f>
        <v/>
      </c>
      <c r="D366" s="43">
        <f>IF(_calc!$E$368="","",IF(ISNUMBER(INDEX('Checks'!$F$4:$F$503,_calc!$E$368)),TEXT(INDEX('Checks'!$F$4:$F$503,_calc!$E$368),"yyyy-mm-dd"),""))</f>
        <v/>
      </c>
      <c r="E366" s="43">
        <f>IF(_calc!$E$368="","","High")</f>
        <v/>
      </c>
      <c r="F366" s="43">
        <f>IF(_calc!$E$368="","",TRIM(IF(LEN(IF(LEN(INDEX('Checks'!$B$4:$B$503,_calc!$E$368))=0,"",INDEX('Checks'!$B$4:$B$503,_calc!$E$368)))=0,"","Role: "&amp;IF(LEN(INDEX('Checks'!$B$4:$B$503,_calc!$E$368))=0,"",INDEX('Checks'!$B$4:$B$503,_calc!$E$368))&amp;". ")&amp;IF(LEN(IF(LEN(INDEX('Checks'!$D$4:$D$503,_calc!$E$368))=0,"",INDEX('Checks'!$D$4:$D$503,_calc!$E$368)))=0,"","Check type: "&amp;IF(LEN(INDEX('Checks'!$D$4:$D$503,_calc!$E$368))=0,"",INDEX('Checks'!$D$4:$D$503,_calc!$E$368))&amp;". ")&amp;IF(LEN(IF(LEN(INDEX('Checks'!$E$4:$E$503,_calc!$E$368))=0,"",INDEX('Checks'!$E$4:$E$503,_calc!$E$368)))=0,"","Evidence: "&amp;IF(LEN(INDEX('Checks'!$E$4:$E$503,_calc!$E$368))=0,"",INDEX('Checks'!$E$4:$E$503,_calc!$E$368))&amp;". ")&amp;IF(LEN(IF(LEN(INDEX('Checks'!$G$4:$G$503,_calc!$E$368))=0,"",INDEX('Checks'!$G$4:$G$503,_calc!$E$368)))=0,"","Checked by: "&amp;IF(LEN(INDEX('Checks'!$G$4:$G$503,_calc!$E$368))=0,"",INDEX('Checks'!$G$4:$G$503,_calc!$E$368))&amp;". ")&amp;IF(LEN(IF(LEN(INDEX('Checks'!$Q$4:$Q$503,_calc!$E$368))=0,"",INDEX('Checks'!$Q$4:$Q$503,_calc!$E$368)))=0,"",IF(LEN(INDEX('Checks'!$Q$4:$Q$503,_calc!$E$368))=0,"",INDEX('Checks'!$Q$4:$Q$503,_calc!$E$368)))))</f>
        <v/>
      </c>
      <c r="G366" s="43">
        <f>IF(_calc!$E$368="","",IF(LEN(INDEX('Checks'!$P$4:$P$503,_calc!$E$368))=0,"",INDEX('Checks'!$P$4:$P$503,_calc!$E$368)))</f>
        <v/>
      </c>
      <c r="K366" s="43">
        <f>IF(_calc!$E$368="","",IF(LEN(INDEX('Checks'!$O$4:$O$503,_calc!$E$368))=0,"",INDEX('Checks'!$O$4:$O$503,_calc!$E$368)))</f>
        <v/>
      </c>
    </row>
    <row r="367">
      <c r="A367" s="43">
        <f>IF(_calc!$E$369="","","Right to work follow-up – "&amp;IF(LEN(INDEX('Checks'!$A$4:$A$503,_calc!$E$369))=0,"",INDEX('Checks'!$A$4:$A$503,_calc!$E$369)))</f>
        <v/>
      </c>
      <c r="B367" s="43">
        <f>IF(_calc!$E$369="","",IF(ISNUMBER(INDEX('Checks'!$H$4:$H$503,_calc!$E$369)),TEXT(INDEX('Checks'!$H$4:$H$503,_calc!$E$369),"yyyy-mm-dd"),""))</f>
        <v/>
      </c>
      <c r="C367" s="43">
        <f>IF(_calc!$E$369="","","Right to work")</f>
        <v/>
      </c>
      <c r="D367" s="43">
        <f>IF(_calc!$E$369="","",IF(ISNUMBER(INDEX('Checks'!$F$4:$F$503,_calc!$E$369)),TEXT(INDEX('Checks'!$F$4:$F$503,_calc!$E$369),"yyyy-mm-dd"),""))</f>
        <v/>
      </c>
      <c r="E367" s="43">
        <f>IF(_calc!$E$369="","","High")</f>
        <v/>
      </c>
      <c r="F367" s="43">
        <f>IF(_calc!$E$369="","",TRIM(IF(LEN(IF(LEN(INDEX('Checks'!$B$4:$B$503,_calc!$E$369))=0,"",INDEX('Checks'!$B$4:$B$503,_calc!$E$369)))=0,"","Role: "&amp;IF(LEN(INDEX('Checks'!$B$4:$B$503,_calc!$E$369))=0,"",INDEX('Checks'!$B$4:$B$503,_calc!$E$369))&amp;". ")&amp;IF(LEN(IF(LEN(INDEX('Checks'!$D$4:$D$503,_calc!$E$369))=0,"",INDEX('Checks'!$D$4:$D$503,_calc!$E$369)))=0,"","Check type: "&amp;IF(LEN(INDEX('Checks'!$D$4:$D$503,_calc!$E$369))=0,"",INDEX('Checks'!$D$4:$D$503,_calc!$E$369))&amp;". ")&amp;IF(LEN(IF(LEN(INDEX('Checks'!$E$4:$E$503,_calc!$E$369))=0,"",INDEX('Checks'!$E$4:$E$503,_calc!$E$369)))=0,"","Evidence: "&amp;IF(LEN(INDEX('Checks'!$E$4:$E$503,_calc!$E$369))=0,"",INDEX('Checks'!$E$4:$E$503,_calc!$E$369))&amp;". ")&amp;IF(LEN(IF(LEN(INDEX('Checks'!$G$4:$G$503,_calc!$E$369))=0,"",INDEX('Checks'!$G$4:$G$503,_calc!$E$369)))=0,"","Checked by: "&amp;IF(LEN(INDEX('Checks'!$G$4:$G$503,_calc!$E$369))=0,"",INDEX('Checks'!$G$4:$G$503,_calc!$E$369))&amp;". ")&amp;IF(LEN(IF(LEN(INDEX('Checks'!$Q$4:$Q$503,_calc!$E$369))=0,"",INDEX('Checks'!$Q$4:$Q$503,_calc!$E$369)))=0,"",IF(LEN(INDEX('Checks'!$Q$4:$Q$503,_calc!$E$369))=0,"",INDEX('Checks'!$Q$4:$Q$503,_calc!$E$369)))))</f>
        <v/>
      </c>
      <c r="G367" s="43">
        <f>IF(_calc!$E$369="","",IF(LEN(INDEX('Checks'!$P$4:$P$503,_calc!$E$369))=0,"",INDEX('Checks'!$P$4:$P$503,_calc!$E$369)))</f>
        <v/>
      </c>
      <c r="K367" s="43">
        <f>IF(_calc!$E$369="","",IF(LEN(INDEX('Checks'!$O$4:$O$503,_calc!$E$369))=0,"",INDEX('Checks'!$O$4:$O$503,_calc!$E$369)))</f>
        <v/>
      </c>
    </row>
    <row r="368">
      <c r="A368" s="43">
        <f>IF(_calc!$E$370="","","Right to work follow-up – "&amp;IF(LEN(INDEX('Checks'!$A$4:$A$503,_calc!$E$370))=0,"",INDEX('Checks'!$A$4:$A$503,_calc!$E$370)))</f>
        <v/>
      </c>
      <c r="B368" s="43">
        <f>IF(_calc!$E$370="","",IF(ISNUMBER(INDEX('Checks'!$H$4:$H$503,_calc!$E$370)),TEXT(INDEX('Checks'!$H$4:$H$503,_calc!$E$370),"yyyy-mm-dd"),""))</f>
        <v/>
      </c>
      <c r="C368" s="43">
        <f>IF(_calc!$E$370="","","Right to work")</f>
        <v/>
      </c>
      <c r="D368" s="43">
        <f>IF(_calc!$E$370="","",IF(ISNUMBER(INDEX('Checks'!$F$4:$F$503,_calc!$E$370)),TEXT(INDEX('Checks'!$F$4:$F$503,_calc!$E$370),"yyyy-mm-dd"),""))</f>
        <v/>
      </c>
      <c r="E368" s="43">
        <f>IF(_calc!$E$370="","","High")</f>
        <v/>
      </c>
      <c r="F368" s="43">
        <f>IF(_calc!$E$370="","",TRIM(IF(LEN(IF(LEN(INDEX('Checks'!$B$4:$B$503,_calc!$E$370))=0,"",INDEX('Checks'!$B$4:$B$503,_calc!$E$370)))=0,"","Role: "&amp;IF(LEN(INDEX('Checks'!$B$4:$B$503,_calc!$E$370))=0,"",INDEX('Checks'!$B$4:$B$503,_calc!$E$370))&amp;". ")&amp;IF(LEN(IF(LEN(INDEX('Checks'!$D$4:$D$503,_calc!$E$370))=0,"",INDEX('Checks'!$D$4:$D$503,_calc!$E$370)))=0,"","Check type: "&amp;IF(LEN(INDEX('Checks'!$D$4:$D$503,_calc!$E$370))=0,"",INDEX('Checks'!$D$4:$D$503,_calc!$E$370))&amp;". ")&amp;IF(LEN(IF(LEN(INDEX('Checks'!$E$4:$E$503,_calc!$E$370))=0,"",INDEX('Checks'!$E$4:$E$503,_calc!$E$370)))=0,"","Evidence: "&amp;IF(LEN(INDEX('Checks'!$E$4:$E$503,_calc!$E$370))=0,"",INDEX('Checks'!$E$4:$E$503,_calc!$E$370))&amp;". ")&amp;IF(LEN(IF(LEN(INDEX('Checks'!$G$4:$G$503,_calc!$E$370))=0,"",INDEX('Checks'!$G$4:$G$503,_calc!$E$370)))=0,"","Checked by: "&amp;IF(LEN(INDEX('Checks'!$G$4:$G$503,_calc!$E$370))=0,"",INDEX('Checks'!$G$4:$G$503,_calc!$E$370))&amp;". ")&amp;IF(LEN(IF(LEN(INDEX('Checks'!$Q$4:$Q$503,_calc!$E$370))=0,"",INDEX('Checks'!$Q$4:$Q$503,_calc!$E$370)))=0,"",IF(LEN(INDEX('Checks'!$Q$4:$Q$503,_calc!$E$370))=0,"",INDEX('Checks'!$Q$4:$Q$503,_calc!$E$370)))))</f>
        <v/>
      </c>
      <c r="G368" s="43">
        <f>IF(_calc!$E$370="","",IF(LEN(INDEX('Checks'!$P$4:$P$503,_calc!$E$370))=0,"",INDEX('Checks'!$P$4:$P$503,_calc!$E$370)))</f>
        <v/>
      </c>
      <c r="K368" s="43">
        <f>IF(_calc!$E$370="","",IF(LEN(INDEX('Checks'!$O$4:$O$503,_calc!$E$370))=0,"",INDEX('Checks'!$O$4:$O$503,_calc!$E$370)))</f>
        <v/>
      </c>
    </row>
    <row r="369">
      <c r="A369" s="43">
        <f>IF(_calc!$E$371="","","Right to work follow-up – "&amp;IF(LEN(INDEX('Checks'!$A$4:$A$503,_calc!$E$371))=0,"",INDEX('Checks'!$A$4:$A$503,_calc!$E$371)))</f>
        <v/>
      </c>
      <c r="B369" s="43">
        <f>IF(_calc!$E$371="","",IF(ISNUMBER(INDEX('Checks'!$H$4:$H$503,_calc!$E$371)),TEXT(INDEX('Checks'!$H$4:$H$503,_calc!$E$371),"yyyy-mm-dd"),""))</f>
        <v/>
      </c>
      <c r="C369" s="43">
        <f>IF(_calc!$E$371="","","Right to work")</f>
        <v/>
      </c>
      <c r="D369" s="43">
        <f>IF(_calc!$E$371="","",IF(ISNUMBER(INDEX('Checks'!$F$4:$F$503,_calc!$E$371)),TEXT(INDEX('Checks'!$F$4:$F$503,_calc!$E$371),"yyyy-mm-dd"),""))</f>
        <v/>
      </c>
      <c r="E369" s="43">
        <f>IF(_calc!$E$371="","","High")</f>
        <v/>
      </c>
      <c r="F369" s="43">
        <f>IF(_calc!$E$371="","",TRIM(IF(LEN(IF(LEN(INDEX('Checks'!$B$4:$B$503,_calc!$E$371))=0,"",INDEX('Checks'!$B$4:$B$503,_calc!$E$371)))=0,"","Role: "&amp;IF(LEN(INDEX('Checks'!$B$4:$B$503,_calc!$E$371))=0,"",INDEX('Checks'!$B$4:$B$503,_calc!$E$371))&amp;". ")&amp;IF(LEN(IF(LEN(INDEX('Checks'!$D$4:$D$503,_calc!$E$371))=0,"",INDEX('Checks'!$D$4:$D$503,_calc!$E$371)))=0,"","Check type: "&amp;IF(LEN(INDEX('Checks'!$D$4:$D$503,_calc!$E$371))=0,"",INDEX('Checks'!$D$4:$D$503,_calc!$E$371))&amp;". ")&amp;IF(LEN(IF(LEN(INDEX('Checks'!$E$4:$E$503,_calc!$E$371))=0,"",INDEX('Checks'!$E$4:$E$503,_calc!$E$371)))=0,"","Evidence: "&amp;IF(LEN(INDEX('Checks'!$E$4:$E$503,_calc!$E$371))=0,"",INDEX('Checks'!$E$4:$E$503,_calc!$E$371))&amp;". ")&amp;IF(LEN(IF(LEN(INDEX('Checks'!$G$4:$G$503,_calc!$E$371))=0,"",INDEX('Checks'!$G$4:$G$503,_calc!$E$371)))=0,"","Checked by: "&amp;IF(LEN(INDEX('Checks'!$G$4:$G$503,_calc!$E$371))=0,"",INDEX('Checks'!$G$4:$G$503,_calc!$E$371))&amp;". ")&amp;IF(LEN(IF(LEN(INDEX('Checks'!$Q$4:$Q$503,_calc!$E$371))=0,"",INDEX('Checks'!$Q$4:$Q$503,_calc!$E$371)))=0,"",IF(LEN(INDEX('Checks'!$Q$4:$Q$503,_calc!$E$371))=0,"",INDEX('Checks'!$Q$4:$Q$503,_calc!$E$371)))))</f>
        <v/>
      </c>
      <c r="G369" s="43">
        <f>IF(_calc!$E$371="","",IF(LEN(INDEX('Checks'!$P$4:$P$503,_calc!$E$371))=0,"",INDEX('Checks'!$P$4:$P$503,_calc!$E$371)))</f>
        <v/>
      </c>
      <c r="K369" s="43">
        <f>IF(_calc!$E$371="","",IF(LEN(INDEX('Checks'!$O$4:$O$503,_calc!$E$371))=0,"",INDEX('Checks'!$O$4:$O$503,_calc!$E$371)))</f>
        <v/>
      </c>
    </row>
    <row r="370">
      <c r="A370" s="43">
        <f>IF(_calc!$E$372="","","Right to work follow-up – "&amp;IF(LEN(INDEX('Checks'!$A$4:$A$503,_calc!$E$372))=0,"",INDEX('Checks'!$A$4:$A$503,_calc!$E$372)))</f>
        <v/>
      </c>
      <c r="B370" s="43">
        <f>IF(_calc!$E$372="","",IF(ISNUMBER(INDEX('Checks'!$H$4:$H$503,_calc!$E$372)),TEXT(INDEX('Checks'!$H$4:$H$503,_calc!$E$372),"yyyy-mm-dd"),""))</f>
        <v/>
      </c>
      <c r="C370" s="43">
        <f>IF(_calc!$E$372="","","Right to work")</f>
        <v/>
      </c>
      <c r="D370" s="43">
        <f>IF(_calc!$E$372="","",IF(ISNUMBER(INDEX('Checks'!$F$4:$F$503,_calc!$E$372)),TEXT(INDEX('Checks'!$F$4:$F$503,_calc!$E$372),"yyyy-mm-dd"),""))</f>
        <v/>
      </c>
      <c r="E370" s="43">
        <f>IF(_calc!$E$372="","","High")</f>
        <v/>
      </c>
      <c r="F370" s="43">
        <f>IF(_calc!$E$372="","",TRIM(IF(LEN(IF(LEN(INDEX('Checks'!$B$4:$B$503,_calc!$E$372))=0,"",INDEX('Checks'!$B$4:$B$503,_calc!$E$372)))=0,"","Role: "&amp;IF(LEN(INDEX('Checks'!$B$4:$B$503,_calc!$E$372))=0,"",INDEX('Checks'!$B$4:$B$503,_calc!$E$372))&amp;". ")&amp;IF(LEN(IF(LEN(INDEX('Checks'!$D$4:$D$503,_calc!$E$372))=0,"",INDEX('Checks'!$D$4:$D$503,_calc!$E$372)))=0,"","Check type: "&amp;IF(LEN(INDEX('Checks'!$D$4:$D$503,_calc!$E$372))=0,"",INDEX('Checks'!$D$4:$D$503,_calc!$E$372))&amp;". ")&amp;IF(LEN(IF(LEN(INDEX('Checks'!$E$4:$E$503,_calc!$E$372))=0,"",INDEX('Checks'!$E$4:$E$503,_calc!$E$372)))=0,"","Evidence: "&amp;IF(LEN(INDEX('Checks'!$E$4:$E$503,_calc!$E$372))=0,"",INDEX('Checks'!$E$4:$E$503,_calc!$E$372))&amp;". ")&amp;IF(LEN(IF(LEN(INDEX('Checks'!$G$4:$G$503,_calc!$E$372))=0,"",INDEX('Checks'!$G$4:$G$503,_calc!$E$372)))=0,"","Checked by: "&amp;IF(LEN(INDEX('Checks'!$G$4:$G$503,_calc!$E$372))=0,"",INDEX('Checks'!$G$4:$G$503,_calc!$E$372))&amp;". ")&amp;IF(LEN(IF(LEN(INDEX('Checks'!$Q$4:$Q$503,_calc!$E$372))=0,"",INDEX('Checks'!$Q$4:$Q$503,_calc!$E$372)))=0,"",IF(LEN(INDEX('Checks'!$Q$4:$Q$503,_calc!$E$372))=0,"",INDEX('Checks'!$Q$4:$Q$503,_calc!$E$372)))))</f>
        <v/>
      </c>
      <c r="G370" s="43">
        <f>IF(_calc!$E$372="","",IF(LEN(INDEX('Checks'!$P$4:$P$503,_calc!$E$372))=0,"",INDEX('Checks'!$P$4:$P$503,_calc!$E$372)))</f>
        <v/>
      </c>
      <c r="K370" s="43">
        <f>IF(_calc!$E$372="","",IF(LEN(INDEX('Checks'!$O$4:$O$503,_calc!$E$372))=0,"",INDEX('Checks'!$O$4:$O$503,_calc!$E$372)))</f>
        <v/>
      </c>
    </row>
    <row r="371">
      <c r="A371" s="43">
        <f>IF(_calc!$E$373="","","Right to work follow-up – "&amp;IF(LEN(INDEX('Checks'!$A$4:$A$503,_calc!$E$373))=0,"",INDEX('Checks'!$A$4:$A$503,_calc!$E$373)))</f>
        <v/>
      </c>
      <c r="B371" s="43">
        <f>IF(_calc!$E$373="","",IF(ISNUMBER(INDEX('Checks'!$H$4:$H$503,_calc!$E$373)),TEXT(INDEX('Checks'!$H$4:$H$503,_calc!$E$373),"yyyy-mm-dd"),""))</f>
        <v/>
      </c>
      <c r="C371" s="43">
        <f>IF(_calc!$E$373="","","Right to work")</f>
        <v/>
      </c>
      <c r="D371" s="43">
        <f>IF(_calc!$E$373="","",IF(ISNUMBER(INDEX('Checks'!$F$4:$F$503,_calc!$E$373)),TEXT(INDEX('Checks'!$F$4:$F$503,_calc!$E$373),"yyyy-mm-dd"),""))</f>
        <v/>
      </c>
      <c r="E371" s="43">
        <f>IF(_calc!$E$373="","","High")</f>
        <v/>
      </c>
      <c r="F371" s="43">
        <f>IF(_calc!$E$373="","",TRIM(IF(LEN(IF(LEN(INDEX('Checks'!$B$4:$B$503,_calc!$E$373))=0,"",INDEX('Checks'!$B$4:$B$503,_calc!$E$373)))=0,"","Role: "&amp;IF(LEN(INDEX('Checks'!$B$4:$B$503,_calc!$E$373))=0,"",INDEX('Checks'!$B$4:$B$503,_calc!$E$373))&amp;". ")&amp;IF(LEN(IF(LEN(INDEX('Checks'!$D$4:$D$503,_calc!$E$373))=0,"",INDEX('Checks'!$D$4:$D$503,_calc!$E$373)))=0,"","Check type: "&amp;IF(LEN(INDEX('Checks'!$D$4:$D$503,_calc!$E$373))=0,"",INDEX('Checks'!$D$4:$D$503,_calc!$E$373))&amp;". ")&amp;IF(LEN(IF(LEN(INDEX('Checks'!$E$4:$E$503,_calc!$E$373))=0,"",INDEX('Checks'!$E$4:$E$503,_calc!$E$373)))=0,"","Evidence: "&amp;IF(LEN(INDEX('Checks'!$E$4:$E$503,_calc!$E$373))=0,"",INDEX('Checks'!$E$4:$E$503,_calc!$E$373))&amp;". ")&amp;IF(LEN(IF(LEN(INDEX('Checks'!$G$4:$G$503,_calc!$E$373))=0,"",INDEX('Checks'!$G$4:$G$503,_calc!$E$373)))=0,"","Checked by: "&amp;IF(LEN(INDEX('Checks'!$G$4:$G$503,_calc!$E$373))=0,"",INDEX('Checks'!$G$4:$G$503,_calc!$E$373))&amp;". ")&amp;IF(LEN(IF(LEN(INDEX('Checks'!$Q$4:$Q$503,_calc!$E$373))=0,"",INDEX('Checks'!$Q$4:$Q$503,_calc!$E$373)))=0,"",IF(LEN(INDEX('Checks'!$Q$4:$Q$503,_calc!$E$373))=0,"",INDEX('Checks'!$Q$4:$Q$503,_calc!$E$373)))))</f>
        <v/>
      </c>
      <c r="G371" s="43">
        <f>IF(_calc!$E$373="","",IF(LEN(INDEX('Checks'!$P$4:$P$503,_calc!$E$373))=0,"",INDEX('Checks'!$P$4:$P$503,_calc!$E$373)))</f>
        <v/>
      </c>
      <c r="K371" s="43">
        <f>IF(_calc!$E$373="","",IF(LEN(INDEX('Checks'!$O$4:$O$503,_calc!$E$373))=0,"",INDEX('Checks'!$O$4:$O$503,_calc!$E$373)))</f>
        <v/>
      </c>
    </row>
    <row r="372">
      <c r="A372" s="43">
        <f>IF(_calc!$E$374="","","Right to work follow-up – "&amp;IF(LEN(INDEX('Checks'!$A$4:$A$503,_calc!$E$374))=0,"",INDEX('Checks'!$A$4:$A$503,_calc!$E$374)))</f>
        <v/>
      </c>
      <c r="B372" s="43">
        <f>IF(_calc!$E$374="","",IF(ISNUMBER(INDEX('Checks'!$H$4:$H$503,_calc!$E$374)),TEXT(INDEX('Checks'!$H$4:$H$503,_calc!$E$374),"yyyy-mm-dd"),""))</f>
        <v/>
      </c>
      <c r="C372" s="43">
        <f>IF(_calc!$E$374="","","Right to work")</f>
        <v/>
      </c>
      <c r="D372" s="43">
        <f>IF(_calc!$E$374="","",IF(ISNUMBER(INDEX('Checks'!$F$4:$F$503,_calc!$E$374)),TEXT(INDEX('Checks'!$F$4:$F$503,_calc!$E$374),"yyyy-mm-dd"),""))</f>
        <v/>
      </c>
      <c r="E372" s="43">
        <f>IF(_calc!$E$374="","","High")</f>
        <v/>
      </c>
      <c r="F372" s="43">
        <f>IF(_calc!$E$374="","",TRIM(IF(LEN(IF(LEN(INDEX('Checks'!$B$4:$B$503,_calc!$E$374))=0,"",INDEX('Checks'!$B$4:$B$503,_calc!$E$374)))=0,"","Role: "&amp;IF(LEN(INDEX('Checks'!$B$4:$B$503,_calc!$E$374))=0,"",INDEX('Checks'!$B$4:$B$503,_calc!$E$374))&amp;". ")&amp;IF(LEN(IF(LEN(INDEX('Checks'!$D$4:$D$503,_calc!$E$374))=0,"",INDEX('Checks'!$D$4:$D$503,_calc!$E$374)))=0,"","Check type: "&amp;IF(LEN(INDEX('Checks'!$D$4:$D$503,_calc!$E$374))=0,"",INDEX('Checks'!$D$4:$D$503,_calc!$E$374))&amp;". ")&amp;IF(LEN(IF(LEN(INDEX('Checks'!$E$4:$E$503,_calc!$E$374))=0,"",INDEX('Checks'!$E$4:$E$503,_calc!$E$374)))=0,"","Evidence: "&amp;IF(LEN(INDEX('Checks'!$E$4:$E$503,_calc!$E$374))=0,"",INDEX('Checks'!$E$4:$E$503,_calc!$E$374))&amp;". ")&amp;IF(LEN(IF(LEN(INDEX('Checks'!$G$4:$G$503,_calc!$E$374))=0,"",INDEX('Checks'!$G$4:$G$503,_calc!$E$374)))=0,"","Checked by: "&amp;IF(LEN(INDEX('Checks'!$G$4:$G$503,_calc!$E$374))=0,"",INDEX('Checks'!$G$4:$G$503,_calc!$E$374))&amp;". ")&amp;IF(LEN(IF(LEN(INDEX('Checks'!$Q$4:$Q$503,_calc!$E$374))=0,"",INDEX('Checks'!$Q$4:$Q$503,_calc!$E$374)))=0,"",IF(LEN(INDEX('Checks'!$Q$4:$Q$503,_calc!$E$374))=0,"",INDEX('Checks'!$Q$4:$Q$503,_calc!$E$374)))))</f>
        <v/>
      </c>
      <c r="G372" s="43">
        <f>IF(_calc!$E$374="","",IF(LEN(INDEX('Checks'!$P$4:$P$503,_calc!$E$374))=0,"",INDEX('Checks'!$P$4:$P$503,_calc!$E$374)))</f>
        <v/>
      </c>
      <c r="K372" s="43">
        <f>IF(_calc!$E$374="","",IF(LEN(INDEX('Checks'!$O$4:$O$503,_calc!$E$374))=0,"",INDEX('Checks'!$O$4:$O$503,_calc!$E$374)))</f>
        <v/>
      </c>
    </row>
    <row r="373">
      <c r="A373" s="43">
        <f>IF(_calc!$E$375="","","Right to work follow-up – "&amp;IF(LEN(INDEX('Checks'!$A$4:$A$503,_calc!$E$375))=0,"",INDEX('Checks'!$A$4:$A$503,_calc!$E$375)))</f>
        <v/>
      </c>
      <c r="B373" s="43">
        <f>IF(_calc!$E$375="","",IF(ISNUMBER(INDEX('Checks'!$H$4:$H$503,_calc!$E$375)),TEXT(INDEX('Checks'!$H$4:$H$503,_calc!$E$375),"yyyy-mm-dd"),""))</f>
        <v/>
      </c>
      <c r="C373" s="43">
        <f>IF(_calc!$E$375="","","Right to work")</f>
        <v/>
      </c>
      <c r="D373" s="43">
        <f>IF(_calc!$E$375="","",IF(ISNUMBER(INDEX('Checks'!$F$4:$F$503,_calc!$E$375)),TEXT(INDEX('Checks'!$F$4:$F$503,_calc!$E$375),"yyyy-mm-dd"),""))</f>
        <v/>
      </c>
      <c r="E373" s="43">
        <f>IF(_calc!$E$375="","","High")</f>
        <v/>
      </c>
      <c r="F373" s="43">
        <f>IF(_calc!$E$375="","",TRIM(IF(LEN(IF(LEN(INDEX('Checks'!$B$4:$B$503,_calc!$E$375))=0,"",INDEX('Checks'!$B$4:$B$503,_calc!$E$375)))=0,"","Role: "&amp;IF(LEN(INDEX('Checks'!$B$4:$B$503,_calc!$E$375))=0,"",INDEX('Checks'!$B$4:$B$503,_calc!$E$375))&amp;". ")&amp;IF(LEN(IF(LEN(INDEX('Checks'!$D$4:$D$503,_calc!$E$375))=0,"",INDEX('Checks'!$D$4:$D$503,_calc!$E$375)))=0,"","Check type: "&amp;IF(LEN(INDEX('Checks'!$D$4:$D$503,_calc!$E$375))=0,"",INDEX('Checks'!$D$4:$D$503,_calc!$E$375))&amp;". ")&amp;IF(LEN(IF(LEN(INDEX('Checks'!$E$4:$E$503,_calc!$E$375))=0,"",INDEX('Checks'!$E$4:$E$503,_calc!$E$375)))=0,"","Evidence: "&amp;IF(LEN(INDEX('Checks'!$E$4:$E$503,_calc!$E$375))=0,"",INDEX('Checks'!$E$4:$E$503,_calc!$E$375))&amp;". ")&amp;IF(LEN(IF(LEN(INDEX('Checks'!$G$4:$G$503,_calc!$E$375))=0,"",INDEX('Checks'!$G$4:$G$503,_calc!$E$375)))=0,"","Checked by: "&amp;IF(LEN(INDEX('Checks'!$G$4:$G$503,_calc!$E$375))=0,"",INDEX('Checks'!$G$4:$G$503,_calc!$E$375))&amp;". ")&amp;IF(LEN(IF(LEN(INDEX('Checks'!$Q$4:$Q$503,_calc!$E$375))=0,"",INDEX('Checks'!$Q$4:$Q$503,_calc!$E$375)))=0,"",IF(LEN(INDEX('Checks'!$Q$4:$Q$503,_calc!$E$375))=0,"",INDEX('Checks'!$Q$4:$Q$503,_calc!$E$375)))))</f>
        <v/>
      </c>
      <c r="G373" s="43">
        <f>IF(_calc!$E$375="","",IF(LEN(INDEX('Checks'!$P$4:$P$503,_calc!$E$375))=0,"",INDEX('Checks'!$P$4:$P$503,_calc!$E$375)))</f>
        <v/>
      </c>
      <c r="K373" s="43">
        <f>IF(_calc!$E$375="","",IF(LEN(INDEX('Checks'!$O$4:$O$503,_calc!$E$375))=0,"",INDEX('Checks'!$O$4:$O$503,_calc!$E$375)))</f>
        <v/>
      </c>
    </row>
    <row r="374">
      <c r="A374" s="43">
        <f>IF(_calc!$E$376="","","Right to work follow-up – "&amp;IF(LEN(INDEX('Checks'!$A$4:$A$503,_calc!$E$376))=0,"",INDEX('Checks'!$A$4:$A$503,_calc!$E$376)))</f>
        <v/>
      </c>
      <c r="B374" s="43">
        <f>IF(_calc!$E$376="","",IF(ISNUMBER(INDEX('Checks'!$H$4:$H$503,_calc!$E$376)),TEXT(INDEX('Checks'!$H$4:$H$503,_calc!$E$376),"yyyy-mm-dd"),""))</f>
        <v/>
      </c>
      <c r="C374" s="43">
        <f>IF(_calc!$E$376="","","Right to work")</f>
        <v/>
      </c>
      <c r="D374" s="43">
        <f>IF(_calc!$E$376="","",IF(ISNUMBER(INDEX('Checks'!$F$4:$F$503,_calc!$E$376)),TEXT(INDEX('Checks'!$F$4:$F$503,_calc!$E$376),"yyyy-mm-dd"),""))</f>
        <v/>
      </c>
      <c r="E374" s="43">
        <f>IF(_calc!$E$376="","","High")</f>
        <v/>
      </c>
      <c r="F374" s="43">
        <f>IF(_calc!$E$376="","",TRIM(IF(LEN(IF(LEN(INDEX('Checks'!$B$4:$B$503,_calc!$E$376))=0,"",INDEX('Checks'!$B$4:$B$503,_calc!$E$376)))=0,"","Role: "&amp;IF(LEN(INDEX('Checks'!$B$4:$B$503,_calc!$E$376))=0,"",INDEX('Checks'!$B$4:$B$503,_calc!$E$376))&amp;". ")&amp;IF(LEN(IF(LEN(INDEX('Checks'!$D$4:$D$503,_calc!$E$376))=0,"",INDEX('Checks'!$D$4:$D$503,_calc!$E$376)))=0,"","Check type: "&amp;IF(LEN(INDEX('Checks'!$D$4:$D$503,_calc!$E$376))=0,"",INDEX('Checks'!$D$4:$D$503,_calc!$E$376))&amp;". ")&amp;IF(LEN(IF(LEN(INDEX('Checks'!$E$4:$E$503,_calc!$E$376))=0,"",INDEX('Checks'!$E$4:$E$503,_calc!$E$376)))=0,"","Evidence: "&amp;IF(LEN(INDEX('Checks'!$E$4:$E$503,_calc!$E$376))=0,"",INDEX('Checks'!$E$4:$E$503,_calc!$E$376))&amp;". ")&amp;IF(LEN(IF(LEN(INDEX('Checks'!$G$4:$G$503,_calc!$E$376))=0,"",INDEX('Checks'!$G$4:$G$503,_calc!$E$376)))=0,"","Checked by: "&amp;IF(LEN(INDEX('Checks'!$G$4:$G$503,_calc!$E$376))=0,"",INDEX('Checks'!$G$4:$G$503,_calc!$E$376))&amp;". ")&amp;IF(LEN(IF(LEN(INDEX('Checks'!$Q$4:$Q$503,_calc!$E$376))=0,"",INDEX('Checks'!$Q$4:$Q$503,_calc!$E$376)))=0,"",IF(LEN(INDEX('Checks'!$Q$4:$Q$503,_calc!$E$376))=0,"",INDEX('Checks'!$Q$4:$Q$503,_calc!$E$376)))))</f>
        <v/>
      </c>
      <c r="G374" s="43">
        <f>IF(_calc!$E$376="","",IF(LEN(INDEX('Checks'!$P$4:$P$503,_calc!$E$376))=0,"",INDEX('Checks'!$P$4:$P$503,_calc!$E$376)))</f>
        <v/>
      </c>
      <c r="K374" s="43">
        <f>IF(_calc!$E$376="","",IF(LEN(INDEX('Checks'!$O$4:$O$503,_calc!$E$376))=0,"",INDEX('Checks'!$O$4:$O$503,_calc!$E$376)))</f>
        <v/>
      </c>
    </row>
    <row r="375">
      <c r="A375" s="43">
        <f>IF(_calc!$E$377="","","Right to work follow-up – "&amp;IF(LEN(INDEX('Checks'!$A$4:$A$503,_calc!$E$377))=0,"",INDEX('Checks'!$A$4:$A$503,_calc!$E$377)))</f>
        <v/>
      </c>
      <c r="B375" s="43">
        <f>IF(_calc!$E$377="","",IF(ISNUMBER(INDEX('Checks'!$H$4:$H$503,_calc!$E$377)),TEXT(INDEX('Checks'!$H$4:$H$503,_calc!$E$377),"yyyy-mm-dd"),""))</f>
        <v/>
      </c>
      <c r="C375" s="43">
        <f>IF(_calc!$E$377="","","Right to work")</f>
        <v/>
      </c>
      <c r="D375" s="43">
        <f>IF(_calc!$E$377="","",IF(ISNUMBER(INDEX('Checks'!$F$4:$F$503,_calc!$E$377)),TEXT(INDEX('Checks'!$F$4:$F$503,_calc!$E$377),"yyyy-mm-dd"),""))</f>
        <v/>
      </c>
      <c r="E375" s="43">
        <f>IF(_calc!$E$377="","","High")</f>
        <v/>
      </c>
      <c r="F375" s="43">
        <f>IF(_calc!$E$377="","",TRIM(IF(LEN(IF(LEN(INDEX('Checks'!$B$4:$B$503,_calc!$E$377))=0,"",INDEX('Checks'!$B$4:$B$503,_calc!$E$377)))=0,"","Role: "&amp;IF(LEN(INDEX('Checks'!$B$4:$B$503,_calc!$E$377))=0,"",INDEX('Checks'!$B$4:$B$503,_calc!$E$377))&amp;". ")&amp;IF(LEN(IF(LEN(INDEX('Checks'!$D$4:$D$503,_calc!$E$377))=0,"",INDEX('Checks'!$D$4:$D$503,_calc!$E$377)))=0,"","Check type: "&amp;IF(LEN(INDEX('Checks'!$D$4:$D$503,_calc!$E$377))=0,"",INDEX('Checks'!$D$4:$D$503,_calc!$E$377))&amp;". ")&amp;IF(LEN(IF(LEN(INDEX('Checks'!$E$4:$E$503,_calc!$E$377))=0,"",INDEX('Checks'!$E$4:$E$503,_calc!$E$377)))=0,"","Evidence: "&amp;IF(LEN(INDEX('Checks'!$E$4:$E$503,_calc!$E$377))=0,"",INDEX('Checks'!$E$4:$E$503,_calc!$E$377))&amp;". ")&amp;IF(LEN(IF(LEN(INDEX('Checks'!$G$4:$G$503,_calc!$E$377))=0,"",INDEX('Checks'!$G$4:$G$503,_calc!$E$377)))=0,"","Checked by: "&amp;IF(LEN(INDEX('Checks'!$G$4:$G$503,_calc!$E$377))=0,"",INDEX('Checks'!$G$4:$G$503,_calc!$E$377))&amp;". ")&amp;IF(LEN(IF(LEN(INDEX('Checks'!$Q$4:$Q$503,_calc!$E$377))=0,"",INDEX('Checks'!$Q$4:$Q$503,_calc!$E$377)))=0,"",IF(LEN(INDEX('Checks'!$Q$4:$Q$503,_calc!$E$377))=0,"",INDEX('Checks'!$Q$4:$Q$503,_calc!$E$377)))))</f>
        <v/>
      </c>
      <c r="G375" s="43">
        <f>IF(_calc!$E$377="","",IF(LEN(INDEX('Checks'!$P$4:$P$503,_calc!$E$377))=0,"",INDEX('Checks'!$P$4:$P$503,_calc!$E$377)))</f>
        <v/>
      </c>
      <c r="K375" s="43">
        <f>IF(_calc!$E$377="","",IF(LEN(INDEX('Checks'!$O$4:$O$503,_calc!$E$377))=0,"",INDEX('Checks'!$O$4:$O$503,_calc!$E$377)))</f>
        <v/>
      </c>
    </row>
    <row r="376">
      <c r="A376" s="43">
        <f>IF(_calc!$E$378="","","Right to work follow-up – "&amp;IF(LEN(INDEX('Checks'!$A$4:$A$503,_calc!$E$378))=0,"",INDEX('Checks'!$A$4:$A$503,_calc!$E$378)))</f>
        <v/>
      </c>
      <c r="B376" s="43">
        <f>IF(_calc!$E$378="","",IF(ISNUMBER(INDEX('Checks'!$H$4:$H$503,_calc!$E$378)),TEXT(INDEX('Checks'!$H$4:$H$503,_calc!$E$378),"yyyy-mm-dd"),""))</f>
        <v/>
      </c>
      <c r="C376" s="43">
        <f>IF(_calc!$E$378="","","Right to work")</f>
        <v/>
      </c>
      <c r="D376" s="43">
        <f>IF(_calc!$E$378="","",IF(ISNUMBER(INDEX('Checks'!$F$4:$F$503,_calc!$E$378)),TEXT(INDEX('Checks'!$F$4:$F$503,_calc!$E$378),"yyyy-mm-dd"),""))</f>
        <v/>
      </c>
      <c r="E376" s="43">
        <f>IF(_calc!$E$378="","","High")</f>
        <v/>
      </c>
      <c r="F376" s="43">
        <f>IF(_calc!$E$378="","",TRIM(IF(LEN(IF(LEN(INDEX('Checks'!$B$4:$B$503,_calc!$E$378))=0,"",INDEX('Checks'!$B$4:$B$503,_calc!$E$378)))=0,"","Role: "&amp;IF(LEN(INDEX('Checks'!$B$4:$B$503,_calc!$E$378))=0,"",INDEX('Checks'!$B$4:$B$503,_calc!$E$378))&amp;". ")&amp;IF(LEN(IF(LEN(INDEX('Checks'!$D$4:$D$503,_calc!$E$378))=0,"",INDEX('Checks'!$D$4:$D$503,_calc!$E$378)))=0,"","Check type: "&amp;IF(LEN(INDEX('Checks'!$D$4:$D$503,_calc!$E$378))=0,"",INDEX('Checks'!$D$4:$D$503,_calc!$E$378))&amp;". ")&amp;IF(LEN(IF(LEN(INDEX('Checks'!$E$4:$E$503,_calc!$E$378))=0,"",INDEX('Checks'!$E$4:$E$503,_calc!$E$378)))=0,"","Evidence: "&amp;IF(LEN(INDEX('Checks'!$E$4:$E$503,_calc!$E$378))=0,"",INDEX('Checks'!$E$4:$E$503,_calc!$E$378))&amp;". ")&amp;IF(LEN(IF(LEN(INDEX('Checks'!$G$4:$G$503,_calc!$E$378))=0,"",INDEX('Checks'!$G$4:$G$503,_calc!$E$378)))=0,"","Checked by: "&amp;IF(LEN(INDEX('Checks'!$G$4:$G$503,_calc!$E$378))=0,"",INDEX('Checks'!$G$4:$G$503,_calc!$E$378))&amp;". ")&amp;IF(LEN(IF(LEN(INDEX('Checks'!$Q$4:$Q$503,_calc!$E$378))=0,"",INDEX('Checks'!$Q$4:$Q$503,_calc!$E$378)))=0,"",IF(LEN(INDEX('Checks'!$Q$4:$Q$503,_calc!$E$378))=0,"",INDEX('Checks'!$Q$4:$Q$503,_calc!$E$378)))))</f>
        <v/>
      </c>
      <c r="G376" s="43">
        <f>IF(_calc!$E$378="","",IF(LEN(INDEX('Checks'!$P$4:$P$503,_calc!$E$378))=0,"",INDEX('Checks'!$P$4:$P$503,_calc!$E$378)))</f>
        <v/>
      </c>
      <c r="K376" s="43">
        <f>IF(_calc!$E$378="","",IF(LEN(INDEX('Checks'!$O$4:$O$503,_calc!$E$378))=0,"",INDEX('Checks'!$O$4:$O$503,_calc!$E$378)))</f>
        <v/>
      </c>
    </row>
    <row r="377">
      <c r="A377" s="43">
        <f>IF(_calc!$E$379="","","Right to work follow-up – "&amp;IF(LEN(INDEX('Checks'!$A$4:$A$503,_calc!$E$379))=0,"",INDEX('Checks'!$A$4:$A$503,_calc!$E$379)))</f>
        <v/>
      </c>
      <c r="B377" s="43">
        <f>IF(_calc!$E$379="","",IF(ISNUMBER(INDEX('Checks'!$H$4:$H$503,_calc!$E$379)),TEXT(INDEX('Checks'!$H$4:$H$503,_calc!$E$379),"yyyy-mm-dd"),""))</f>
        <v/>
      </c>
      <c r="C377" s="43">
        <f>IF(_calc!$E$379="","","Right to work")</f>
        <v/>
      </c>
      <c r="D377" s="43">
        <f>IF(_calc!$E$379="","",IF(ISNUMBER(INDEX('Checks'!$F$4:$F$503,_calc!$E$379)),TEXT(INDEX('Checks'!$F$4:$F$503,_calc!$E$379),"yyyy-mm-dd"),""))</f>
        <v/>
      </c>
      <c r="E377" s="43">
        <f>IF(_calc!$E$379="","","High")</f>
        <v/>
      </c>
      <c r="F377" s="43">
        <f>IF(_calc!$E$379="","",TRIM(IF(LEN(IF(LEN(INDEX('Checks'!$B$4:$B$503,_calc!$E$379))=0,"",INDEX('Checks'!$B$4:$B$503,_calc!$E$379)))=0,"","Role: "&amp;IF(LEN(INDEX('Checks'!$B$4:$B$503,_calc!$E$379))=0,"",INDEX('Checks'!$B$4:$B$503,_calc!$E$379))&amp;". ")&amp;IF(LEN(IF(LEN(INDEX('Checks'!$D$4:$D$503,_calc!$E$379))=0,"",INDEX('Checks'!$D$4:$D$503,_calc!$E$379)))=0,"","Check type: "&amp;IF(LEN(INDEX('Checks'!$D$4:$D$503,_calc!$E$379))=0,"",INDEX('Checks'!$D$4:$D$503,_calc!$E$379))&amp;". ")&amp;IF(LEN(IF(LEN(INDEX('Checks'!$E$4:$E$503,_calc!$E$379))=0,"",INDEX('Checks'!$E$4:$E$503,_calc!$E$379)))=0,"","Evidence: "&amp;IF(LEN(INDEX('Checks'!$E$4:$E$503,_calc!$E$379))=0,"",INDEX('Checks'!$E$4:$E$503,_calc!$E$379))&amp;". ")&amp;IF(LEN(IF(LEN(INDEX('Checks'!$G$4:$G$503,_calc!$E$379))=0,"",INDEX('Checks'!$G$4:$G$503,_calc!$E$379)))=0,"","Checked by: "&amp;IF(LEN(INDEX('Checks'!$G$4:$G$503,_calc!$E$379))=0,"",INDEX('Checks'!$G$4:$G$503,_calc!$E$379))&amp;". ")&amp;IF(LEN(IF(LEN(INDEX('Checks'!$Q$4:$Q$503,_calc!$E$379))=0,"",INDEX('Checks'!$Q$4:$Q$503,_calc!$E$379)))=0,"",IF(LEN(INDEX('Checks'!$Q$4:$Q$503,_calc!$E$379))=0,"",INDEX('Checks'!$Q$4:$Q$503,_calc!$E$379)))))</f>
        <v/>
      </c>
      <c r="G377" s="43">
        <f>IF(_calc!$E$379="","",IF(LEN(INDEX('Checks'!$P$4:$P$503,_calc!$E$379))=0,"",INDEX('Checks'!$P$4:$P$503,_calc!$E$379)))</f>
        <v/>
      </c>
      <c r="K377" s="43">
        <f>IF(_calc!$E$379="","",IF(LEN(INDEX('Checks'!$O$4:$O$503,_calc!$E$379))=0,"",INDEX('Checks'!$O$4:$O$503,_calc!$E$379)))</f>
        <v/>
      </c>
    </row>
    <row r="378">
      <c r="A378" s="43">
        <f>IF(_calc!$E$380="","","Right to work follow-up – "&amp;IF(LEN(INDEX('Checks'!$A$4:$A$503,_calc!$E$380))=0,"",INDEX('Checks'!$A$4:$A$503,_calc!$E$380)))</f>
        <v/>
      </c>
      <c r="B378" s="43">
        <f>IF(_calc!$E$380="","",IF(ISNUMBER(INDEX('Checks'!$H$4:$H$503,_calc!$E$380)),TEXT(INDEX('Checks'!$H$4:$H$503,_calc!$E$380),"yyyy-mm-dd"),""))</f>
        <v/>
      </c>
      <c r="C378" s="43">
        <f>IF(_calc!$E$380="","","Right to work")</f>
        <v/>
      </c>
      <c r="D378" s="43">
        <f>IF(_calc!$E$380="","",IF(ISNUMBER(INDEX('Checks'!$F$4:$F$503,_calc!$E$380)),TEXT(INDEX('Checks'!$F$4:$F$503,_calc!$E$380),"yyyy-mm-dd"),""))</f>
        <v/>
      </c>
      <c r="E378" s="43">
        <f>IF(_calc!$E$380="","","High")</f>
        <v/>
      </c>
      <c r="F378" s="43">
        <f>IF(_calc!$E$380="","",TRIM(IF(LEN(IF(LEN(INDEX('Checks'!$B$4:$B$503,_calc!$E$380))=0,"",INDEX('Checks'!$B$4:$B$503,_calc!$E$380)))=0,"","Role: "&amp;IF(LEN(INDEX('Checks'!$B$4:$B$503,_calc!$E$380))=0,"",INDEX('Checks'!$B$4:$B$503,_calc!$E$380))&amp;". ")&amp;IF(LEN(IF(LEN(INDEX('Checks'!$D$4:$D$503,_calc!$E$380))=0,"",INDEX('Checks'!$D$4:$D$503,_calc!$E$380)))=0,"","Check type: "&amp;IF(LEN(INDEX('Checks'!$D$4:$D$503,_calc!$E$380))=0,"",INDEX('Checks'!$D$4:$D$503,_calc!$E$380))&amp;". ")&amp;IF(LEN(IF(LEN(INDEX('Checks'!$E$4:$E$503,_calc!$E$380))=0,"",INDEX('Checks'!$E$4:$E$503,_calc!$E$380)))=0,"","Evidence: "&amp;IF(LEN(INDEX('Checks'!$E$4:$E$503,_calc!$E$380))=0,"",INDEX('Checks'!$E$4:$E$503,_calc!$E$380))&amp;". ")&amp;IF(LEN(IF(LEN(INDEX('Checks'!$G$4:$G$503,_calc!$E$380))=0,"",INDEX('Checks'!$G$4:$G$503,_calc!$E$380)))=0,"","Checked by: "&amp;IF(LEN(INDEX('Checks'!$G$4:$G$503,_calc!$E$380))=0,"",INDEX('Checks'!$G$4:$G$503,_calc!$E$380))&amp;". ")&amp;IF(LEN(IF(LEN(INDEX('Checks'!$Q$4:$Q$503,_calc!$E$380))=0,"",INDEX('Checks'!$Q$4:$Q$503,_calc!$E$380)))=0,"",IF(LEN(INDEX('Checks'!$Q$4:$Q$503,_calc!$E$380))=0,"",INDEX('Checks'!$Q$4:$Q$503,_calc!$E$380)))))</f>
        <v/>
      </c>
      <c r="G378" s="43">
        <f>IF(_calc!$E$380="","",IF(LEN(INDEX('Checks'!$P$4:$P$503,_calc!$E$380))=0,"",INDEX('Checks'!$P$4:$P$503,_calc!$E$380)))</f>
        <v/>
      </c>
      <c r="K378" s="43">
        <f>IF(_calc!$E$380="","",IF(LEN(INDEX('Checks'!$O$4:$O$503,_calc!$E$380))=0,"",INDEX('Checks'!$O$4:$O$503,_calc!$E$380)))</f>
        <v/>
      </c>
    </row>
    <row r="379">
      <c r="A379" s="43">
        <f>IF(_calc!$E$381="","","Right to work follow-up – "&amp;IF(LEN(INDEX('Checks'!$A$4:$A$503,_calc!$E$381))=0,"",INDEX('Checks'!$A$4:$A$503,_calc!$E$381)))</f>
        <v/>
      </c>
      <c r="B379" s="43">
        <f>IF(_calc!$E$381="","",IF(ISNUMBER(INDEX('Checks'!$H$4:$H$503,_calc!$E$381)),TEXT(INDEX('Checks'!$H$4:$H$503,_calc!$E$381),"yyyy-mm-dd"),""))</f>
        <v/>
      </c>
      <c r="C379" s="43">
        <f>IF(_calc!$E$381="","","Right to work")</f>
        <v/>
      </c>
      <c r="D379" s="43">
        <f>IF(_calc!$E$381="","",IF(ISNUMBER(INDEX('Checks'!$F$4:$F$503,_calc!$E$381)),TEXT(INDEX('Checks'!$F$4:$F$503,_calc!$E$381),"yyyy-mm-dd"),""))</f>
        <v/>
      </c>
      <c r="E379" s="43">
        <f>IF(_calc!$E$381="","","High")</f>
        <v/>
      </c>
      <c r="F379" s="43">
        <f>IF(_calc!$E$381="","",TRIM(IF(LEN(IF(LEN(INDEX('Checks'!$B$4:$B$503,_calc!$E$381))=0,"",INDEX('Checks'!$B$4:$B$503,_calc!$E$381)))=0,"","Role: "&amp;IF(LEN(INDEX('Checks'!$B$4:$B$503,_calc!$E$381))=0,"",INDEX('Checks'!$B$4:$B$503,_calc!$E$381))&amp;". ")&amp;IF(LEN(IF(LEN(INDEX('Checks'!$D$4:$D$503,_calc!$E$381))=0,"",INDEX('Checks'!$D$4:$D$503,_calc!$E$381)))=0,"","Check type: "&amp;IF(LEN(INDEX('Checks'!$D$4:$D$503,_calc!$E$381))=0,"",INDEX('Checks'!$D$4:$D$503,_calc!$E$381))&amp;". ")&amp;IF(LEN(IF(LEN(INDEX('Checks'!$E$4:$E$503,_calc!$E$381))=0,"",INDEX('Checks'!$E$4:$E$503,_calc!$E$381)))=0,"","Evidence: "&amp;IF(LEN(INDEX('Checks'!$E$4:$E$503,_calc!$E$381))=0,"",INDEX('Checks'!$E$4:$E$503,_calc!$E$381))&amp;". ")&amp;IF(LEN(IF(LEN(INDEX('Checks'!$G$4:$G$503,_calc!$E$381))=0,"",INDEX('Checks'!$G$4:$G$503,_calc!$E$381)))=0,"","Checked by: "&amp;IF(LEN(INDEX('Checks'!$G$4:$G$503,_calc!$E$381))=0,"",INDEX('Checks'!$G$4:$G$503,_calc!$E$381))&amp;". ")&amp;IF(LEN(IF(LEN(INDEX('Checks'!$Q$4:$Q$503,_calc!$E$381))=0,"",INDEX('Checks'!$Q$4:$Q$503,_calc!$E$381)))=0,"",IF(LEN(INDEX('Checks'!$Q$4:$Q$503,_calc!$E$381))=0,"",INDEX('Checks'!$Q$4:$Q$503,_calc!$E$381)))))</f>
        <v/>
      </c>
      <c r="G379" s="43">
        <f>IF(_calc!$E$381="","",IF(LEN(INDEX('Checks'!$P$4:$P$503,_calc!$E$381))=0,"",INDEX('Checks'!$P$4:$P$503,_calc!$E$381)))</f>
        <v/>
      </c>
      <c r="K379" s="43">
        <f>IF(_calc!$E$381="","",IF(LEN(INDEX('Checks'!$O$4:$O$503,_calc!$E$381))=0,"",INDEX('Checks'!$O$4:$O$503,_calc!$E$381)))</f>
        <v/>
      </c>
    </row>
    <row r="380">
      <c r="A380" s="43">
        <f>IF(_calc!$E$382="","","Right to work follow-up – "&amp;IF(LEN(INDEX('Checks'!$A$4:$A$503,_calc!$E$382))=0,"",INDEX('Checks'!$A$4:$A$503,_calc!$E$382)))</f>
        <v/>
      </c>
      <c r="B380" s="43">
        <f>IF(_calc!$E$382="","",IF(ISNUMBER(INDEX('Checks'!$H$4:$H$503,_calc!$E$382)),TEXT(INDEX('Checks'!$H$4:$H$503,_calc!$E$382),"yyyy-mm-dd"),""))</f>
        <v/>
      </c>
      <c r="C380" s="43">
        <f>IF(_calc!$E$382="","","Right to work")</f>
        <v/>
      </c>
      <c r="D380" s="43">
        <f>IF(_calc!$E$382="","",IF(ISNUMBER(INDEX('Checks'!$F$4:$F$503,_calc!$E$382)),TEXT(INDEX('Checks'!$F$4:$F$503,_calc!$E$382),"yyyy-mm-dd"),""))</f>
        <v/>
      </c>
      <c r="E380" s="43">
        <f>IF(_calc!$E$382="","","High")</f>
        <v/>
      </c>
      <c r="F380" s="43">
        <f>IF(_calc!$E$382="","",TRIM(IF(LEN(IF(LEN(INDEX('Checks'!$B$4:$B$503,_calc!$E$382))=0,"",INDEX('Checks'!$B$4:$B$503,_calc!$E$382)))=0,"","Role: "&amp;IF(LEN(INDEX('Checks'!$B$4:$B$503,_calc!$E$382))=0,"",INDEX('Checks'!$B$4:$B$503,_calc!$E$382))&amp;". ")&amp;IF(LEN(IF(LEN(INDEX('Checks'!$D$4:$D$503,_calc!$E$382))=0,"",INDEX('Checks'!$D$4:$D$503,_calc!$E$382)))=0,"","Check type: "&amp;IF(LEN(INDEX('Checks'!$D$4:$D$503,_calc!$E$382))=0,"",INDEX('Checks'!$D$4:$D$503,_calc!$E$382))&amp;". ")&amp;IF(LEN(IF(LEN(INDEX('Checks'!$E$4:$E$503,_calc!$E$382))=0,"",INDEX('Checks'!$E$4:$E$503,_calc!$E$382)))=0,"","Evidence: "&amp;IF(LEN(INDEX('Checks'!$E$4:$E$503,_calc!$E$382))=0,"",INDEX('Checks'!$E$4:$E$503,_calc!$E$382))&amp;". ")&amp;IF(LEN(IF(LEN(INDEX('Checks'!$G$4:$G$503,_calc!$E$382))=0,"",INDEX('Checks'!$G$4:$G$503,_calc!$E$382)))=0,"","Checked by: "&amp;IF(LEN(INDEX('Checks'!$G$4:$G$503,_calc!$E$382))=0,"",INDEX('Checks'!$G$4:$G$503,_calc!$E$382))&amp;". ")&amp;IF(LEN(IF(LEN(INDEX('Checks'!$Q$4:$Q$503,_calc!$E$382))=0,"",INDEX('Checks'!$Q$4:$Q$503,_calc!$E$382)))=0,"",IF(LEN(INDEX('Checks'!$Q$4:$Q$503,_calc!$E$382))=0,"",INDEX('Checks'!$Q$4:$Q$503,_calc!$E$382)))))</f>
        <v/>
      </c>
      <c r="G380" s="43">
        <f>IF(_calc!$E$382="","",IF(LEN(INDEX('Checks'!$P$4:$P$503,_calc!$E$382))=0,"",INDEX('Checks'!$P$4:$P$503,_calc!$E$382)))</f>
        <v/>
      </c>
      <c r="K380" s="43">
        <f>IF(_calc!$E$382="","",IF(LEN(INDEX('Checks'!$O$4:$O$503,_calc!$E$382))=0,"",INDEX('Checks'!$O$4:$O$503,_calc!$E$382)))</f>
        <v/>
      </c>
    </row>
    <row r="381">
      <c r="A381" s="43">
        <f>IF(_calc!$E$383="","","Right to work follow-up – "&amp;IF(LEN(INDEX('Checks'!$A$4:$A$503,_calc!$E$383))=0,"",INDEX('Checks'!$A$4:$A$503,_calc!$E$383)))</f>
        <v/>
      </c>
      <c r="B381" s="43">
        <f>IF(_calc!$E$383="","",IF(ISNUMBER(INDEX('Checks'!$H$4:$H$503,_calc!$E$383)),TEXT(INDEX('Checks'!$H$4:$H$503,_calc!$E$383),"yyyy-mm-dd"),""))</f>
        <v/>
      </c>
      <c r="C381" s="43">
        <f>IF(_calc!$E$383="","","Right to work")</f>
        <v/>
      </c>
      <c r="D381" s="43">
        <f>IF(_calc!$E$383="","",IF(ISNUMBER(INDEX('Checks'!$F$4:$F$503,_calc!$E$383)),TEXT(INDEX('Checks'!$F$4:$F$503,_calc!$E$383),"yyyy-mm-dd"),""))</f>
        <v/>
      </c>
      <c r="E381" s="43">
        <f>IF(_calc!$E$383="","","High")</f>
        <v/>
      </c>
      <c r="F381" s="43">
        <f>IF(_calc!$E$383="","",TRIM(IF(LEN(IF(LEN(INDEX('Checks'!$B$4:$B$503,_calc!$E$383))=0,"",INDEX('Checks'!$B$4:$B$503,_calc!$E$383)))=0,"","Role: "&amp;IF(LEN(INDEX('Checks'!$B$4:$B$503,_calc!$E$383))=0,"",INDEX('Checks'!$B$4:$B$503,_calc!$E$383))&amp;". ")&amp;IF(LEN(IF(LEN(INDEX('Checks'!$D$4:$D$503,_calc!$E$383))=0,"",INDEX('Checks'!$D$4:$D$503,_calc!$E$383)))=0,"","Check type: "&amp;IF(LEN(INDEX('Checks'!$D$4:$D$503,_calc!$E$383))=0,"",INDEX('Checks'!$D$4:$D$503,_calc!$E$383))&amp;". ")&amp;IF(LEN(IF(LEN(INDEX('Checks'!$E$4:$E$503,_calc!$E$383))=0,"",INDEX('Checks'!$E$4:$E$503,_calc!$E$383)))=0,"","Evidence: "&amp;IF(LEN(INDEX('Checks'!$E$4:$E$503,_calc!$E$383))=0,"",INDEX('Checks'!$E$4:$E$503,_calc!$E$383))&amp;". ")&amp;IF(LEN(IF(LEN(INDEX('Checks'!$G$4:$G$503,_calc!$E$383))=0,"",INDEX('Checks'!$G$4:$G$503,_calc!$E$383)))=0,"","Checked by: "&amp;IF(LEN(INDEX('Checks'!$G$4:$G$503,_calc!$E$383))=0,"",INDEX('Checks'!$G$4:$G$503,_calc!$E$383))&amp;". ")&amp;IF(LEN(IF(LEN(INDEX('Checks'!$Q$4:$Q$503,_calc!$E$383))=0,"",INDEX('Checks'!$Q$4:$Q$503,_calc!$E$383)))=0,"",IF(LEN(INDEX('Checks'!$Q$4:$Q$503,_calc!$E$383))=0,"",INDEX('Checks'!$Q$4:$Q$503,_calc!$E$383)))))</f>
        <v/>
      </c>
      <c r="G381" s="43">
        <f>IF(_calc!$E$383="","",IF(LEN(INDEX('Checks'!$P$4:$P$503,_calc!$E$383))=0,"",INDEX('Checks'!$P$4:$P$503,_calc!$E$383)))</f>
        <v/>
      </c>
      <c r="K381" s="43">
        <f>IF(_calc!$E$383="","",IF(LEN(INDEX('Checks'!$O$4:$O$503,_calc!$E$383))=0,"",INDEX('Checks'!$O$4:$O$503,_calc!$E$383)))</f>
        <v/>
      </c>
    </row>
    <row r="382">
      <c r="A382" s="43">
        <f>IF(_calc!$E$384="","","Right to work follow-up – "&amp;IF(LEN(INDEX('Checks'!$A$4:$A$503,_calc!$E$384))=0,"",INDEX('Checks'!$A$4:$A$503,_calc!$E$384)))</f>
        <v/>
      </c>
      <c r="B382" s="43">
        <f>IF(_calc!$E$384="","",IF(ISNUMBER(INDEX('Checks'!$H$4:$H$503,_calc!$E$384)),TEXT(INDEX('Checks'!$H$4:$H$503,_calc!$E$384),"yyyy-mm-dd"),""))</f>
        <v/>
      </c>
      <c r="C382" s="43">
        <f>IF(_calc!$E$384="","","Right to work")</f>
        <v/>
      </c>
      <c r="D382" s="43">
        <f>IF(_calc!$E$384="","",IF(ISNUMBER(INDEX('Checks'!$F$4:$F$503,_calc!$E$384)),TEXT(INDEX('Checks'!$F$4:$F$503,_calc!$E$384),"yyyy-mm-dd"),""))</f>
        <v/>
      </c>
      <c r="E382" s="43">
        <f>IF(_calc!$E$384="","","High")</f>
        <v/>
      </c>
      <c r="F382" s="43">
        <f>IF(_calc!$E$384="","",TRIM(IF(LEN(IF(LEN(INDEX('Checks'!$B$4:$B$503,_calc!$E$384))=0,"",INDEX('Checks'!$B$4:$B$503,_calc!$E$384)))=0,"","Role: "&amp;IF(LEN(INDEX('Checks'!$B$4:$B$503,_calc!$E$384))=0,"",INDEX('Checks'!$B$4:$B$503,_calc!$E$384))&amp;". ")&amp;IF(LEN(IF(LEN(INDEX('Checks'!$D$4:$D$503,_calc!$E$384))=0,"",INDEX('Checks'!$D$4:$D$503,_calc!$E$384)))=0,"","Check type: "&amp;IF(LEN(INDEX('Checks'!$D$4:$D$503,_calc!$E$384))=0,"",INDEX('Checks'!$D$4:$D$503,_calc!$E$384))&amp;". ")&amp;IF(LEN(IF(LEN(INDEX('Checks'!$E$4:$E$503,_calc!$E$384))=0,"",INDEX('Checks'!$E$4:$E$503,_calc!$E$384)))=0,"","Evidence: "&amp;IF(LEN(INDEX('Checks'!$E$4:$E$503,_calc!$E$384))=0,"",INDEX('Checks'!$E$4:$E$503,_calc!$E$384))&amp;". ")&amp;IF(LEN(IF(LEN(INDEX('Checks'!$G$4:$G$503,_calc!$E$384))=0,"",INDEX('Checks'!$G$4:$G$503,_calc!$E$384)))=0,"","Checked by: "&amp;IF(LEN(INDEX('Checks'!$G$4:$G$503,_calc!$E$384))=0,"",INDEX('Checks'!$G$4:$G$503,_calc!$E$384))&amp;". ")&amp;IF(LEN(IF(LEN(INDEX('Checks'!$Q$4:$Q$503,_calc!$E$384))=0,"",INDEX('Checks'!$Q$4:$Q$503,_calc!$E$384)))=0,"",IF(LEN(INDEX('Checks'!$Q$4:$Q$503,_calc!$E$384))=0,"",INDEX('Checks'!$Q$4:$Q$503,_calc!$E$384)))))</f>
        <v/>
      </c>
      <c r="G382" s="43">
        <f>IF(_calc!$E$384="","",IF(LEN(INDEX('Checks'!$P$4:$P$503,_calc!$E$384))=0,"",INDEX('Checks'!$P$4:$P$503,_calc!$E$384)))</f>
        <v/>
      </c>
      <c r="K382" s="43">
        <f>IF(_calc!$E$384="","",IF(LEN(INDEX('Checks'!$O$4:$O$503,_calc!$E$384))=0,"",INDEX('Checks'!$O$4:$O$503,_calc!$E$384)))</f>
        <v/>
      </c>
    </row>
    <row r="383">
      <c r="A383" s="43">
        <f>IF(_calc!$E$385="","","Right to work follow-up – "&amp;IF(LEN(INDEX('Checks'!$A$4:$A$503,_calc!$E$385))=0,"",INDEX('Checks'!$A$4:$A$503,_calc!$E$385)))</f>
        <v/>
      </c>
      <c r="B383" s="43">
        <f>IF(_calc!$E$385="","",IF(ISNUMBER(INDEX('Checks'!$H$4:$H$503,_calc!$E$385)),TEXT(INDEX('Checks'!$H$4:$H$503,_calc!$E$385),"yyyy-mm-dd"),""))</f>
        <v/>
      </c>
      <c r="C383" s="43">
        <f>IF(_calc!$E$385="","","Right to work")</f>
        <v/>
      </c>
      <c r="D383" s="43">
        <f>IF(_calc!$E$385="","",IF(ISNUMBER(INDEX('Checks'!$F$4:$F$503,_calc!$E$385)),TEXT(INDEX('Checks'!$F$4:$F$503,_calc!$E$385),"yyyy-mm-dd"),""))</f>
        <v/>
      </c>
      <c r="E383" s="43">
        <f>IF(_calc!$E$385="","","High")</f>
        <v/>
      </c>
      <c r="F383" s="43">
        <f>IF(_calc!$E$385="","",TRIM(IF(LEN(IF(LEN(INDEX('Checks'!$B$4:$B$503,_calc!$E$385))=0,"",INDEX('Checks'!$B$4:$B$503,_calc!$E$385)))=0,"","Role: "&amp;IF(LEN(INDEX('Checks'!$B$4:$B$503,_calc!$E$385))=0,"",INDEX('Checks'!$B$4:$B$503,_calc!$E$385))&amp;". ")&amp;IF(LEN(IF(LEN(INDEX('Checks'!$D$4:$D$503,_calc!$E$385))=0,"",INDEX('Checks'!$D$4:$D$503,_calc!$E$385)))=0,"","Check type: "&amp;IF(LEN(INDEX('Checks'!$D$4:$D$503,_calc!$E$385))=0,"",INDEX('Checks'!$D$4:$D$503,_calc!$E$385))&amp;". ")&amp;IF(LEN(IF(LEN(INDEX('Checks'!$E$4:$E$503,_calc!$E$385))=0,"",INDEX('Checks'!$E$4:$E$503,_calc!$E$385)))=0,"","Evidence: "&amp;IF(LEN(INDEX('Checks'!$E$4:$E$503,_calc!$E$385))=0,"",INDEX('Checks'!$E$4:$E$503,_calc!$E$385))&amp;". ")&amp;IF(LEN(IF(LEN(INDEX('Checks'!$G$4:$G$503,_calc!$E$385))=0,"",INDEX('Checks'!$G$4:$G$503,_calc!$E$385)))=0,"","Checked by: "&amp;IF(LEN(INDEX('Checks'!$G$4:$G$503,_calc!$E$385))=0,"",INDEX('Checks'!$G$4:$G$503,_calc!$E$385))&amp;". ")&amp;IF(LEN(IF(LEN(INDEX('Checks'!$Q$4:$Q$503,_calc!$E$385))=0,"",INDEX('Checks'!$Q$4:$Q$503,_calc!$E$385)))=0,"",IF(LEN(INDEX('Checks'!$Q$4:$Q$503,_calc!$E$385))=0,"",INDEX('Checks'!$Q$4:$Q$503,_calc!$E$385)))))</f>
        <v/>
      </c>
      <c r="G383" s="43">
        <f>IF(_calc!$E$385="","",IF(LEN(INDEX('Checks'!$P$4:$P$503,_calc!$E$385))=0,"",INDEX('Checks'!$P$4:$P$503,_calc!$E$385)))</f>
        <v/>
      </c>
      <c r="K383" s="43">
        <f>IF(_calc!$E$385="","",IF(LEN(INDEX('Checks'!$O$4:$O$503,_calc!$E$385))=0,"",INDEX('Checks'!$O$4:$O$503,_calc!$E$385)))</f>
        <v/>
      </c>
    </row>
    <row r="384">
      <c r="A384" s="43">
        <f>IF(_calc!$E$386="","","Right to work follow-up – "&amp;IF(LEN(INDEX('Checks'!$A$4:$A$503,_calc!$E$386))=0,"",INDEX('Checks'!$A$4:$A$503,_calc!$E$386)))</f>
        <v/>
      </c>
      <c r="B384" s="43">
        <f>IF(_calc!$E$386="","",IF(ISNUMBER(INDEX('Checks'!$H$4:$H$503,_calc!$E$386)),TEXT(INDEX('Checks'!$H$4:$H$503,_calc!$E$386),"yyyy-mm-dd"),""))</f>
        <v/>
      </c>
      <c r="C384" s="43">
        <f>IF(_calc!$E$386="","","Right to work")</f>
        <v/>
      </c>
      <c r="D384" s="43">
        <f>IF(_calc!$E$386="","",IF(ISNUMBER(INDEX('Checks'!$F$4:$F$503,_calc!$E$386)),TEXT(INDEX('Checks'!$F$4:$F$503,_calc!$E$386),"yyyy-mm-dd"),""))</f>
        <v/>
      </c>
      <c r="E384" s="43">
        <f>IF(_calc!$E$386="","","High")</f>
        <v/>
      </c>
      <c r="F384" s="43">
        <f>IF(_calc!$E$386="","",TRIM(IF(LEN(IF(LEN(INDEX('Checks'!$B$4:$B$503,_calc!$E$386))=0,"",INDEX('Checks'!$B$4:$B$503,_calc!$E$386)))=0,"","Role: "&amp;IF(LEN(INDEX('Checks'!$B$4:$B$503,_calc!$E$386))=0,"",INDEX('Checks'!$B$4:$B$503,_calc!$E$386))&amp;". ")&amp;IF(LEN(IF(LEN(INDEX('Checks'!$D$4:$D$503,_calc!$E$386))=0,"",INDEX('Checks'!$D$4:$D$503,_calc!$E$386)))=0,"","Check type: "&amp;IF(LEN(INDEX('Checks'!$D$4:$D$503,_calc!$E$386))=0,"",INDEX('Checks'!$D$4:$D$503,_calc!$E$386))&amp;". ")&amp;IF(LEN(IF(LEN(INDEX('Checks'!$E$4:$E$503,_calc!$E$386))=0,"",INDEX('Checks'!$E$4:$E$503,_calc!$E$386)))=0,"","Evidence: "&amp;IF(LEN(INDEX('Checks'!$E$4:$E$503,_calc!$E$386))=0,"",INDEX('Checks'!$E$4:$E$503,_calc!$E$386))&amp;". ")&amp;IF(LEN(IF(LEN(INDEX('Checks'!$G$4:$G$503,_calc!$E$386))=0,"",INDEX('Checks'!$G$4:$G$503,_calc!$E$386)))=0,"","Checked by: "&amp;IF(LEN(INDEX('Checks'!$G$4:$G$503,_calc!$E$386))=0,"",INDEX('Checks'!$G$4:$G$503,_calc!$E$386))&amp;". ")&amp;IF(LEN(IF(LEN(INDEX('Checks'!$Q$4:$Q$503,_calc!$E$386))=0,"",INDEX('Checks'!$Q$4:$Q$503,_calc!$E$386)))=0,"",IF(LEN(INDEX('Checks'!$Q$4:$Q$503,_calc!$E$386))=0,"",INDEX('Checks'!$Q$4:$Q$503,_calc!$E$386)))))</f>
        <v/>
      </c>
      <c r="G384" s="43">
        <f>IF(_calc!$E$386="","",IF(LEN(INDEX('Checks'!$P$4:$P$503,_calc!$E$386))=0,"",INDEX('Checks'!$P$4:$P$503,_calc!$E$386)))</f>
        <v/>
      </c>
      <c r="K384" s="43">
        <f>IF(_calc!$E$386="","",IF(LEN(INDEX('Checks'!$O$4:$O$503,_calc!$E$386))=0,"",INDEX('Checks'!$O$4:$O$503,_calc!$E$386)))</f>
        <v/>
      </c>
    </row>
    <row r="385">
      <c r="A385" s="43">
        <f>IF(_calc!$E$387="","","Right to work follow-up – "&amp;IF(LEN(INDEX('Checks'!$A$4:$A$503,_calc!$E$387))=0,"",INDEX('Checks'!$A$4:$A$503,_calc!$E$387)))</f>
        <v/>
      </c>
      <c r="B385" s="43">
        <f>IF(_calc!$E$387="","",IF(ISNUMBER(INDEX('Checks'!$H$4:$H$503,_calc!$E$387)),TEXT(INDEX('Checks'!$H$4:$H$503,_calc!$E$387),"yyyy-mm-dd"),""))</f>
        <v/>
      </c>
      <c r="C385" s="43">
        <f>IF(_calc!$E$387="","","Right to work")</f>
        <v/>
      </c>
      <c r="D385" s="43">
        <f>IF(_calc!$E$387="","",IF(ISNUMBER(INDEX('Checks'!$F$4:$F$503,_calc!$E$387)),TEXT(INDEX('Checks'!$F$4:$F$503,_calc!$E$387),"yyyy-mm-dd"),""))</f>
        <v/>
      </c>
      <c r="E385" s="43">
        <f>IF(_calc!$E$387="","","High")</f>
        <v/>
      </c>
      <c r="F385" s="43">
        <f>IF(_calc!$E$387="","",TRIM(IF(LEN(IF(LEN(INDEX('Checks'!$B$4:$B$503,_calc!$E$387))=0,"",INDEX('Checks'!$B$4:$B$503,_calc!$E$387)))=0,"","Role: "&amp;IF(LEN(INDEX('Checks'!$B$4:$B$503,_calc!$E$387))=0,"",INDEX('Checks'!$B$4:$B$503,_calc!$E$387))&amp;". ")&amp;IF(LEN(IF(LEN(INDEX('Checks'!$D$4:$D$503,_calc!$E$387))=0,"",INDEX('Checks'!$D$4:$D$503,_calc!$E$387)))=0,"","Check type: "&amp;IF(LEN(INDEX('Checks'!$D$4:$D$503,_calc!$E$387))=0,"",INDEX('Checks'!$D$4:$D$503,_calc!$E$387))&amp;". ")&amp;IF(LEN(IF(LEN(INDEX('Checks'!$E$4:$E$503,_calc!$E$387))=0,"",INDEX('Checks'!$E$4:$E$503,_calc!$E$387)))=0,"","Evidence: "&amp;IF(LEN(INDEX('Checks'!$E$4:$E$503,_calc!$E$387))=0,"",INDEX('Checks'!$E$4:$E$503,_calc!$E$387))&amp;". ")&amp;IF(LEN(IF(LEN(INDEX('Checks'!$G$4:$G$503,_calc!$E$387))=0,"",INDEX('Checks'!$G$4:$G$503,_calc!$E$387)))=0,"","Checked by: "&amp;IF(LEN(INDEX('Checks'!$G$4:$G$503,_calc!$E$387))=0,"",INDEX('Checks'!$G$4:$G$503,_calc!$E$387))&amp;". ")&amp;IF(LEN(IF(LEN(INDEX('Checks'!$Q$4:$Q$503,_calc!$E$387))=0,"",INDEX('Checks'!$Q$4:$Q$503,_calc!$E$387)))=0,"",IF(LEN(INDEX('Checks'!$Q$4:$Q$503,_calc!$E$387))=0,"",INDEX('Checks'!$Q$4:$Q$503,_calc!$E$387)))))</f>
        <v/>
      </c>
      <c r="G385" s="43">
        <f>IF(_calc!$E$387="","",IF(LEN(INDEX('Checks'!$P$4:$P$503,_calc!$E$387))=0,"",INDEX('Checks'!$P$4:$P$503,_calc!$E$387)))</f>
        <v/>
      </c>
      <c r="K385" s="43">
        <f>IF(_calc!$E$387="","",IF(LEN(INDEX('Checks'!$O$4:$O$503,_calc!$E$387))=0,"",INDEX('Checks'!$O$4:$O$503,_calc!$E$387)))</f>
        <v/>
      </c>
    </row>
    <row r="386">
      <c r="A386" s="43">
        <f>IF(_calc!$E$388="","","Right to work follow-up – "&amp;IF(LEN(INDEX('Checks'!$A$4:$A$503,_calc!$E$388))=0,"",INDEX('Checks'!$A$4:$A$503,_calc!$E$388)))</f>
        <v/>
      </c>
      <c r="B386" s="43">
        <f>IF(_calc!$E$388="","",IF(ISNUMBER(INDEX('Checks'!$H$4:$H$503,_calc!$E$388)),TEXT(INDEX('Checks'!$H$4:$H$503,_calc!$E$388),"yyyy-mm-dd"),""))</f>
        <v/>
      </c>
      <c r="C386" s="43">
        <f>IF(_calc!$E$388="","","Right to work")</f>
        <v/>
      </c>
      <c r="D386" s="43">
        <f>IF(_calc!$E$388="","",IF(ISNUMBER(INDEX('Checks'!$F$4:$F$503,_calc!$E$388)),TEXT(INDEX('Checks'!$F$4:$F$503,_calc!$E$388),"yyyy-mm-dd"),""))</f>
        <v/>
      </c>
      <c r="E386" s="43">
        <f>IF(_calc!$E$388="","","High")</f>
        <v/>
      </c>
      <c r="F386" s="43">
        <f>IF(_calc!$E$388="","",TRIM(IF(LEN(IF(LEN(INDEX('Checks'!$B$4:$B$503,_calc!$E$388))=0,"",INDEX('Checks'!$B$4:$B$503,_calc!$E$388)))=0,"","Role: "&amp;IF(LEN(INDEX('Checks'!$B$4:$B$503,_calc!$E$388))=0,"",INDEX('Checks'!$B$4:$B$503,_calc!$E$388))&amp;". ")&amp;IF(LEN(IF(LEN(INDEX('Checks'!$D$4:$D$503,_calc!$E$388))=0,"",INDEX('Checks'!$D$4:$D$503,_calc!$E$388)))=0,"","Check type: "&amp;IF(LEN(INDEX('Checks'!$D$4:$D$503,_calc!$E$388))=0,"",INDEX('Checks'!$D$4:$D$503,_calc!$E$388))&amp;". ")&amp;IF(LEN(IF(LEN(INDEX('Checks'!$E$4:$E$503,_calc!$E$388))=0,"",INDEX('Checks'!$E$4:$E$503,_calc!$E$388)))=0,"","Evidence: "&amp;IF(LEN(INDEX('Checks'!$E$4:$E$503,_calc!$E$388))=0,"",INDEX('Checks'!$E$4:$E$503,_calc!$E$388))&amp;". ")&amp;IF(LEN(IF(LEN(INDEX('Checks'!$G$4:$G$503,_calc!$E$388))=0,"",INDEX('Checks'!$G$4:$G$503,_calc!$E$388)))=0,"","Checked by: "&amp;IF(LEN(INDEX('Checks'!$G$4:$G$503,_calc!$E$388))=0,"",INDEX('Checks'!$G$4:$G$503,_calc!$E$388))&amp;". ")&amp;IF(LEN(IF(LEN(INDEX('Checks'!$Q$4:$Q$503,_calc!$E$388))=0,"",INDEX('Checks'!$Q$4:$Q$503,_calc!$E$388)))=0,"",IF(LEN(INDEX('Checks'!$Q$4:$Q$503,_calc!$E$388))=0,"",INDEX('Checks'!$Q$4:$Q$503,_calc!$E$388)))))</f>
        <v/>
      </c>
      <c r="G386" s="43">
        <f>IF(_calc!$E$388="","",IF(LEN(INDEX('Checks'!$P$4:$P$503,_calc!$E$388))=0,"",INDEX('Checks'!$P$4:$P$503,_calc!$E$388)))</f>
        <v/>
      </c>
      <c r="K386" s="43">
        <f>IF(_calc!$E$388="","",IF(LEN(INDEX('Checks'!$O$4:$O$503,_calc!$E$388))=0,"",INDEX('Checks'!$O$4:$O$503,_calc!$E$388)))</f>
        <v/>
      </c>
    </row>
    <row r="387">
      <c r="A387" s="43">
        <f>IF(_calc!$E$389="","","Right to work follow-up – "&amp;IF(LEN(INDEX('Checks'!$A$4:$A$503,_calc!$E$389))=0,"",INDEX('Checks'!$A$4:$A$503,_calc!$E$389)))</f>
        <v/>
      </c>
      <c r="B387" s="43">
        <f>IF(_calc!$E$389="","",IF(ISNUMBER(INDEX('Checks'!$H$4:$H$503,_calc!$E$389)),TEXT(INDEX('Checks'!$H$4:$H$503,_calc!$E$389),"yyyy-mm-dd"),""))</f>
        <v/>
      </c>
      <c r="C387" s="43">
        <f>IF(_calc!$E$389="","","Right to work")</f>
        <v/>
      </c>
      <c r="D387" s="43">
        <f>IF(_calc!$E$389="","",IF(ISNUMBER(INDEX('Checks'!$F$4:$F$503,_calc!$E$389)),TEXT(INDEX('Checks'!$F$4:$F$503,_calc!$E$389),"yyyy-mm-dd"),""))</f>
        <v/>
      </c>
      <c r="E387" s="43">
        <f>IF(_calc!$E$389="","","High")</f>
        <v/>
      </c>
      <c r="F387" s="43">
        <f>IF(_calc!$E$389="","",TRIM(IF(LEN(IF(LEN(INDEX('Checks'!$B$4:$B$503,_calc!$E$389))=0,"",INDEX('Checks'!$B$4:$B$503,_calc!$E$389)))=0,"","Role: "&amp;IF(LEN(INDEX('Checks'!$B$4:$B$503,_calc!$E$389))=0,"",INDEX('Checks'!$B$4:$B$503,_calc!$E$389))&amp;". ")&amp;IF(LEN(IF(LEN(INDEX('Checks'!$D$4:$D$503,_calc!$E$389))=0,"",INDEX('Checks'!$D$4:$D$503,_calc!$E$389)))=0,"","Check type: "&amp;IF(LEN(INDEX('Checks'!$D$4:$D$503,_calc!$E$389))=0,"",INDEX('Checks'!$D$4:$D$503,_calc!$E$389))&amp;". ")&amp;IF(LEN(IF(LEN(INDEX('Checks'!$E$4:$E$503,_calc!$E$389))=0,"",INDEX('Checks'!$E$4:$E$503,_calc!$E$389)))=0,"","Evidence: "&amp;IF(LEN(INDEX('Checks'!$E$4:$E$503,_calc!$E$389))=0,"",INDEX('Checks'!$E$4:$E$503,_calc!$E$389))&amp;". ")&amp;IF(LEN(IF(LEN(INDEX('Checks'!$G$4:$G$503,_calc!$E$389))=0,"",INDEX('Checks'!$G$4:$G$503,_calc!$E$389)))=0,"","Checked by: "&amp;IF(LEN(INDEX('Checks'!$G$4:$G$503,_calc!$E$389))=0,"",INDEX('Checks'!$G$4:$G$503,_calc!$E$389))&amp;". ")&amp;IF(LEN(IF(LEN(INDEX('Checks'!$Q$4:$Q$503,_calc!$E$389))=0,"",INDEX('Checks'!$Q$4:$Q$503,_calc!$E$389)))=0,"",IF(LEN(INDEX('Checks'!$Q$4:$Q$503,_calc!$E$389))=0,"",INDEX('Checks'!$Q$4:$Q$503,_calc!$E$389)))))</f>
        <v/>
      </c>
      <c r="G387" s="43">
        <f>IF(_calc!$E$389="","",IF(LEN(INDEX('Checks'!$P$4:$P$503,_calc!$E$389))=0,"",INDEX('Checks'!$P$4:$P$503,_calc!$E$389)))</f>
        <v/>
      </c>
      <c r="K387" s="43">
        <f>IF(_calc!$E$389="","",IF(LEN(INDEX('Checks'!$O$4:$O$503,_calc!$E$389))=0,"",INDEX('Checks'!$O$4:$O$503,_calc!$E$389)))</f>
        <v/>
      </c>
    </row>
    <row r="388">
      <c r="A388" s="43">
        <f>IF(_calc!$E$390="","","Right to work follow-up – "&amp;IF(LEN(INDEX('Checks'!$A$4:$A$503,_calc!$E$390))=0,"",INDEX('Checks'!$A$4:$A$503,_calc!$E$390)))</f>
        <v/>
      </c>
      <c r="B388" s="43">
        <f>IF(_calc!$E$390="","",IF(ISNUMBER(INDEX('Checks'!$H$4:$H$503,_calc!$E$390)),TEXT(INDEX('Checks'!$H$4:$H$503,_calc!$E$390),"yyyy-mm-dd"),""))</f>
        <v/>
      </c>
      <c r="C388" s="43">
        <f>IF(_calc!$E$390="","","Right to work")</f>
        <v/>
      </c>
      <c r="D388" s="43">
        <f>IF(_calc!$E$390="","",IF(ISNUMBER(INDEX('Checks'!$F$4:$F$503,_calc!$E$390)),TEXT(INDEX('Checks'!$F$4:$F$503,_calc!$E$390),"yyyy-mm-dd"),""))</f>
        <v/>
      </c>
      <c r="E388" s="43">
        <f>IF(_calc!$E$390="","","High")</f>
        <v/>
      </c>
      <c r="F388" s="43">
        <f>IF(_calc!$E$390="","",TRIM(IF(LEN(IF(LEN(INDEX('Checks'!$B$4:$B$503,_calc!$E$390))=0,"",INDEX('Checks'!$B$4:$B$503,_calc!$E$390)))=0,"","Role: "&amp;IF(LEN(INDEX('Checks'!$B$4:$B$503,_calc!$E$390))=0,"",INDEX('Checks'!$B$4:$B$503,_calc!$E$390))&amp;". ")&amp;IF(LEN(IF(LEN(INDEX('Checks'!$D$4:$D$503,_calc!$E$390))=0,"",INDEX('Checks'!$D$4:$D$503,_calc!$E$390)))=0,"","Check type: "&amp;IF(LEN(INDEX('Checks'!$D$4:$D$503,_calc!$E$390))=0,"",INDEX('Checks'!$D$4:$D$503,_calc!$E$390))&amp;". ")&amp;IF(LEN(IF(LEN(INDEX('Checks'!$E$4:$E$503,_calc!$E$390))=0,"",INDEX('Checks'!$E$4:$E$503,_calc!$E$390)))=0,"","Evidence: "&amp;IF(LEN(INDEX('Checks'!$E$4:$E$503,_calc!$E$390))=0,"",INDEX('Checks'!$E$4:$E$503,_calc!$E$390))&amp;". ")&amp;IF(LEN(IF(LEN(INDEX('Checks'!$G$4:$G$503,_calc!$E$390))=0,"",INDEX('Checks'!$G$4:$G$503,_calc!$E$390)))=0,"","Checked by: "&amp;IF(LEN(INDEX('Checks'!$G$4:$G$503,_calc!$E$390))=0,"",INDEX('Checks'!$G$4:$G$503,_calc!$E$390))&amp;". ")&amp;IF(LEN(IF(LEN(INDEX('Checks'!$Q$4:$Q$503,_calc!$E$390))=0,"",INDEX('Checks'!$Q$4:$Q$503,_calc!$E$390)))=0,"",IF(LEN(INDEX('Checks'!$Q$4:$Q$503,_calc!$E$390))=0,"",INDEX('Checks'!$Q$4:$Q$503,_calc!$E$390)))))</f>
        <v/>
      </c>
      <c r="G388" s="43">
        <f>IF(_calc!$E$390="","",IF(LEN(INDEX('Checks'!$P$4:$P$503,_calc!$E$390))=0,"",INDEX('Checks'!$P$4:$P$503,_calc!$E$390)))</f>
        <v/>
      </c>
      <c r="K388" s="43">
        <f>IF(_calc!$E$390="","",IF(LEN(INDEX('Checks'!$O$4:$O$503,_calc!$E$390))=0,"",INDEX('Checks'!$O$4:$O$503,_calc!$E$390)))</f>
        <v/>
      </c>
    </row>
    <row r="389">
      <c r="A389" s="43">
        <f>IF(_calc!$E$391="","","Right to work follow-up – "&amp;IF(LEN(INDEX('Checks'!$A$4:$A$503,_calc!$E$391))=0,"",INDEX('Checks'!$A$4:$A$503,_calc!$E$391)))</f>
        <v/>
      </c>
      <c r="B389" s="43">
        <f>IF(_calc!$E$391="","",IF(ISNUMBER(INDEX('Checks'!$H$4:$H$503,_calc!$E$391)),TEXT(INDEX('Checks'!$H$4:$H$503,_calc!$E$391),"yyyy-mm-dd"),""))</f>
        <v/>
      </c>
      <c r="C389" s="43">
        <f>IF(_calc!$E$391="","","Right to work")</f>
        <v/>
      </c>
      <c r="D389" s="43">
        <f>IF(_calc!$E$391="","",IF(ISNUMBER(INDEX('Checks'!$F$4:$F$503,_calc!$E$391)),TEXT(INDEX('Checks'!$F$4:$F$503,_calc!$E$391),"yyyy-mm-dd"),""))</f>
        <v/>
      </c>
      <c r="E389" s="43">
        <f>IF(_calc!$E$391="","","High")</f>
        <v/>
      </c>
      <c r="F389" s="43">
        <f>IF(_calc!$E$391="","",TRIM(IF(LEN(IF(LEN(INDEX('Checks'!$B$4:$B$503,_calc!$E$391))=0,"",INDEX('Checks'!$B$4:$B$503,_calc!$E$391)))=0,"","Role: "&amp;IF(LEN(INDEX('Checks'!$B$4:$B$503,_calc!$E$391))=0,"",INDEX('Checks'!$B$4:$B$503,_calc!$E$391))&amp;". ")&amp;IF(LEN(IF(LEN(INDEX('Checks'!$D$4:$D$503,_calc!$E$391))=0,"",INDEX('Checks'!$D$4:$D$503,_calc!$E$391)))=0,"","Check type: "&amp;IF(LEN(INDEX('Checks'!$D$4:$D$503,_calc!$E$391))=0,"",INDEX('Checks'!$D$4:$D$503,_calc!$E$391))&amp;". ")&amp;IF(LEN(IF(LEN(INDEX('Checks'!$E$4:$E$503,_calc!$E$391))=0,"",INDEX('Checks'!$E$4:$E$503,_calc!$E$391)))=0,"","Evidence: "&amp;IF(LEN(INDEX('Checks'!$E$4:$E$503,_calc!$E$391))=0,"",INDEX('Checks'!$E$4:$E$503,_calc!$E$391))&amp;". ")&amp;IF(LEN(IF(LEN(INDEX('Checks'!$G$4:$G$503,_calc!$E$391))=0,"",INDEX('Checks'!$G$4:$G$503,_calc!$E$391)))=0,"","Checked by: "&amp;IF(LEN(INDEX('Checks'!$G$4:$G$503,_calc!$E$391))=0,"",INDEX('Checks'!$G$4:$G$503,_calc!$E$391))&amp;". ")&amp;IF(LEN(IF(LEN(INDEX('Checks'!$Q$4:$Q$503,_calc!$E$391))=0,"",INDEX('Checks'!$Q$4:$Q$503,_calc!$E$391)))=0,"",IF(LEN(INDEX('Checks'!$Q$4:$Q$503,_calc!$E$391))=0,"",INDEX('Checks'!$Q$4:$Q$503,_calc!$E$391)))))</f>
        <v/>
      </c>
      <c r="G389" s="43">
        <f>IF(_calc!$E$391="","",IF(LEN(INDEX('Checks'!$P$4:$P$503,_calc!$E$391))=0,"",INDEX('Checks'!$P$4:$P$503,_calc!$E$391)))</f>
        <v/>
      </c>
      <c r="K389" s="43">
        <f>IF(_calc!$E$391="","",IF(LEN(INDEX('Checks'!$O$4:$O$503,_calc!$E$391))=0,"",INDEX('Checks'!$O$4:$O$503,_calc!$E$391)))</f>
        <v/>
      </c>
    </row>
    <row r="390">
      <c r="A390" s="43">
        <f>IF(_calc!$E$392="","","Right to work follow-up – "&amp;IF(LEN(INDEX('Checks'!$A$4:$A$503,_calc!$E$392))=0,"",INDEX('Checks'!$A$4:$A$503,_calc!$E$392)))</f>
        <v/>
      </c>
      <c r="B390" s="43">
        <f>IF(_calc!$E$392="","",IF(ISNUMBER(INDEX('Checks'!$H$4:$H$503,_calc!$E$392)),TEXT(INDEX('Checks'!$H$4:$H$503,_calc!$E$392),"yyyy-mm-dd"),""))</f>
        <v/>
      </c>
      <c r="C390" s="43">
        <f>IF(_calc!$E$392="","","Right to work")</f>
        <v/>
      </c>
      <c r="D390" s="43">
        <f>IF(_calc!$E$392="","",IF(ISNUMBER(INDEX('Checks'!$F$4:$F$503,_calc!$E$392)),TEXT(INDEX('Checks'!$F$4:$F$503,_calc!$E$392),"yyyy-mm-dd"),""))</f>
        <v/>
      </c>
      <c r="E390" s="43">
        <f>IF(_calc!$E$392="","","High")</f>
        <v/>
      </c>
      <c r="F390" s="43">
        <f>IF(_calc!$E$392="","",TRIM(IF(LEN(IF(LEN(INDEX('Checks'!$B$4:$B$503,_calc!$E$392))=0,"",INDEX('Checks'!$B$4:$B$503,_calc!$E$392)))=0,"","Role: "&amp;IF(LEN(INDEX('Checks'!$B$4:$B$503,_calc!$E$392))=0,"",INDEX('Checks'!$B$4:$B$503,_calc!$E$392))&amp;". ")&amp;IF(LEN(IF(LEN(INDEX('Checks'!$D$4:$D$503,_calc!$E$392))=0,"",INDEX('Checks'!$D$4:$D$503,_calc!$E$392)))=0,"","Check type: "&amp;IF(LEN(INDEX('Checks'!$D$4:$D$503,_calc!$E$392))=0,"",INDEX('Checks'!$D$4:$D$503,_calc!$E$392))&amp;". ")&amp;IF(LEN(IF(LEN(INDEX('Checks'!$E$4:$E$503,_calc!$E$392))=0,"",INDEX('Checks'!$E$4:$E$503,_calc!$E$392)))=0,"","Evidence: "&amp;IF(LEN(INDEX('Checks'!$E$4:$E$503,_calc!$E$392))=0,"",INDEX('Checks'!$E$4:$E$503,_calc!$E$392))&amp;". ")&amp;IF(LEN(IF(LEN(INDEX('Checks'!$G$4:$G$503,_calc!$E$392))=0,"",INDEX('Checks'!$G$4:$G$503,_calc!$E$392)))=0,"","Checked by: "&amp;IF(LEN(INDEX('Checks'!$G$4:$G$503,_calc!$E$392))=0,"",INDEX('Checks'!$G$4:$G$503,_calc!$E$392))&amp;". ")&amp;IF(LEN(IF(LEN(INDEX('Checks'!$Q$4:$Q$503,_calc!$E$392))=0,"",INDEX('Checks'!$Q$4:$Q$503,_calc!$E$392)))=0,"",IF(LEN(INDEX('Checks'!$Q$4:$Q$503,_calc!$E$392))=0,"",INDEX('Checks'!$Q$4:$Q$503,_calc!$E$392)))))</f>
        <v/>
      </c>
      <c r="G390" s="43">
        <f>IF(_calc!$E$392="","",IF(LEN(INDEX('Checks'!$P$4:$P$503,_calc!$E$392))=0,"",INDEX('Checks'!$P$4:$P$503,_calc!$E$392)))</f>
        <v/>
      </c>
      <c r="K390" s="43">
        <f>IF(_calc!$E$392="","",IF(LEN(INDEX('Checks'!$O$4:$O$503,_calc!$E$392))=0,"",INDEX('Checks'!$O$4:$O$503,_calc!$E$392)))</f>
        <v/>
      </c>
    </row>
    <row r="391">
      <c r="A391" s="43">
        <f>IF(_calc!$E$393="","","Right to work follow-up – "&amp;IF(LEN(INDEX('Checks'!$A$4:$A$503,_calc!$E$393))=0,"",INDEX('Checks'!$A$4:$A$503,_calc!$E$393)))</f>
        <v/>
      </c>
      <c r="B391" s="43">
        <f>IF(_calc!$E$393="","",IF(ISNUMBER(INDEX('Checks'!$H$4:$H$503,_calc!$E$393)),TEXT(INDEX('Checks'!$H$4:$H$503,_calc!$E$393),"yyyy-mm-dd"),""))</f>
        <v/>
      </c>
      <c r="C391" s="43">
        <f>IF(_calc!$E$393="","","Right to work")</f>
        <v/>
      </c>
      <c r="D391" s="43">
        <f>IF(_calc!$E$393="","",IF(ISNUMBER(INDEX('Checks'!$F$4:$F$503,_calc!$E$393)),TEXT(INDEX('Checks'!$F$4:$F$503,_calc!$E$393),"yyyy-mm-dd"),""))</f>
        <v/>
      </c>
      <c r="E391" s="43">
        <f>IF(_calc!$E$393="","","High")</f>
        <v/>
      </c>
      <c r="F391" s="43">
        <f>IF(_calc!$E$393="","",TRIM(IF(LEN(IF(LEN(INDEX('Checks'!$B$4:$B$503,_calc!$E$393))=0,"",INDEX('Checks'!$B$4:$B$503,_calc!$E$393)))=0,"","Role: "&amp;IF(LEN(INDEX('Checks'!$B$4:$B$503,_calc!$E$393))=0,"",INDEX('Checks'!$B$4:$B$503,_calc!$E$393))&amp;". ")&amp;IF(LEN(IF(LEN(INDEX('Checks'!$D$4:$D$503,_calc!$E$393))=0,"",INDEX('Checks'!$D$4:$D$503,_calc!$E$393)))=0,"","Check type: "&amp;IF(LEN(INDEX('Checks'!$D$4:$D$503,_calc!$E$393))=0,"",INDEX('Checks'!$D$4:$D$503,_calc!$E$393))&amp;". ")&amp;IF(LEN(IF(LEN(INDEX('Checks'!$E$4:$E$503,_calc!$E$393))=0,"",INDEX('Checks'!$E$4:$E$503,_calc!$E$393)))=0,"","Evidence: "&amp;IF(LEN(INDEX('Checks'!$E$4:$E$503,_calc!$E$393))=0,"",INDEX('Checks'!$E$4:$E$503,_calc!$E$393))&amp;". ")&amp;IF(LEN(IF(LEN(INDEX('Checks'!$G$4:$G$503,_calc!$E$393))=0,"",INDEX('Checks'!$G$4:$G$503,_calc!$E$393)))=0,"","Checked by: "&amp;IF(LEN(INDEX('Checks'!$G$4:$G$503,_calc!$E$393))=0,"",INDEX('Checks'!$G$4:$G$503,_calc!$E$393))&amp;". ")&amp;IF(LEN(IF(LEN(INDEX('Checks'!$Q$4:$Q$503,_calc!$E$393))=0,"",INDEX('Checks'!$Q$4:$Q$503,_calc!$E$393)))=0,"",IF(LEN(INDEX('Checks'!$Q$4:$Q$503,_calc!$E$393))=0,"",INDEX('Checks'!$Q$4:$Q$503,_calc!$E$393)))))</f>
        <v/>
      </c>
      <c r="G391" s="43">
        <f>IF(_calc!$E$393="","",IF(LEN(INDEX('Checks'!$P$4:$P$503,_calc!$E$393))=0,"",INDEX('Checks'!$P$4:$P$503,_calc!$E$393)))</f>
        <v/>
      </c>
      <c r="K391" s="43">
        <f>IF(_calc!$E$393="","",IF(LEN(INDEX('Checks'!$O$4:$O$503,_calc!$E$393))=0,"",INDEX('Checks'!$O$4:$O$503,_calc!$E$393)))</f>
        <v/>
      </c>
    </row>
    <row r="392">
      <c r="A392" s="43">
        <f>IF(_calc!$E$394="","","Right to work follow-up – "&amp;IF(LEN(INDEX('Checks'!$A$4:$A$503,_calc!$E$394))=0,"",INDEX('Checks'!$A$4:$A$503,_calc!$E$394)))</f>
        <v/>
      </c>
      <c r="B392" s="43">
        <f>IF(_calc!$E$394="","",IF(ISNUMBER(INDEX('Checks'!$H$4:$H$503,_calc!$E$394)),TEXT(INDEX('Checks'!$H$4:$H$503,_calc!$E$394),"yyyy-mm-dd"),""))</f>
        <v/>
      </c>
      <c r="C392" s="43">
        <f>IF(_calc!$E$394="","","Right to work")</f>
        <v/>
      </c>
      <c r="D392" s="43">
        <f>IF(_calc!$E$394="","",IF(ISNUMBER(INDEX('Checks'!$F$4:$F$503,_calc!$E$394)),TEXT(INDEX('Checks'!$F$4:$F$503,_calc!$E$394),"yyyy-mm-dd"),""))</f>
        <v/>
      </c>
      <c r="E392" s="43">
        <f>IF(_calc!$E$394="","","High")</f>
        <v/>
      </c>
      <c r="F392" s="43">
        <f>IF(_calc!$E$394="","",TRIM(IF(LEN(IF(LEN(INDEX('Checks'!$B$4:$B$503,_calc!$E$394))=0,"",INDEX('Checks'!$B$4:$B$503,_calc!$E$394)))=0,"","Role: "&amp;IF(LEN(INDEX('Checks'!$B$4:$B$503,_calc!$E$394))=0,"",INDEX('Checks'!$B$4:$B$503,_calc!$E$394))&amp;". ")&amp;IF(LEN(IF(LEN(INDEX('Checks'!$D$4:$D$503,_calc!$E$394))=0,"",INDEX('Checks'!$D$4:$D$503,_calc!$E$394)))=0,"","Check type: "&amp;IF(LEN(INDEX('Checks'!$D$4:$D$503,_calc!$E$394))=0,"",INDEX('Checks'!$D$4:$D$503,_calc!$E$394))&amp;". ")&amp;IF(LEN(IF(LEN(INDEX('Checks'!$E$4:$E$503,_calc!$E$394))=0,"",INDEX('Checks'!$E$4:$E$503,_calc!$E$394)))=0,"","Evidence: "&amp;IF(LEN(INDEX('Checks'!$E$4:$E$503,_calc!$E$394))=0,"",INDEX('Checks'!$E$4:$E$503,_calc!$E$394))&amp;". ")&amp;IF(LEN(IF(LEN(INDEX('Checks'!$G$4:$G$503,_calc!$E$394))=0,"",INDEX('Checks'!$G$4:$G$503,_calc!$E$394)))=0,"","Checked by: "&amp;IF(LEN(INDEX('Checks'!$G$4:$G$503,_calc!$E$394))=0,"",INDEX('Checks'!$G$4:$G$503,_calc!$E$394))&amp;". ")&amp;IF(LEN(IF(LEN(INDEX('Checks'!$Q$4:$Q$503,_calc!$E$394))=0,"",INDEX('Checks'!$Q$4:$Q$503,_calc!$E$394)))=0,"",IF(LEN(INDEX('Checks'!$Q$4:$Q$503,_calc!$E$394))=0,"",INDEX('Checks'!$Q$4:$Q$503,_calc!$E$394)))))</f>
        <v/>
      </c>
      <c r="G392" s="43">
        <f>IF(_calc!$E$394="","",IF(LEN(INDEX('Checks'!$P$4:$P$503,_calc!$E$394))=0,"",INDEX('Checks'!$P$4:$P$503,_calc!$E$394)))</f>
        <v/>
      </c>
      <c r="K392" s="43">
        <f>IF(_calc!$E$394="","",IF(LEN(INDEX('Checks'!$O$4:$O$503,_calc!$E$394))=0,"",INDEX('Checks'!$O$4:$O$503,_calc!$E$394)))</f>
        <v/>
      </c>
    </row>
    <row r="393">
      <c r="A393" s="43">
        <f>IF(_calc!$E$395="","","Right to work follow-up – "&amp;IF(LEN(INDEX('Checks'!$A$4:$A$503,_calc!$E$395))=0,"",INDEX('Checks'!$A$4:$A$503,_calc!$E$395)))</f>
        <v/>
      </c>
      <c r="B393" s="43">
        <f>IF(_calc!$E$395="","",IF(ISNUMBER(INDEX('Checks'!$H$4:$H$503,_calc!$E$395)),TEXT(INDEX('Checks'!$H$4:$H$503,_calc!$E$395),"yyyy-mm-dd"),""))</f>
        <v/>
      </c>
      <c r="C393" s="43">
        <f>IF(_calc!$E$395="","","Right to work")</f>
        <v/>
      </c>
      <c r="D393" s="43">
        <f>IF(_calc!$E$395="","",IF(ISNUMBER(INDEX('Checks'!$F$4:$F$503,_calc!$E$395)),TEXT(INDEX('Checks'!$F$4:$F$503,_calc!$E$395),"yyyy-mm-dd"),""))</f>
        <v/>
      </c>
      <c r="E393" s="43">
        <f>IF(_calc!$E$395="","","High")</f>
        <v/>
      </c>
      <c r="F393" s="43">
        <f>IF(_calc!$E$395="","",TRIM(IF(LEN(IF(LEN(INDEX('Checks'!$B$4:$B$503,_calc!$E$395))=0,"",INDEX('Checks'!$B$4:$B$503,_calc!$E$395)))=0,"","Role: "&amp;IF(LEN(INDEX('Checks'!$B$4:$B$503,_calc!$E$395))=0,"",INDEX('Checks'!$B$4:$B$503,_calc!$E$395))&amp;". ")&amp;IF(LEN(IF(LEN(INDEX('Checks'!$D$4:$D$503,_calc!$E$395))=0,"",INDEX('Checks'!$D$4:$D$503,_calc!$E$395)))=0,"","Check type: "&amp;IF(LEN(INDEX('Checks'!$D$4:$D$503,_calc!$E$395))=0,"",INDEX('Checks'!$D$4:$D$503,_calc!$E$395))&amp;". ")&amp;IF(LEN(IF(LEN(INDEX('Checks'!$E$4:$E$503,_calc!$E$395))=0,"",INDEX('Checks'!$E$4:$E$503,_calc!$E$395)))=0,"","Evidence: "&amp;IF(LEN(INDEX('Checks'!$E$4:$E$503,_calc!$E$395))=0,"",INDEX('Checks'!$E$4:$E$503,_calc!$E$395))&amp;". ")&amp;IF(LEN(IF(LEN(INDEX('Checks'!$G$4:$G$503,_calc!$E$395))=0,"",INDEX('Checks'!$G$4:$G$503,_calc!$E$395)))=0,"","Checked by: "&amp;IF(LEN(INDEX('Checks'!$G$4:$G$503,_calc!$E$395))=0,"",INDEX('Checks'!$G$4:$G$503,_calc!$E$395))&amp;". ")&amp;IF(LEN(IF(LEN(INDEX('Checks'!$Q$4:$Q$503,_calc!$E$395))=0,"",INDEX('Checks'!$Q$4:$Q$503,_calc!$E$395)))=0,"",IF(LEN(INDEX('Checks'!$Q$4:$Q$503,_calc!$E$395))=0,"",INDEX('Checks'!$Q$4:$Q$503,_calc!$E$395)))))</f>
        <v/>
      </c>
      <c r="G393" s="43">
        <f>IF(_calc!$E$395="","",IF(LEN(INDEX('Checks'!$P$4:$P$503,_calc!$E$395))=0,"",INDEX('Checks'!$P$4:$P$503,_calc!$E$395)))</f>
        <v/>
      </c>
      <c r="K393" s="43">
        <f>IF(_calc!$E$395="","",IF(LEN(INDEX('Checks'!$O$4:$O$503,_calc!$E$395))=0,"",INDEX('Checks'!$O$4:$O$503,_calc!$E$395)))</f>
        <v/>
      </c>
    </row>
    <row r="394">
      <c r="A394" s="43">
        <f>IF(_calc!$E$396="","","Right to work follow-up – "&amp;IF(LEN(INDEX('Checks'!$A$4:$A$503,_calc!$E$396))=0,"",INDEX('Checks'!$A$4:$A$503,_calc!$E$396)))</f>
        <v/>
      </c>
      <c r="B394" s="43">
        <f>IF(_calc!$E$396="","",IF(ISNUMBER(INDEX('Checks'!$H$4:$H$503,_calc!$E$396)),TEXT(INDEX('Checks'!$H$4:$H$503,_calc!$E$396),"yyyy-mm-dd"),""))</f>
        <v/>
      </c>
      <c r="C394" s="43">
        <f>IF(_calc!$E$396="","","Right to work")</f>
        <v/>
      </c>
      <c r="D394" s="43">
        <f>IF(_calc!$E$396="","",IF(ISNUMBER(INDEX('Checks'!$F$4:$F$503,_calc!$E$396)),TEXT(INDEX('Checks'!$F$4:$F$503,_calc!$E$396),"yyyy-mm-dd"),""))</f>
        <v/>
      </c>
      <c r="E394" s="43">
        <f>IF(_calc!$E$396="","","High")</f>
        <v/>
      </c>
      <c r="F394" s="43">
        <f>IF(_calc!$E$396="","",TRIM(IF(LEN(IF(LEN(INDEX('Checks'!$B$4:$B$503,_calc!$E$396))=0,"",INDEX('Checks'!$B$4:$B$503,_calc!$E$396)))=0,"","Role: "&amp;IF(LEN(INDEX('Checks'!$B$4:$B$503,_calc!$E$396))=0,"",INDEX('Checks'!$B$4:$B$503,_calc!$E$396))&amp;". ")&amp;IF(LEN(IF(LEN(INDEX('Checks'!$D$4:$D$503,_calc!$E$396))=0,"",INDEX('Checks'!$D$4:$D$503,_calc!$E$396)))=0,"","Check type: "&amp;IF(LEN(INDEX('Checks'!$D$4:$D$503,_calc!$E$396))=0,"",INDEX('Checks'!$D$4:$D$503,_calc!$E$396))&amp;". ")&amp;IF(LEN(IF(LEN(INDEX('Checks'!$E$4:$E$503,_calc!$E$396))=0,"",INDEX('Checks'!$E$4:$E$503,_calc!$E$396)))=0,"","Evidence: "&amp;IF(LEN(INDEX('Checks'!$E$4:$E$503,_calc!$E$396))=0,"",INDEX('Checks'!$E$4:$E$503,_calc!$E$396))&amp;". ")&amp;IF(LEN(IF(LEN(INDEX('Checks'!$G$4:$G$503,_calc!$E$396))=0,"",INDEX('Checks'!$G$4:$G$503,_calc!$E$396)))=0,"","Checked by: "&amp;IF(LEN(INDEX('Checks'!$G$4:$G$503,_calc!$E$396))=0,"",INDEX('Checks'!$G$4:$G$503,_calc!$E$396))&amp;". ")&amp;IF(LEN(IF(LEN(INDEX('Checks'!$Q$4:$Q$503,_calc!$E$396))=0,"",INDEX('Checks'!$Q$4:$Q$503,_calc!$E$396)))=0,"",IF(LEN(INDEX('Checks'!$Q$4:$Q$503,_calc!$E$396))=0,"",INDEX('Checks'!$Q$4:$Q$503,_calc!$E$396)))))</f>
        <v/>
      </c>
      <c r="G394" s="43">
        <f>IF(_calc!$E$396="","",IF(LEN(INDEX('Checks'!$P$4:$P$503,_calc!$E$396))=0,"",INDEX('Checks'!$P$4:$P$503,_calc!$E$396)))</f>
        <v/>
      </c>
      <c r="K394" s="43">
        <f>IF(_calc!$E$396="","",IF(LEN(INDEX('Checks'!$O$4:$O$503,_calc!$E$396))=0,"",INDEX('Checks'!$O$4:$O$503,_calc!$E$396)))</f>
        <v/>
      </c>
    </row>
    <row r="395">
      <c r="A395" s="43">
        <f>IF(_calc!$E$397="","","Right to work follow-up – "&amp;IF(LEN(INDEX('Checks'!$A$4:$A$503,_calc!$E$397))=0,"",INDEX('Checks'!$A$4:$A$503,_calc!$E$397)))</f>
        <v/>
      </c>
      <c r="B395" s="43">
        <f>IF(_calc!$E$397="","",IF(ISNUMBER(INDEX('Checks'!$H$4:$H$503,_calc!$E$397)),TEXT(INDEX('Checks'!$H$4:$H$503,_calc!$E$397),"yyyy-mm-dd"),""))</f>
        <v/>
      </c>
      <c r="C395" s="43">
        <f>IF(_calc!$E$397="","","Right to work")</f>
        <v/>
      </c>
      <c r="D395" s="43">
        <f>IF(_calc!$E$397="","",IF(ISNUMBER(INDEX('Checks'!$F$4:$F$503,_calc!$E$397)),TEXT(INDEX('Checks'!$F$4:$F$503,_calc!$E$397),"yyyy-mm-dd"),""))</f>
        <v/>
      </c>
      <c r="E395" s="43">
        <f>IF(_calc!$E$397="","","High")</f>
        <v/>
      </c>
      <c r="F395" s="43">
        <f>IF(_calc!$E$397="","",TRIM(IF(LEN(IF(LEN(INDEX('Checks'!$B$4:$B$503,_calc!$E$397))=0,"",INDEX('Checks'!$B$4:$B$503,_calc!$E$397)))=0,"","Role: "&amp;IF(LEN(INDEX('Checks'!$B$4:$B$503,_calc!$E$397))=0,"",INDEX('Checks'!$B$4:$B$503,_calc!$E$397))&amp;". ")&amp;IF(LEN(IF(LEN(INDEX('Checks'!$D$4:$D$503,_calc!$E$397))=0,"",INDEX('Checks'!$D$4:$D$503,_calc!$E$397)))=0,"","Check type: "&amp;IF(LEN(INDEX('Checks'!$D$4:$D$503,_calc!$E$397))=0,"",INDEX('Checks'!$D$4:$D$503,_calc!$E$397))&amp;". ")&amp;IF(LEN(IF(LEN(INDEX('Checks'!$E$4:$E$503,_calc!$E$397))=0,"",INDEX('Checks'!$E$4:$E$503,_calc!$E$397)))=0,"","Evidence: "&amp;IF(LEN(INDEX('Checks'!$E$4:$E$503,_calc!$E$397))=0,"",INDEX('Checks'!$E$4:$E$503,_calc!$E$397))&amp;". ")&amp;IF(LEN(IF(LEN(INDEX('Checks'!$G$4:$G$503,_calc!$E$397))=0,"",INDEX('Checks'!$G$4:$G$503,_calc!$E$397)))=0,"","Checked by: "&amp;IF(LEN(INDEX('Checks'!$G$4:$G$503,_calc!$E$397))=0,"",INDEX('Checks'!$G$4:$G$503,_calc!$E$397))&amp;". ")&amp;IF(LEN(IF(LEN(INDEX('Checks'!$Q$4:$Q$503,_calc!$E$397))=0,"",INDEX('Checks'!$Q$4:$Q$503,_calc!$E$397)))=0,"",IF(LEN(INDEX('Checks'!$Q$4:$Q$503,_calc!$E$397))=0,"",INDEX('Checks'!$Q$4:$Q$503,_calc!$E$397)))))</f>
        <v/>
      </c>
      <c r="G395" s="43">
        <f>IF(_calc!$E$397="","",IF(LEN(INDEX('Checks'!$P$4:$P$503,_calc!$E$397))=0,"",INDEX('Checks'!$P$4:$P$503,_calc!$E$397)))</f>
        <v/>
      </c>
      <c r="K395" s="43">
        <f>IF(_calc!$E$397="","",IF(LEN(INDEX('Checks'!$O$4:$O$503,_calc!$E$397))=0,"",INDEX('Checks'!$O$4:$O$503,_calc!$E$397)))</f>
        <v/>
      </c>
    </row>
    <row r="396">
      <c r="A396" s="43">
        <f>IF(_calc!$E$398="","","Right to work follow-up – "&amp;IF(LEN(INDEX('Checks'!$A$4:$A$503,_calc!$E$398))=0,"",INDEX('Checks'!$A$4:$A$503,_calc!$E$398)))</f>
        <v/>
      </c>
      <c r="B396" s="43">
        <f>IF(_calc!$E$398="","",IF(ISNUMBER(INDEX('Checks'!$H$4:$H$503,_calc!$E$398)),TEXT(INDEX('Checks'!$H$4:$H$503,_calc!$E$398),"yyyy-mm-dd"),""))</f>
        <v/>
      </c>
      <c r="C396" s="43">
        <f>IF(_calc!$E$398="","","Right to work")</f>
        <v/>
      </c>
      <c r="D396" s="43">
        <f>IF(_calc!$E$398="","",IF(ISNUMBER(INDEX('Checks'!$F$4:$F$503,_calc!$E$398)),TEXT(INDEX('Checks'!$F$4:$F$503,_calc!$E$398),"yyyy-mm-dd"),""))</f>
        <v/>
      </c>
      <c r="E396" s="43">
        <f>IF(_calc!$E$398="","","High")</f>
        <v/>
      </c>
      <c r="F396" s="43">
        <f>IF(_calc!$E$398="","",TRIM(IF(LEN(IF(LEN(INDEX('Checks'!$B$4:$B$503,_calc!$E$398))=0,"",INDEX('Checks'!$B$4:$B$503,_calc!$E$398)))=0,"","Role: "&amp;IF(LEN(INDEX('Checks'!$B$4:$B$503,_calc!$E$398))=0,"",INDEX('Checks'!$B$4:$B$503,_calc!$E$398))&amp;". ")&amp;IF(LEN(IF(LEN(INDEX('Checks'!$D$4:$D$503,_calc!$E$398))=0,"",INDEX('Checks'!$D$4:$D$503,_calc!$E$398)))=0,"","Check type: "&amp;IF(LEN(INDEX('Checks'!$D$4:$D$503,_calc!$E$398))=0,"",INDEX('Checks'!$D$4:$D$503,_calc!$E$398))&amp;". ")&amp;IF(LEN(IF(LEN(INDEX('Checks'!$E$4:$E$503,_calc!$E$398))=0,"",INDEX('Checks'!$E$4:$E$503,_calc!$E$398)))=0,"","Evidence: "&amp;IF(LEN(INDEX('Checks'!$E$4:$E$503,_calc!$E$398))=0,"",INDEX('Checks'!$E$4:$E$503,_calc!$E$398))&amp;". ")&amp;IF(LEN(IF(LEN(INDEX('Checks'!$G$4:$G$503,_calc!$E$398))=0,"",INDEX('Checks'!$G$4:$G$503,_calc!$E$398)))=0,"","Checked by: "&amp;IF(LEN(INDEX('Checks'!$G$4:$G$503,_calc!$E$398))=0,"",INDEX('Checks'!$G$4:$G$503,_calc!$E$398))&amp;". ")&amp;IF(LEN(IF(LEN(INDEX('Checks'!$Q$4:$Q$503,_calc!$E$398))=0,"",INDEX('Checks'!$Q$4:$Q$503,_calc!$E$398)))=0,"",IF(LEN(INDEX('Checks'!$Q$4:$Q$503,_calc!$E$398))=0,"",INDEX('Checks'!$Q$4:$Q$503,_calc!$E$398)))))</f>
        <v/>
      </c>
      <c r="G396" s="43">
        <f>IF(_calc!$E$398="","",IF(LEN(INDEX('Checks'!$P$4:$P$503,_calc!$E$398))=0,"",INDEX('Checks'!$P$4:$P$503,_calc!$E$398)))</f>
        <v/>
      </c>
      <c r="K396" s="43">
        <f>IF(_calc!$E$398="","",IF(LEN(INDEX('Checks'!$O$4:$O$503,_calc!$E$398))=0,"",INDEX('Checks'!$O$4:$O$503,_calc!$E$398)))</f>
        <v/>
      </c>
    </row>
    <row r="397">
      <c r="A397" s="43">
        <f>IF(_calc!$E$399="","","Right to work follow-up – "&amp;IF(LEN(INDEX('Checks'!$A$4:$A$503,_calc!$E$399))=0,"",INDEX('Checks'!$A$4:$A$503,_calc!$E$399)))</f>
        <v/>
      </c>
      <c r="B397" s="43">
        <f>IF(_calc!$E$399="","",IF(ISNUMBER(INDEX('Checks'!$H$4:$H$503,_calc!$E$399)),TEXT(INDEX('Checks'!$H$4:$H$503,_calc!$E$399),"yyyy-mm-dd"),""))</f>
        <v/>
      </c>
      <c r="C397" s="43">
        <f>IF(_calc!$E$399="","","Right to work")</f>
        <v/>
      </c>
      <c r="D397" s="43">
        <f>IF(_calc!$E$399="","",IF(ISNUMBER(INDEX('Checks'!$F$4:$F$503,_calc!$E$399)),TEXT(INDEX('Checks'!$F$4:$F$503,_calc!$E$399),"yyyy-mm-dd"),""))</f>
        <v/>
      </c>
      <c r="E397" s="43">
        <f>IF(_calc!$E$399="","","High")</f>
        <v/>
      </c>
      <c r="F397" s="43">
        <f>IF(_calc!$E$399="","",TRIM(IF(LEN(IF(LEN(INDEX('Checks'!$B$4:$B$503,_calc!$E$399))=0,"",INDEX('Checks'!$B$4:$B$503,_calc!$E$399)))=0,"","Role: "&amp;IF(LEN(INDEX('Checks'!$B$4:$B$503,_calc!$E$399))=0,"",INDEX('Checks'!$B$4:$B$503,_calc!$E$399))&amp;". ")&amp;IF(LEN(IF(LEN(INDEX('Checks'!$D$4:$D$503,_calc!$E$399))=0,"",INDEX('Checks'!$D$4:$D$503,_calc!$E$399)))=0,"","Check type: "&amp;IF(LEN(INDEX('Checks'!$D$4:$D$503,_calc!$E$399))=0,"",INDEX('Checks'!$D$4:$D$503,_calc!$E$399))&amp;". ")&amp;IF(LEN(IF(LEN(INDEX('Checks'!$E$4:$E$503,_calc!$E$399))=0,"",INDEX('Checks'!$E$4:$E$503,_calc!$E$399)))=0,"","Evidence: "&amp;IF(LEN(INDEX('Checks'!$E$4:$E$503,_calc!$E$399))=0,"",INDEX('Checks'!$E$4:$E$503,_calc!$E$399))&amp;". ")&amp;IF(LEN(IF(LEN(INDEX('Checks'!$G$4:$G$503,_calc!$E$399))=0,"",INDEX('Checks'!$G$4:$G$503,_calc!$E$399)))=0,"","Checked by: "&amp;IF(LEN(INDEX('Checks'!$G$4:$G$503,_calc!$E$399))=0,"",INDEX('Checks'!$G$4:$G$503,_calc!$E$399))&amp;". ")&amp;IF(LEN(IF(LEN(INDEX('Checks'!$Q$4:$Q$503,_calc!$E$399))=0,"",INDEX('Checks'!$Q$4:$Q$503,_calc!$E$399)))=0,"",IF(LEN(INDEX('Checks'!$Q$4:$Q$503,_calc!$E$399))=0,"",INDEX('Checks'!$Q$4:$Q$503,_calc!$E$399)))))</f>
        <v/>
      </c>
      <c r="G397" s="43">
        <f>IF(_calc!$E$399="","",IF(LEN(INDEX('Checks'!$P$4:$P$503,_calc!$E$399))=0,"",INDEX('Checks'!$P$4:$P$503,_calc!$E$399)))</f>
        <v/>
      </c>
      <c r="K397" s="43">
        <f>IF(_calc!$E$399="","",IF(LEN(INDEX('Checks'!$O$4:$O$503,_calc!$E$399))=0,"",INDEX('Checks'!$O$4:$O$503,_calc!$E$399)))</f>
        <v/>
      </c>
    </row>
    <row r="398">
      <c r="A398" s="43">
        <f>IF(_calc!$E$400="","","Right to work follow-up – "&amp;IF(LEN(INDEX('Checks'!$A$4:$A$503,_calc!$E$400))=0,"",INDEX('Checks'!$A$4:$A$503,_calc!$E$400)))</f>
        <v/>
      </c>
      <c r="B398" s="43">
        <f>IF(_calc!$E$400="","",IF(ISNUMBER(INDEX('Checks'!$H$4:$H$503,_calc!$E$400)),TEXT(INDEX('Checks'!$H$4:$H$503,_calc!$E$400),"yyyy-mm-dd"),""))</f>
        <v/>
      </c>
      <c r="C398" s="43">
        <f>IF(_calc!$E$400="","","Right to work")</f>
        <v/>
      </c>
      <c r="D398" s="43">
        <f>IF(_calc!$E$400="","",IF(ISNUMBER(INDEX('Checks'!$F$4:$F$503,_calc!$E$400)),TEXT(INDEX('Checks'!$F$4:$F$503,_calc!$E$400),"yyyy-mm-dd"),""))</f>
        <v/>
      </c>
      <c r="E398" s="43">
        <f>IF(_calc!$E$400="","","High")</f>
        <v/>
      </c>
      <c r="F398" s="43">
        <f>IF(_calc!$E$400="","",TRIM(IF(LEN(IF(LEN(INDEX('Checks'!$B$4:$B$503,_calc!$E$400))=0,"",INDEX('Checks'!$B$4:$B$503,_calc!$E$400)))=0,"","Role: "&amp;IF(LEN(INDEX('Checks'!$B$4:$B$503,_calc!$E$400))=0,"",INDEX('Checks'!$B$4:$B$503,_calc!$E$400))&amp;". ")&amp;IF(LEN(IF(LEN(INDEX('Checks'!$D$4:$D$503,_calc!$E$400))=0,"",INDEX('Checks'!$D$4:$D$503,_calc!$E$400)))=0,"","Check type: "&amp;IF(LEN(INDEX('Checks'!$D$4:$D$503,_calc!$E$400))=0,"",INDEX('Checks'!$D$4:$D$503,_calc!$E$400))&amp;". ")&amp;IF(LEN(IF(LEN(INDEX('Checks'!$E$4:$E$503,_calc!$E$400))=0,"",INDEX('Checks'!$E$4:$E$503,_calc!$E$400)))=0,"","Evidence: "&amp;IF(LEN(INDEX('Checks'!$E$4:$E$503,_calc!$E$400))=0,"",INDEX('Checks'!$E$4:$E$503,_calc!$E$400))&amp;". ")&amp;IF(LEN(IF(LEN(INDEX('Checks'!$G$4:$G$503,_calc!$E$400))=0,"",INDEX('Checks'!$G$4:$G$503,_calc!$E$400)))=0,"","Checked by: "&amp;IF(LEN(INDEX('Checks'!$G$4:$G$503,_calc!$E$400))=0,"",INDEX('Checks'!$G$4:$G$503,_calc!$E$400))&amp;". ")&amp;IF(LEN(IF(LEN(INDEX('Checks'!$Q$4:$Q$503,_calc!$E$400))=0,"",INDEX('Checks'!$Q$4:$Q$503,_calc!$E$400)))=0,"",IF(LEN(INDEX('Checks'!$Q$4:$Q$503,_calc!$E$400))=0,"",INDEX('Checks'!$Q$4:$Q$503,_calc!$E$400)))))</f>
        <v/>
      </c>
      <c r="G398" s="43">
        <f>IF(_calc!$E$400="","",IF(LEN(INDEX('Checks'!$P$4:$P$503,_calc!$E$400))=0,"",INDEX('Checks'!$P$4:$P$503,_calc!$E$400)))</f>
        <v/>
      </c>
      <c r="K398" s="43">
        <f>IF(_calc!$E$400="","",IF(LEN(INDEX('Checks'!$O$4:$O$503,_calc!$E$400))=0,"",INDEX('Checks'!$O$4:$O$503,_calc!$E$400)))</f>
        <v/>
      </c>
    </row>
    <row r="399">
      <c r="A399" s="43">
        <f>IF(_calc!$E$401="","","Right to work follow-up – "&amp;IF(LEN(INDEX('Checks'!$A$4:$A$503,_calc!$E$401))=0,"",INDEX('Checks'!$A$4:$A$503,_calc!$E$401)))</f>
        <v/>
      </c>
      <c r="B399" s="43">
        <f>IF(_calc!$E$401="","",IF(ISNUMBER(INDEX('Checks'!$H$4:$H$503,_calc!$E$401)),TEXT(INDEX('Checks'!$H$4:$H$503,_calc!$E$401),"yyyy-mm-dd"),""))</f>
        <v/>
      </c>
      <c r="C399" s="43">
        <f>IF(_calc!$E$401="","","Right to work")</f>
        <v/>
      </c>
      <c r="D399" s="43">
        <f>IF(_calc!$E$401="","",IF(ISNUMBER(INDEX('Checks'!$F$4:$F$503,_calc!$E$401)),TEXT(INDEX('Checks'!$F$4:$F$503,_calc!$E$401),"yyyy-mm-dd"),""))</f>
        <v/>
      </c>
      <c r="E399" s="43">
        <f>IF(_calc!$E$401="","","High")</f>
        <v/>
      </c>
      <c r="F399" s="43">
        <f>IF(_calc!$E$401="","",TRIM(IF(LEN(IF(LEN(INDEX('Checks'!$B$4:$B$503,_calc!$E$401))=0,"",INDEX('Checks'!$B$4:$B$503,_calc!$E$401)))=0,"","Role: "&amp;IF(LEN(INDEX('Checks'!$B$4:$B$503,_calc!$E$401))=0,"",INDEX('Checks'!$B$4:$B$503,_calc!$E$401))&amp;". ")&amp;IF(LEN(IF(LEN(INDEX('Checks'!$D$4:$D$503,_calc!$E$401))=0,"",INDEX('Checks'!$D$4:$D$503,_calc!$E$401)))=0,"","Check type: "&amp;IF(LEN(INDEX('Checks'!$D$4:$D$503,_calc!$E$401))=0,"",INDEX('Checks'!$D$4:$D$503,_calc!$E$401))&amp;". ")&amp;IF(LEN(IF(LEN(INDEX('Checks'!$E$4:$E$503,_calc!$E$401))=0,"",INDEX('Checks'!$E$4:$E$503,_calc!$E$401)))=0,"","Evidence: "&amp;IF(LEN(INDEX('Checks'!$E$4:$E$503,_calc!$E$401))=0,"",INDEX('Checks'!$E$4:$E$503,_calc!$E$401))&amp;". ")&amp;IF(LEN(IF(LEN(INDEX('Checks'!$G$4:$G$503,_calc!$E$401))=0,"",INDEX('Checks'!$G$4:$G$503,_calc!$E$401)))=0,"","Checked by: "&amp;IF(LEN(INDEX('Checks'!$G$4:$G$503,_calc!$E$401))=0,"",INDEX('Checks'!$G$4:$G$503,_calc!$E$401))&amp;". ")&amp;IF(LEN(IF(LEN(INDEX('Checks'!$Q$4:$Q$503,_calc!$E$401))=0,"",INDEX('Checks'!$Q$4:$Q$503,_calc!$E$401)))=0,"",IF(LEN(INDEX('Checks'!$Q$4:$Q$503,_calc!$E$401))=0,"",INDEX('Checks'!$Q$4:$Q$503,_calc!$E$401)))))</f>
        <v/>
      </c>
      <c r="G399" s="43">
        <f>IF(_calc!$E$401="","",IF(LEN(INDEX('Checks'!$P$4:$P$503,_calc!$E$401))=0,"",INDEX('Checks'!$P$4:$P$503,_calc!$E$401)))</f>
        <v/>
      </c>
      <c r="K399" s="43">
        <f>IF(_calc!$E$401="","",IF(LEN(INDEX('Checks'!$O$4:$O$503,_calc!$E$401))=0,"",INDEX('Checks'!$O$4:$O$503,_calc!$E$401)))</f>
        <v/>
      </c>
    </row>
    <row r="400">
      <c r="A400" s="43">
        <f>IF(_calc!$E$402="","","Right to work follow-up – "&amp;IF(LEN(INDEX('Checks'!$A$4:$A$503,_calc!$E$402))=0,"",INDEX('Checks'!$A$4:$A$503,_calc!$E$402)))</f>
        <v/>
      </c>
      <c r="B400" s="43">
        <f>IF(_calc!$E$402="","",IF(ISNUMBER(INDEX('Checks'!$H$4:$H$503,_calc!$E$402)),TEXT(INDEX('Checks'!$H$4:$H$503,_calc!$E$402),"yyyy-mm-dd"),""))</f>
        <v/>
      </c>
      <c r="C400" s="43">
        <f>IF(_calc!$E$402="","","Right to work")</f>
        <v/>
      </c>
      <c r="D400" s="43">
        <f>IF(_calc!$E$402="","",IF(ISNUMBER(INDEX('Checks'!$F$4:$F$503,_calc!$E$402)),TEXT(INDEX('Checks'!$F$4:$F$503,_calc!$E$402),"yyyy-mm-dd"),""))</f>
        <v/>
      </c>
      <c r="E400" s="43">
        <f>IF(_calc!$E$402="","","High")</f>
        <v/>
      </c>
      <c r="F400" s="43">
        <f>IF(_calc!$E$402="","",TRIM(IF(LEN(IF(LEN(INDEX('Checks'!$B$4:$B$503,_calc!$E$402))=0,"",INDEX('Checks'!$B$4:$B$503,_calc!$E$402)))=0,"","Role: "&amp;IF(LEN(INDEX('Checks'!$B$4:$B$503,_calc!$E$402))=0,"",INDEX('Checks'!$B$4:$B$503,_calc!$E$402))&amp;". ")&amp;IF(LEN(IF(LEN(INDEX('Checks'!$D$4:$D$503,_calc!$E$402))=0,"",INDEX('Checks'!$D$4:$D$503,_calc!$E$402)))=0,"","Check type: "&amp;IF(LEN(INDEX('Checks'!$D$4:$D$503,_calc!$E$402))=0,"",INDEX('Checks'!$D$4:$D$503,_calc!$E$402))&amp;". ")&amp;IF(LEN(IF(LEN(INDEX('Checks'!$E$4:$E$503,_calc!$E$402))=0,"",INDEX('Checks'!$E$4:$E$503,_calc!$E$402)))=0,"","Evidence: "&amp;IF(LEN(INDEX('Checks'!$E$4:$E$503,_calc!$E$402))=0,"",INDEX('Checks'!$E$4:$E$503,_calc!$E$402))&amp;". ")&amp;IF(LEN(IF(LEN(INDEX('Checks'!$G$4:$G$503,_calc!$E$402))=0,"",INDEX('Checks'!$G$4:$G$503,_calc!$E$402)))=0,"","Checked by: "&amp;IF(LEN(INDEX('Checks'!$G$4:$G$503,_calc!$E$402))=0,"",INDEX('Checks'!$G$4:$G$503,_calc!$E$402))&amp;". ")&amp;IF(LEN(IF(LEN(INDEX('Checks'!$Q$4:$Q$503,_calc!$E$402))=0,"",INDEX('Checks'!$Q$4:$Q$503,_calc!$E$402)))=0,"",IF(LEN(INDEX('Checks'!$Q$4:$Q$503,_calc!$E$402))=0,"",INDEX('Checks'!$Q$4:$Q$503,_calc!$E$402)))))</f>
        <v/>
      </c>
      <c r="G400" s="43">
        <f>IF(_calc!$E$402="","",IF(LEN(INDEX('Checks'!$P$4:$P$503,_calc!$E$402))=0,"",INDEX('Checks'!$P$4:$P$503,_calc!$E$402)))</f>
        <v/>
      </c>
      <c r="K400" s="43">
        <f>IF(_calc!$E$402="","",IF(LEN(INDEX('Checks'!$O$4:$O$503,_calc!$E$402))=0,"",INDEX('Checks'!$O$4:$O$503,_calc!$E$402)))</f>
        <v/>
      </c>
    </row>
    <row r="401">
      <c r="A401" s="43">
        <f>IF(_calc!$E$403="","","Right to work follow-up – "&amp;IF(LEN(INDEX('Checks'!$A$4:$A$503,_calc!$E$403))=0,"",INDEX('Checks'!$A$4:$A$503,_calc!$E$403)))</f>
        <v/>
      </c>
      <c r="B401" s="43">
        <f>IF(_calc!$E$403="","",IF(ISNUMBER(INDEX('Checks'!$H$4:$H$503,_calc!$E$403)),TEXT(INDEX('Checks'!$H$4:$H$503,_calc!$E$403),"yyyy-mm-dd"),""))</f>
        <v/>
      </c>
      <c r="C401" s="43">
        <f>IF(_calc!$E$403="","","Right to work")</f>
        <v/>
      </c>
      <c r="D401" s="43">
        <f>IF(_calc!$E$403="","",IF(ISNUMBER(INDEX('Checks'!$F$4:$F$503,_calc!$E$403)),TEXT(INDEX('Checks'!$F$4:$F$503,_calc!$E$403),"yyyy-mm-dd"),""))</f>
        <v/>
      </c>
      <c r="E401" s="43">
        <f>IF(_calc!$E$403="","","High")</f>
        <v/>
      </c>
      <c r="F401" s="43">
        <f>IF(_calc!$E$403="","",TRIM(IF(LEN(IF(LEN(INDEX('Checks'!$B$4:$B$503,_calc!$E$403))=0,"",INDEX('Checks'!$B$4:$B$503,_calc!$E$403)))=0,"","Role: "&amp;IF(LEN(INDEX('Checks'!$B$4:$B$503,_calc!$E$403))=0,"",INDEX('Checks'!$B$4:$B$503,_calc!$E$403))&amp;". ")&amp;IF(LEN(IF(LEN(INDEX('Checks'!$D$4:$D$503,_calc!$E$403))=0,"",INDEX('Checks'!$D$4:$D$503,_calc!$E$403)))=0,"","Check type: "&amp;IF(LEN(INDEX('Checks'!$D$4:$D$503,_calc!$E$403))=0,"",INDEX('Checks'!$D$4:$D$503,_calc!$E$403))&amp;". ")&amp;IF(LEN(IF(LEN(INDEX('Checks'!$E$4:$E$503,_calc!$E$403))=0,"",INDEX('Checks'!$E$4:$E$503,_calc!$E$403)))=0,"","Evidence: "&amp;IF(LEN(INDEX('Checks'!$E$4:$E$503,_calc!$E$403))=0,"",INDEX('Checks'!$E$4:$E$503,_calc!$E$403))&amp;". ")&amp;IF(LEN(IF(LEN(INDEX('Checks'!$G$4:$G$503,_calc!$E$403))=0,"",INDEX('Checks'!$G$4:$G$503,_calc!$E$403)))=0,"","Checked by: "&amp;IF(LEN(INDEX('Checks'!$G$4:$G$503,_calc!$E$403))=0,"",INDEX('Checks'!$G$4:$G$503,_calc!$E$403))&amp;". ")&amp;IF(LEN(IF(LEN(INDEX('Checks'!$Q$4:$Q$503,_calc!$E$403))=0,"",INDEX('Checks'!$Q$4:$Q$503,_calc!$E$403)))=0,"",IF(LEN(INDEX('Checks'!$Q$4:$Q$503,_calc!$E$403))=0,"",INDEX('Checks'!$Q$4:$Q$503,_calc!$E$403)))))</f>
        <v/>
      </c>
      <c r="G401" s="43">
        <f>IF(_calc!$E$403="","",IF(LEN(INDEX('Checks'!$P$4:$P$503,_calc!$E$403))=0,"",INDEX('Checks'!$P$4:$P$503,_calc!$E$403)))</f>
        <v/>
      </c>
      <c r="K401" s="43">
        <f>IF(_calc!$E$403="","",IF(LEN(INDEX('Checks'!$O$4:$O$503,_calc!$E$403))=0,"",INDEX('Checks'!$O$4:$O$503,_calc!$E$403)))</f>
        <v/>
      </c>
    </row>
    <row r="402">
      <c r="A402" s="43">
        <f>IF(_calc!$E$404="","","Right to work follow-up – "&amp;IF(LEN(INDEX('Checks'!$A$4:$A$503,_calc!$E$404))=0,"",INDEX('Checks'!$A$4:$A$503,_calc!$E$404)))</f>
        <v/>
      </c>
      <c r="B402" s="43">
        <f>IF(_calc!$E$404="","",IF(ISNUMBER(INDEX('Checks'!$H$4:$H$503,_calc!$E$404)),TEXT(INDEX('Checks'!$H$4:$H$503,_calc!$E$404),"yyyy-mm-dd"),""))</f>
        <v/>
      </c>
      <c r="C402" s="43">
        <f>IF(_calc!$E$404="","","Right to work")</f>
        <v/>
      </c>
      <c r="D402" s="43">
        <f>IF(_calc!$E$404="","",IF(ISNUMBER(INDEX('Checks'!$F$4:$F$503,_calc!$E$404)),TEXT(INDEX('Checks'!$F$4:$F$503,_calc!$E$404),"yyyy-mm-dd"),""))</f>
        <v/>
      </c>
      <c r="E402" s="43">
        <f>IF(_calc!$E$404="","","High")</f>
        <v/>
      </c>
      <c r="F402" s="43">
        <f>IF(_calc!$E$404="","",TRIM(IF(LEN(IF(LEN(INDEX('Checks'!$B$4:$B$503,_calc!$E$404))=0,"",INDEX('Checks'!$B$4:$B$503,_calc!$E$404)))=0,"","Role: "&amp;IF(LEN(INDEX('Checks'!$B$4:$B$503,_calc!$E$404))=0,"",INDEX('Checks'!$B$4:$B$503,_calc!$E$404))&amp;". ")&amp;IF(LEN(IF(LEN(INDEX('Checks'!$D$4:$D$503,_calc!$E$404))=0,"",INDEX('Checks'!$D$4:$D$503,_calc!$E$404)))=0,"","Check type: "&amp;IF(LEN(INDEX('Checks'!$D$4:$D$503,_calc!$E$404))=0,"",INDEX('Checks'!$D$4:$D$503,_calc!$E$404))&amp;". ")&amp;IF(LEN(IF(LEN(INDEX('Checks'!$E$4:$E$503,_calc!$E$404))=0,"",INDEX('Checks'!$E$4:$E$503,_calc!$E$404)))=0,"","Evidence: "&amp;IF(LEN(INDEX('Checks'!$E$4:$E$503,_calc!$E$404))=0,"",INDEX('Checks'!$E$4:$E$503,_calc!$E$404))&amp;". ")&amp;IF(LEN(IF(LEN(INDEX('Checks'!$G$4:$G$503,_calc!$E$404))=0,"",INDEX('Checks'!$G$4:$G$503,_calc!$E$404)))=0,"","Checked by: "&amp;IF(LEN(INDEX('Checks'!$G$4:$G$503,_calc!$E$404))=0,"",INDEX('Checks'!$G$4:$G$503,_calc!$E$404))&amp;". ")&amp;IF(LEN(IF(LEN(INDEX('Checks'!$Q$4:$Q$503,_calc!$E$404))=0,"",INDEX('Checks'!$Q$4:$Q$503,_calc!$E$404)))=0,"",IF(LEN(INDEX('Checks'!$Q$4:$Q$503,_calc!$E$404))=0,"",INDEX('Checks'!$Q$4:$Q$503,_calc!$E$404)))))</f>
        <v/>
      </c>
      <c r="G402" s="43">
        <f>IF(_calc!$E$404="","",IF(LEN(INDEX('Checks'!$P$4:$P$503,_calc!$E$404))=0,"",INDEX('Checks'!$P$4:$P$503,_calc!$E$404)))</f>
        <v/>
      </c>
      <c r="K402" s="43">
        <f>IF(_calc!$E$404="","",IF(LEN(INDEX('Checks'!$O$4:$O$503,_calc!$E$404))=0,"",INDEX('Checks'!$O$4:$O$503,_calc!$E$404)))</f>
        <v/>
      </c>
    </row>
    <row r="403">
      <c r="A403" s="43">
        <f>IF(_calc!$E$405="","","Right to work follow-up – "&amp;IF(LEN(INDEX('Checks'!$A$4:$A$503,_calc!$E$405))=0,"",INDEX('Checks'!$A$4:$A$503,_calc!$E$405)))</f>
        <v/>
      </c>
      <c r="B403" s="43">
        <f>IF(_calc!$E$405="","",IF(ISNUMBER(INDEX('Checks'!$H$4:$H$503,_calc!$E$405)),TEXT(INDEX('Checks'!$H$4:$H$503,_calc!$E$405),"yyyy-mm-dd"),""))</f>
        <v/>
      </c>
      <c r="C403" s="43">
        <f>IF(_calc!$E$405="","","Right to work")</f>
        <v/>
      </c>
      <c r="D403" s="43">
        <f>IF(_calc!$E$405="","",IF(ISNUMBER(INDEX('Checks'!$F$4:$F$503,_calc!$E$405)),TEXT(INDEX('Checks'!$F$4:$F$503,_calc!$E$405),"yyyy-mm-dd"),""))</f>
        <v/>
      </c>
      <c r="E403" s="43">
        <f>IF(_calc!$E$405="","","High")</f>
        <v/>
      </c>
      <c r="F403" s="43">
        <f>IF(_calc!$E$405="","",TRIM(IF(LEN(IF(LEN(INDEX('Checks'!$B$4:$B$503,_calc!$E$405))=0,"",INDEX('Checks'!$B$4:$B$503,_calc!$E$405)))=0,"","Role: "&amp;IF(LEN(INDEX('Checks'!$B$4:$B$503,_calc!$E$405))=0,"",INDEX('Checks'!$B$4:$B$503,_calc!$E$405))&amp;". ")&amp;IF(LEN(IF(LEN(INDEX('Checks'!$D$4:$D$503,_calc!$E$405))=0,"",INDEX('Checks'!$D$4:$D$503,_calc!$E$405)))=0,"","Check type: "&amp;IF(LEN(INDEX('Checks'!$D$4:$D$503,_calc!$E$405))=0,"",INDEX('Checks'!$D$4:$D$503,_calc!$E$405))&amp;". ")&amp;IF(LEN(IF(LEN(INDEX('Checks'!$E$4:$E$503,_calc!$E$405))=0,"",INDEX('Checks'!$E$4:$E$503,_calc!$E$405)))=0,"","Evidence: "&amp;IF(LEN(INDEX('Checks'!$E$4:$E$503,_calc!$E$405))=0,"",INDEX('Checks'!$E$4:$E$503,_calc!$E$405))&amp;". ")&amp;IF(LEN(IF(LEN(INDEX('Checks'!$G$4:$G$503,_calc!$E$405))=0,"",INDEX('Checks'!$G$4:$G$503,_calc!$E$405)))=0,"","Checked by: "&amp;IF(LEN(INDEX('Checks'!$G$4:$G$503,_calc!$E$405))=0,"",INDEX('Checks'!$G$4:$G$503,_calc!$E$405))&amp;". ")&amp;IF(LEN(IF(LEN(INDEX('Checks'!$Q$4:$Q$503,_calc!$E$405))=0,"",INDEX('Checks'!$Q$4:$Q$503,_calc!$E$405)))=0,"",IF(LEN(INDEX('Checks'!$Q$4:$Q$503,_calc!$E$405))=0,"",INDEX('Checks'!$Q$4:$Q$503,_calc!$E$405)))))</f>
        <v/>
      </c>
      <c r="G403" s="43">
        <f>IF(_calc!$E$405="","",IF(LEN(INDEX('Checks'!$P$4:$P$503,_calc!$E$405))=0,"",INDEX('Checks'!$P$4:$P$503,_calc!$E$405)))</f>
        <v/>
      </c>
      <c r="K403" s="43">
        <f>IF(_calc!$E$405="","",IF(LEN(INDEX('Checks'!$O$4:$O$503,_calc!$E$405))=0,"",INDEX('Checks'!$O$4:$O$503,_calc!$E$405)))</f>
        <v/>
      </c>
    </row>
    <row r="404">
      <c r="A404" s="43">
        <f>IF(_calc!$E$406="","","Right to work follow-up – "&amp;IF(LEN(INDEX('Checks'!$A$4:$A$503,_calc!$E$406))=0,"",INDEX('Checks'!$A$4:$A$503,_calc!$E$406)))</f>
        <v/>
      </c>
      <c r="B404" s="43">
        <f>IF(_calc!$E$406="","",IF(ISNUMBER(INDEX('Checks'!$H$4:$H$503,_calc!$E$406)),TEXT(INDEX('Checks'!$H$4:$H$503,_calc!$E$406),"yyyy-mm-dd"),""))</f>
        <v/>
      </c>
      <c r="C404" s="43">
        <f>IF(_calc!$E$406="","","Right to work")</f>
        <v/>
      </c>
      <c r="D404" s="43">
        <f>IF(_calc!$E$406="","",IF(ISNUMBER(INDEX('Checks'!$F$4:$F$503,_calc!$E$406)),TEXT(INDEX('Checks'!$F$4:$F$503,_calc!$E$406),"yyyy-mm-dd"),""))</f>
        <v/>
      </c>
      <c r="E404" s="43">
        <f>IF(_calc!$E$406="","","High")</f>
        <v/>
      </c>
      <c r="F404" s="43">
        <f>IF(_calc!$E$406="","",TRIM(IF(LEN(IF(LEN(INDEX('Checks'!$B$4:$B$503,_calc!$E$406))=0,"",INDEX('Checks'!$B$4:$B$503,_calc!$E$406)))=0,"","Role: "&amp;IF(LEN(INDEX('Checks'!$B$4:$B$503,_calc!$E$406))=0,"",INDEX('Checks'!$B$4:$B$503,_calc!$E$406))&amp;". ")&amp;IF(LEN(IF(LEN(INDEX('Checks'!$D$4:$D$503,_calc!$E$406))=0,"",INDEX('Checks'!$D$4:$D$503,_calc!$E$406)))=0,"","Check type: "&amp;IF(LEN(INDEX('Checks'!$D$4:$D$503,_calc!$E$406))=0,"",INDEX('Checks'!$D$4:$D$503,_calc!$E$406))&amp;". ")&amp;IF(LEN(IF(LEN(INDEX('Checks'!$E$4:$E$503,_calc!$E$406))=0,"",INDEX('Checks'!$E$4:$E$503,_calc!$E$406)))=0,"","Evidence: "&amp;IF(LEN(INDEX('Checks'!$E$4:$E$503,_calc!$E$406))=0,"",INDEX('Checks'!$E$4:$E$503,_calc!$E$406))&amp;". ")&amp;IF(LEN(IF(LEN(INDEX('Checks'!$G$4:$G$503,_calc!$E$406))=0,"",INDEX('Checks'!$G$4:$G$503,_calc!$E$406)))=0,"","Checked by: "&amp;IF(LEN(INDEX('Checks'!$G$4:$G$503,_calc!$E$406))=0,"",INDEX('Checks'!$G$4:$G$503,_calc!$E$406))&amp;". ")&amp;IF(LEN(IF(LEN(INDEX('Checks'!$Q$4:$Q$503,_calc!$E$406))=0,"",INDEX('Checks'!$Q$4:$Q$503,_calc!$E$406)))=0,"",IF(LEN(INDEX('Checks'!$Q$4:$Q$503,_calc!$E$406))=0,"",INDEX('Checks'!$Q$4:$Q$503,_calc!$E$406)))))</f>
        <v/>
      </c>
      <c r="G404" s="43">
        <f>IF(_calc!$E$406="","",IF(LEN(INDEX('Checks'!$P$4:$P$503,_calc!$E$406))=0,"",INDEX('Checks'!$P$4:$P$503,_calc!$E$406)))</f>
        <v/>
      </c>
      <c r="K404" s="43">
        <f>IF(_calc!$E$406="","",IF(LEN(INDEX('Checks'!$O$4:$O$503,_calc!$E$406))=0,"",INDEX('Checks'!$O$4:$O$503,_calc!$E$406)))</f>
        <v/>
      </c>
    </row>
    <row r="405">
      <c r="A405" s="43">
        <f>IF(_calc!$E$407="","","Right to work follow-up – "&amp;IF(LEN(INDEX('Checks'!$A$4:$A$503,_calc!$E$407))=0,"",INDEX('Checks'!$A$4:$A$503,_calc!$E$407)))</f>
        <v/>
      </c>
      <c r="B405" s="43">
        <f>IF(_calc!$E$407="","",IF(ISNUMBER(INDEX('Checks'!$H$4:$H$503,_calc!$E$407)),TEXT(INDEX('Checks'!$H$4:$H$503,_calc!$E$407),"yyyy-mm-dd"),""))</f>
        <v/>
      </c>
      <c r="C405" s="43">
        <f>IF(_calc!$E$407="","","Right to work")</f>
        <v/>
      </c>
      <c r="D405" s="43">
        <f>IF(_calc!$E$407="","",IF(ISNUMBER(INDEX('Checks'!$F$4:$F$503,_calc!$E$407)),TEXT(INDEX('Checks'!$F$4:$F$503,_calc!$E$407),"yyyy-mm-dd"),""))</f>
        <v/>
      </c>
      <c r="E405" s="43">
        <f>IF(_calc!$E$407="","","High")</f>
        <v/>
      </c>
      <c r="F405" s="43">
        <f>IF(_calc!$E$407="","",TRIM(IF(LEN(IF(LEN(INDEX('Checks'!$B$4:$B$503,_calc!$E$407))=0,"",INDEX('Checks'!$B$4:$B$503,_calc!$E$407)))=0,"","Role: "&amp;IF(LEN(INDEX('Checks'!$B$4:$B$503,_calc!$E$407))=0,"",INDEX('Checks'!$B$4:$B$503,_calc!$E$407))&amp;". ")&amp;IF(LEN(IF(LEN(INDEX('Checks'!$D$4:$D$503,_calc!$E$407))=0,"",INDEX('Checks'!$D$4:$D$503,_calc!$E$407)))=0,"","Check type: "&amp;IF(LEN(INDEX('Checks'!$D$4:$D$503,_calc!$E$407))=0,"",INDEX('Checks'!$D$4:$D$503,_calc!$E$407))&amp;". ")&amp;IF(LEN(IF(LEN(INDEX('Checks'!$E$4:$E$503,_calc!$E$407))=0,"",INDEX('Checks'!$E$4:$E$503,_calc!$E$407)))=0,"","Evidence: "&amp;IF(LEN(INDEX('Checks'!$E$4:$E$503,_calc!$E$407))=0,"",INDEX('Checks'!$E$4:$E$503,_calc!$E$407))&amp;". ")&amp;IF(LEN(IF(LEN(INDEX('Checks'!$G$4:$G$503,_calc!$E$407))=0,"",INDEX('Checks'!$G$4:$G$503,_calc!$E$407)))=0,"","Checked by: "&amp;IF(LEN(INDEX('Checks'!$G$4:$G$503,_calc!$E$407))=0,"",INDEX('Checks'!$G$4:$G$503,_calc!$E$407))&amp;". ")&amp;IF(LEN(IF(LEN(INDEX('Checks'!$Q$4:$Q$503,_calc!$E$407))=0,"",INDEX('Checks'!$Q$4:$Q$503,_calc!$E$407)))=0,"",IF(LEN(INDEX('Checks'!$Q$4:$Q$503,_calc!$E$407))=0,"",INDEX('Checks'!$Q$4:$Q$503,_calc!$E$407)))))</f>
        <v/>
      </c>
      <c r="G405" s="43">
        <f>IF(_calc!$E$407="","",IF(LEN(INDEX('Checks'!$P$4:$P$503,_calc!$E$407))=0,"",INDEX('Checks'!$P$4:$P$503,_calc!$E$407)))</f>
        <v/>
      </c>
      <c r="K405" s="43">
        <f>IF(_calc!$E$407="","",IF(LEN(INDEX('Checks'!$O$4:$O$503,_calc!$E$407))=0,"",INDEX('Checks'!$O$4:$O$503,_calc!$E$407)))</f>
        <v/>
      </c>
    </row>
    <row r="406">
      <c r="A406" s="43">
        <f>IF(_calc!$E$408="","","Right to work follow-up – "&amp;IF(LEN(INDEX('Checks'!$A$4:$A$503,_calc!$E$408))=0,"",INDEX('Checks'!$A$4:$A$503,_calc!$E$408)))</f>
        <v/>
      </c>
      <c r="B406" s="43">
        <f>IF(_calc!$E$408="","",IF(ISNUMBER(INDEX('Checks'!$H$4:$H$503,_calc!$E$408)),TEXT(INDEX('Checks'!$H$4:$H$503,_calc!$E$408),"yyyy-mm-dd"),""))</f>
        <v/>
      </c>
      <c r="C406" s="43">
        <f>IF(_calc!$E$408="","","Right to work")</f>
        <v/>
      </c>
      <c r="D406" s="43">
        <f>IF(_calc!$E$408="","",IF(ISNUMBER(INDEX('Checks'!$F$4:$F$503,_calc!$E$408)),TEXT(INDEX('Checks'!$F$4:$F$503,_calc!$E$408),"yyyy-mm-dd"),""))</f>
        <v/>
      </c>
      <c r="E406" s="43">
        <f>IF(_calc!$E$408="","","High")</f>
        <v/>
      </c>
      <c r="F406" s="43">
        <f>IF(_calc!$E$408="","",TRIM(IF(LEN(IF(LEN(INDEX('Checks'!$B$4:$B$503,_calc!$E$408))=0,"",INDEX('Checks'!$B$4:$B$503,_calc!$E$408)))=0,"","Role: "&amp;IF(LEN(INDEX('Checks'!$B$4:$B$503,_calc!$E$408))=0,"",INDEX('Checks'!$B$4:$B$503,_calc!$E$408))&amp;". ")&amp;IF(LEN(IF(LEN(INDEX('Checks'!$D$4:$D$503,_calc!$E$408))=0,"",INDEX('Checks'!$D$4:$D$503,_calc!$E$408)))=0,"","Check type: "&amp;IF(LEN(INDEX('Checks'!$D$4:$D$503,_calc!$E$408))=0,"",INDEX('Checks'!$D$4:$D$503,_calc!$E$408))&amp;". ")&amp;IF(LEN(IF(LEN(INDEX('Checks'!$E$4:$E$503,_calc!$E$408))=0,"",INDEX('Checks'!$E$4:$E$503,_calc!$E$408)))=0,"","Evidence: "&amp;IF(LEN(INDEX('Checks'!$E$4:$E$503,_calc!$E$408))=0,"",INDEX('Checks'!$E$4:$E$503,_calc!$E$408))&amp;". ")&amp;IF(LEN(IF(LEN(INDEX('Checks'!$G$4:$G$503,_calc!$E$408))=0,"",INDEX('Checks'!$G$4:$G$503,_calc!$E$408)))=0,"","Checked by: "&amp;IF(LEN(INDEX('Checks'!$G$4:$G$503,_calc!$E$408))=0,"",INDEX('Checks'!$G$4:$G$503,_calc!$E$408))&amp;". ")&amp;IF(LEN(IF(LEN(INDEX('Checks'!$Q$4:$Q$503,_calc!$E$408))=0,"",INDEX('Checks'!$Q$4:$Q$503,_calc!$E$408)))=0,"",IF(LEN(INDEX('Checks'!$Q$4:$Q$503,_calc!$E$408))=0,"",INDEX('Checks'!$Q$4:$Q$503,_calc!$E$408)))))</f>
        <v/>
      </c>
      <c r="G406" s="43">
        <f>IF(_calc!$E$408="","",IF(LEN(INDEX('Checks'!$P$4:$P$503,_calc!$E$408))=0,"",INDEX('Checks'!$P$4:$P$503,_calc!$E$408)))</f>
        <v/>
      </c>
      <c r="K406" s="43">
        <f>IF(_calc!$E$408="","",IF(LEN(INDEX('Checks'!$O$4:$O$503,_calc!$E$408))=0,"",INDEX('Checks'!$O$4:$O$503,_calc!$E$408)))</f>
        <v/>
      </c>
    </row>
    <row r="407">
      <c r="A407" s="43">
        <f>IF(_calc!$E$409="","","Right to work follow-up – "&amp;IF(LEN(INDEX('Checks'!$A$4:$A$503,_calc!$E$409))=0,"",INDEX('Checks'!$A$4:$A$503,_calc!$E$409)))</f>
        <v/>
      </c>
      <c r="B407" s="43">
        <f>IF(_calc!$E$409="","",IF(ISNUMBER(INDEX('Checks'!$H$4:$H$503,_calc!$E$409)),TEXT(INDEX('Checks'!$H$4:$H$503,_calc!$E$409),"yyyy-mm-dd"),""))</f>
        <v/>
      </c>
      <c r="C407" s="43">
        <f>IF(_calc!$E$409="","","Right to work")</f>
        <v/>
      </c>
      <c r="D407" s="43">
        <f>IF(_calc!$E$409="","",IF(ISNUMBER(INDEX('Checks'!$F$4:$F$503,_calc!$E$409)),TEXT(INDEX('Checks'!$F$4:$F$503,_calc!$E$409),"yyyy-mm-dd"),""))</f>
        <v/>
      </c>
      <c r="E407" s="43">
        <f>IF(_calc!$E$409="","","High")</f>
        <v/>
      </c>
      <c r="F407" s="43">
        <f>IF(_calc!$E$409="","",TRIM(IF(LEN(IF(LEN(INDEX('Checks'!$B$4:$B$503,_calc!$E$409))=0,"",INDEX('Checks'!$B$4:$B$503,_calc!$E$409)))=0,"","Role: "&amp;IF(LEN(INDEX('Checks'!$B$4:$B$503,_calc!$E$409))=0,"",INDEX('Checks'!$B$4:$B$503,_calc!$E$409))&amp;". ")&amp;IF(LEN(IF(LEN(INDEX('Checks'!$D$4:$D$503,_calc!$E$409))=0,"",INDEX('Checks'!$D$4:$D$503,_calc!$E$409)))=0,"","Check type: "&amp;IF(LEN(INDEX('Checks'!$D$4:$D$503,_calc!$E$409))=0,"",INDEX('Checks'!$D$4:$D$503,_calc!$E$409))&amp;". ")&amp;IF(LEN(IF(LEN(INDEX('Checks'!$E$4:$E$503,_calc!$E$409))=0,"",INDEX('Checks'!$E$4:$E$503,_calc!$E$409)))=0,"","Evidence: "&amp;IF(LEN(INDEX('Checks'!$E$4:$E$503,_calc!$E$409))=0,"",INDEX('Checks'!$E$4:$E$503,_calc!$E$409))&amp;". ")&amp;IF(LEN(IF(LEN(INDEX('Checks'!$G$4:$G$503,_calc!$E$409))=0,"",INDEX('Checks'!$G$4:$G$503,_calc!$E$409)))=0,"","Checked by: "&amp;IF(LEN(INDEX('Checks'!$G$4:$G$503,_calc!$E$409))=0,"",INDEX('Checks'!$G$4:$G$503,_calc!$E$409))&amp;". ")&amp;IF(LEN(IF(LEN(INDEX('Checks'!$Q$4:$Q$503,_calc!$E$409))=0,"",INDEX('Checks'!$Q$4:$Q$503,_calc!$E$409)))=0,"",IF(LEN(INDEX('Checks'!$Q$4:$Q$503,_calc!$E$409))=0,"",INDEX('Checks'!$Q$4:$Q$503,_calc!$E$409)))))</f>
        <v/>
      </c>
      <c r="G407" s="43">
        <f>IF(_calc!$E$409="","",IF(LEN(INDEX('Checks'!$P$4:$P$503,_calc!$E$409))=0,"",INDEX('Checks'!$P$4:$P$503,_calc!$E$409)))</f>
        <v/>
      </c>
      <c r="K407" s="43">
        <f>IF(_calc!$E$409="","",IF(LEN(INDEX('Checks'!$O$4:$O$503,_calc!$E$409))=0,"",INDEX('Checks'!$O$4:$O$503,_calc!$E$409)))</f>
        <v/>
      </c>
    </row>
    <row r="408">
      <c r="A408" s="43">
        <f>IF(_calc!$E$410="","","Right to work follow-up – "&amp;IF(LEN(INDEX('Checks'!$A$4:$A$503,_calc!$E$410))=0,"",INDEX('Checks'!$A$4:$A$503,_calc!$E$410)))</f>
        <v/>
      </c>
      <c r="B408" s="43">
        <f>IF(_calc!$E$410="","",IF(ISNUMBER(INDEX('Checks'!$H$4:$H$503,_calc!$E$410)),TEXT(INDEX('Checks'!$H$4:$H$503,_calc!$E$410),"yyyy-mm-dd"),""))</f>
        <v/>
      </c>
      <c r="C408" s="43">
        <f>IF(_calc!$E$410="","","Right to work")</f>
        <v/>
      </c>
      <c r="D408" s="43">
        <f>IF(_calc!$E$410="","",IF(ISNUMBER(INDEX('Checks'!$F$4:$F$503,_calc!$E$410)),TEXT(INDEX('Checks'!$F$4:$F$503,_calc!$E$410),"yyyy-mm-dd"),""))</f>
        <v/>
      </c>
      <c r="E408" s="43">
        <f>IF(_calc!$E$410="","","High")</f>
        <v/>
      </c>
      <c r="F408" s="43">
        <f>IF(_calc!$E$410="","",TRIM(IF(LEN(IF(LEN(INDEX('Checks'!$B$4:$B$503,_calc!$E$410))=0,"",INDEX('Checks'!$B$4:$B$503,_calc!$E$410)))=0,"","Role: "&amp;IF(LEN(INDEX('Checks'!$B$4:$B$503,_calc!$E$410))=0,"",INDEX('Checks'!$B$4:$B$503,_calc!$E$410))&amp;". ")&amp;IF(LEN(IF(LEN(INDEX('Checks'!$D$4:$D$503,_calc!$E$410))=0,"",INDEX('Checks'!$D$4:$D$503,_calc!$E$410)))=0,"","Check type: "&amp;IF(LEN(INDEX('Checks'!$D$4:$D$503,_calc!$E$410))=0,"",INDEX('Checks'!$D$4:$D$503,_calc!$E$410))&amp;". ")&amp;IF(LEN(IF(LEN(INDEX('Checks'!$E$4:$E$503,_calc!$E$410))=0,"",INDEX('Checks'!$E$4:$E$503,_calc!$E$410)))=0,"","Evidence: "&amp;IF(LEN(INDEX('Checks'!$E$4:$E$503,_calc!$E$410))=0,"",INDEX('Checks'!$E$4:$E$503,_calc!$E$410))&amp;". ")&amp;IF(LEN(IF(LEN(INDEX('Checks'!$G$4:$G$503,_calc!$E$410))=0,"",INDEX('Checks'!$G$4:$G$503,_calc!$E$410)))=0,"","Checked by: "&amp;IF(LEN(INDEX('Checks'!$G$4:$G$503,_calc!$E$410))=0,"",INDEX('Checks'!$G$4:$G$503,_calc!$E$410))&amp;". ")&amp;IF(LEN(IF(LEN(INDEX('Checks'!$Q$4:$Q$503,_calc!$E$410))=0,"",INDEX('Checks'!$Q$4:$Q$503,_calc!$E$410)))=0,"",IF(LEN(INDEX('Checks'!$Q$4:$Q$503,_calc!$E$410))=0,"",INDEX('Checks'!$Q$4:$Q$503,_calc!$E$410)))))</f>
        <v/>
      </c>
      <c r="G408" s="43">
        <f>IF(_calc!$E$410="","",IF(LEN(INDEX('Checks'!$P$4:$P$503,_calc!$E$410))=0,"",INDEX('Checks'!$P$4:$P$503,_calc!$E$410)))</f>
        <v/>
      </c>
      <c r="K408" s="43">
        <f>IF(_calc!$E$410="","",IF(LEN(INDEX('Checks'!$O$4:$O$503,_calc!$E$410))=0,"",INDEX('Checks'!$O$4:$O$503,_calc!$E$410)))</f>
        <v/>
      </c>
    </row>
    <row r="409">
      <c r="A409" s="43">
        <f>IF(_calc!$E$411="","","Right to work follow-up – "&amp;IF(LEN(INDEX('Checks'!$A$4:$A$503,_calc!$E$411))=0,"",INDEX('Checks'!$A$4:$A$503,_calc!$E$411)))</f>
        <v/>
      </c>
      <c r="B409" s="43">
        <f>IF(_calc!$E$411="","",IF(ISNUMBER(INDEX('Checks'!$H$4:$H$503,_calc!$E$411)),TEXT(INDEX('Checks'!$H$4:$H$503,_calc!$E$411),"yyyy-mm-dd"),""))</f>
        <v/>
      </c>
      <c r="C409" s="43">
        <f>IF(_calc!$E$411="","","Right to work")</f>
        <v/>
      </c>
      <c r="D409" s="43">
        <f>IF(_calc!$E$411="","",IF(ISNUMBER(INDEX('Checks'!$F$4:$F$503,_calc!$E$411)),TEXT(INDEX('Checks'!$F$4:$F$503,_calc!$E$411),"yyyy-mm-dd"),""))</f>
        <v/>
      </c>
      <c r="E409" s="43">
        <f>IF(_calc!$E$411="","","High")</f>
        <v/>
      </c>
      <c r="F409" s="43">
        <f>IF(_calc!$E$411="","",TRIM(IF(LEN(IF(LEN(INDEX('Checks'!$B$4:$B$503,_calc!$E$411))=0,"",INDEX('Checks'!$B$4:$B$503,_calc!$E$411)))=0,"","Role: "&amp;IF(LEN(INDEX('Checks'!$B$4:$B$503,_calc!$E$411))=0,"",INDEX('Checks'!$B$4:$B$503,_calc!$E$411))&amp;". ")&amp;IF(LEN(IF(LEN(INDEX('Checks'!$D$4:$D$503,_calc!$E$411))=0,"",INDEX('Checks'!$D$4:$D$503,_calc!$E$411)))=0,"","Check type: "&amp;IF(LEN(INDEX('Checks'!$D$4:$D$503,_calc!$E$411))=0,"",INDEX('Checks'!$D$4:$D$503,_calc!$E$411))&amp;". ")&amp;IF(LEN(IF(LEN(INDEX('Checks'!$E$4:$E$503,_calc!$E$411))=0,"",INDEX('Checks'!$E$4:$E$503,_calc!$E$411)))=0,"","Evidence: "&amp;IF(LEN(INDEX('Checks'!$E$4:$E$503,_calc!$E$411))=0,"",INDEX('Checks'!$E$4:$E$503,_calc!$E$411))&amp;". ")&amp;IF(LEN(IF(LEN(INDEX('Checks'!$G$4:$G$503,_calc!$E$411))=0,"",INDEX('Checks'!$G$4:$G$503,_calc!$E$411)))=0,"","Checked by: "&amp;IF(LEN(INDEX('Checks'!$G$4:$G$503,_calc!$E$411))=0,"",INDEX('Checks'!$G$4:$G$503,_calc!$E$411))&amp;". ")&amp;IF(LEN(IF(LEN(INDEX('Checks'!$Q$4:$Q$503,_calc!$E$411))=0,"",INDEX('Checks'!$Q$4:$Q$503,_calc!$E$411)))=0,"",IF(LEN(INDEX('Checks'!$Q$4:$Q$503,_calc!$E$411))=0,"",INDEX('Checks'!$Q$4:$Q$503,_calc!$E$411)))))</f>
        <v/>
      </c>
      <c r="G409" s="43">
        <f>IF(_calc!$E$411="","",IF(LEN(INDEX('Checks'!$P$4:$P$503,_calc!$E$411))=0,"",INDEX('Checks'!$P$4:$P$503,_calc!$E$411)))</f>
        <v/>
      </c>
      <c r="K409" s="43">
        <f>IF(_calc!$E$411="","",IF(LEN(INDEX('Checks'!$O$4:$O$503,_calc!$E$411))=0,"",INDEX('Checks'!$O$4:$O$503,_calc!$E$411)))</f>
        <v/>
      </c>
    </row>
    <row r="410">
      <c r="A410" s="43">
        <f>IF(_calc!$E$412="","","Right to work follow-up – "&amp;IF(LEN(INDEX('Checks'!$A$4:$A$503,_calc!$E$412))=0,"",INDEX('Checks'!$A$4:$A$503,_calc!$E$412)))</f>
        <v/>
      </c>
      <c r="B410" s="43">
        <f>IF(_calc!$E$412="","",IF(ISNUMBER(INDEX('Checks'!$H$4:$H$503,_calc!$E$412)),TEXT(INDEX('Checks'!$H$4:$H$503,_calc!$E$412),"yyyy-mm-dd"),""))</f>
        <v/>
      </c>
      <c r="C410" s="43">
        <f>IF(_calc!$E$412="","","Right to work")</f>
        <v/>
      </c>
      <c r="D410" s="43">
        <f>IF(_calc!$E$412="","",IF(ISNUMBER(INDEX('Checks'!$F$4:$F$503,_calc!$E$412)),TEXT(INDEX('Checks'!$F$4:$F$503,_calc!$E$412),"yyyy-mm-dd"),""))</f>
        <v/>
      </c>
      <c r="E410" s="43">
        <f>IF(_calc!$E$412="","","High")</f>
        <v/>
      </c>
      <c r="F410" s="43">
        <f>IF(_calc!$E$412="","",TRIM(IF(LEN(IF(LEN(INDEX('Checks'!$B$4:$B$503,_calc!$E$412))=0,"",INDEX('Checks'!$B$4:$B$503,_calc!$E$412)))=0,"","Role: "&amp;IF(LEN(INDEX('Checks'!$B$4:$B$503,_calc!$E$412))=0,"",INDEX('Checks'!$B$4:$B$503,_calc!$E$412))&amp;". ")&amp;IF(LEN(IF(LEN(INDEX('Checks'!$D$4:$D$503,_calc!$E$412))=0,"",INDEX('Checks'!$D$4:$D$503,_calc!$E$412)))=0,"","Check type: "&amp;IF(LEN(INDEX('Checks'!$D$4:$D$503,_calc!$E$412))=0,"",INDEX('Checks'!$D$4:$D$503,_calc!$E$412))&amp;". ")&amp;IF(LEN(IF(LEN(INDEX('Checks'!$E$4:$E$503,_calc!$E$412))=0,"",INDEX('Checks'!$E$4:$E$503,_calc!$E$412)))=0,"","Evidence: "&amp;IF(LEN(INDEX('Checks'!$E$4:$E$503,_calc!$E$412))=0,"",INDEX('Checks'!$E$4:$E$503,_calc!$E$412))&amp;". ")&amp;IF(LEN(IF(LEN(INDEX('Checks'!$G$4:$G$503,_calc!$E$412))=0,"",INDEX('Checks'!$G$4:$G$503,_calc!$E$412)))=0,"","Checked by: "&amp;IF(LEN(INDEX('Checks'!$G$4:$G$503,_calc!$E$412))=0,"",INDEX('Checks'!$G$4:$G$503,_calc!$E$412))&amp;". ")&amp;IF(LEN(IF(LEN(INDEX('Checks'!$Q$4:$Q$503,_calc!$E$412))=0,"",INDEX('Checks'!$Q$4:$Q$503,_calc!$E$412)))=0,"",IF(LEN(INDEX('Checks'!$Q$4:$Q$503,_calc!$E$412))=0,"",INDEX('Checks'!$Q$4:$Q$503,_calc!$E$412)))))</f>
        <v/>
      </c>
      <c r="G410" s="43">
        <f>IF(_calc!$E$412="","",IF(LEN(INDEX('Checks'!$P$4:$P$503,_calc!$E$412))=0,"",INDEX('Checks'!$P$4:$P$503,_calc!$E$412)))</f>
        <v/>
      </c>
      <c r="K410" s="43">
        <f>IF(_calc!$E$412="","",IF(LEN(INDEX('Checks'!$O$4:$O$503,_calc!$E$412))=0,"",INDEX('Checks'!$O$4:$O$503,_calc!$E$412)))</f>
        <v/>
      </c>
    </row>
    <row r="411">
      <c r="A411" s="43">
        <f>IF(_calc!$E$413="","","Right to work follow-up – "&amp;IF(LEN(INDEX('Checks'!$A$4:$A$503,_calc!$E$413))=0,"",INDEX('Checks'!$A$4:$A$503,_calc!$E$413)))</f>
        <v/>
      </c>
      <c r="B411" s="43">
        <f>IF(_calc!$E$413="","",IF(ISNUMBER(INDEX('Checks'!$H$4:$H$503,_calc!$E$413)),TEXT(INDEX('Checks'!$H$4:$H$503,_calc!$E$413),"yyyy-mm-dd"),""))</f>
        <v/>
      </c>
      <c r="C411" s="43">
        <f>IF(_calc!$E$413="","","Right to work")</f>
        <v/>
      </c>
      <c r="D411" s="43">
        <f>IF(_calc!$E$413="","",IF(ISNUMBER(INDEX('Checks'!$F$4:$F$503,_calc!$E$413)),TEXT(INDEX('Checks'!$F$4:$F$503,_calc!$E$413),"yyyy-mm-dd"),""))</f>
        <v/>
      </c>
      <c r="E411" s="43">
        <f>IF(_calc!$E$413="","","High")</f>
        <v/>
      </c>
      <c r="F411" s="43">
        <f>IF(_calc!$E$413="","",TRIM(IF(LEN(IF(LEN(INDEX('Checks'!$B$4:$B$503,_calc!$E$413))=0,"",INDEX('Checks'!$B$4:$B$503,_calc!$E$413)))=0,"","Role: "&amp;IF(LEN(INDEX('Checks'!$B$4:$B$503,_calc!$E$413))=0,"",INDEX('Checks'!$B$4:$B$503,_calc!$E$413))&amp;". ")&amp;IF(LEN(IF(LEN(INDEX('Checks'!$D$4:$D$503,_calc!$E$413))=0,"",INDEX('Checks'!$D$4:$D$503,_calc!$E$413)))=0,"","Check type: "&amp;IF(LEN(INDEX('Checks'!$D$4:$D$503,_calc!$E$413))=0,"",INDEX('Checks'!$D$4:$D$503,_calc!$E$413))&amp;". ")&amp;IF(LEN(IF(LEN(INDEX('Checks'!$E$4:$E$503,_calc!$E$413))=0,"",INDEX('Checks'!$E$4:$E$503,_calc!$E$413)))=0,"","Evidence: "&amp;IF(LEN(INDEX('Checks'!$E$4:$E$503,_calc!$E$413))=0,"",INDEX('Checks'!$E$4:$E$503,_calc!$E$413))&amp;". ")&amp;IF(LEN(IF(LEN(INDEX('Checks'!$G$4:$G$503,_calc!$E$413))=0,"",INDEX('Checks'!$G$4:$G$503,_calc!$E$413)))=0,"","Checked by: "&amp;IF(LEN(INDEX('Checks'!$G$4:$G$503,_calc!$E$413))=0,"",INDEX('Checks'!$G$4:$G$503,_calc!$E$413))&amp;". ")&amp;IF(LEN(IF(LEN(INDEX('Checks'!$Q$4:$Q$503,_calc!$E$413))=0,"",INDEX('Checks'!$Q$4:$Q$503,_calc!$E$413)))=0,"",IF(LEN(INDEX('Checks'!$Q$4:$Q$503,_calc!$E$413))=0,"",INDEX('Checks'!$Q$4:$Q$503,_calc!$E$413)))))</f>
        <v/>
      </c>
      <c r="G411" s="43">
        <f>IF(_calc!$E$413="","",IF(LEN(INDEX('Checks'!$P$4:$P$503,_calc!$E$413))=0,"",INDEX('Checks'!$P$4:$P$503,_calc!$E$413)))</f>
        <v/>
      </c>
      <c r="K411" s="43">
        <f>IF(_calc!$E$413="","",IF(LEN(INDEX('Checks'!$O$4:$O$503,_calc!$E$413))=0,"",INDEX('Checks'!$O$4:$O$503,_calc!$E$413)))</f>
        <v/>
      </c>
    </row>
    <row r="412">
      <c r="A412" s="43">
        <f>IF(_calc!$E$414="","","Right to work follow-up – "&amp;IF(LEN(INDEX('Checks'!$A$4:$A$503,_calc!$E$414))=0,"",INDEX('Checks'!$A$4:$A$503,_calc!$E$414)))</f>
        <v/>
      </c>
      <c r="B412" s="43">
        <f>IF(_calc!$E$414="","",IF(ISNUMBER(INDEX('Checks'!$H$4:$H$503,_calc!$E$414)),TEXT(INDEX('Checks'!$H$4:$H$503,_calc!$E$414),"yyyy-mm-dd"),""))</f>
        <v/>
      </c>
      <c r="C412" s="43">
        <f>IF(_calc!$E$414="","","Right to work")</f>
        <v/>
      </c>
      <c r="D412" s="43">
        <f>IF(_calc!$E$414="","",IF(ISNUMBER(INDEX('Checks'!$F$4:$F$503,_calc!$E$414)),TEXT(INDEX('Checks'!$F$4:$F$503,_calc!$E$414),"yyyy-mm-dd"),""))</f>
        <v/>
      </c>
      <c r="E412" s="43">
        <f>IF(_calc!$E$414="","","High")</f>
        <v/>
      </c>
      <c r="F412" s="43">
        <f>IF(_calc!$E$414="","",TRIM(IF(LEN(IF(LEN(INDEX('Checks'!$B$4:$B$503,_calc!$E$414))=0,"",INDEX('Checks'!$B$4:$B$503,_calc!$E$414)))=0,"","Role: "&amp;IF(LEN(INDEX('Checks'!$B$4:$B$503,_calc!$E$414))=0,"",INDEX('Checks'!$B$4:$B$503,_calc!$E$414))&amp;". ")&amp;IF(LEN(IF(LEN(INDEX('Checks'!$D$4:$D$503,_calc!$E$414))=0,"",INDEX('Checks'!$D$4:$D$503,_calc!$E$414)))=0,"","Check type: "&amp;IF(LEN(INDEX('Checks'!$D$4:$D$503,_calc!$E$414))=0,"",INDEX('Checks'!$D$4:$D$503,_calc!$E$414))&amp;". ")&amp;IF(LEN(IF(LEN(INDEX('Checks'!$E$4:$E$503,_calc!$E$414))=0,"",INDEX('Checks'!$E$4:$E$503,_calc!$E$414)))=0,"","Evidence: "&amp;IF(LEN(INDEX('Checks'!$E$4:$E$503,_calc!$E$414))=0,"",INDEX('Checks'!$E$4:$E$503,_calc!$E$414))&amp;". ")&amp;IF(LEN(IF(LEN(INDEX('Checks'!$G$4:$G$503,_calc!$E$414))=0,"",INDEX('Checks'!$G$4:$G$503,_calc!$E$414)))=0,"","Checked by: "&amp;IF(LEN(INDEX('Checks'!$G$4:$G$503,_calc!$E$414))=0,"",INDEX('Checks'!$G$4:$G$503,_calc!$E$414))&amp;". ")&amp;IF(LEN(IF(LEN(INDEX('Checks'!$Q$4:$Q$503,_calc!$E$414))=0,"",INDEX('Checks'!$Q$4:$Q$503,_calc!$E$414)))=0,"",IF(LEN(INDEX('Checks'!$Q$4:$Q$503,_calc!$E$414))=0,"",INDEX('Checks'!$Q$4:$Q$503,_calc!$E$414)))))</f>
        <v/>
      </c>
      <c r="G412" s="43">
        <f>IF(_calc!$E$414="","",IF(LEN(INDEX('Checks'!$P$4:$P$503,_calc!$E$414))=0,"",INDEX('Checks'!$P$4:$P$503,_calc!$E$414)))</f>
        <v/>
      </c>
      <c r="K412" s="43">
        <f>IF(_calc!$E$414="","",IF(LEN(INDEX('Checks'!$O$4:$O$503,_calc!$E$414))=0,"",INDEX('Checks'!$O$4:$O$503,_calc!$E$414)))</f>
        <v/>
      </c>
    </row>
    <row r="413">
      <c r="A413" s="43">
        <f>IF(_calc!$E$415="","","Right to work follow-up – "&amp;IF(LEN(INDEX('Checks'!$A$4:$A$503,_calc!$E$415))=0,"",INDEX('Checks'!$A$4:$A$503,_calc!$E$415)))</f>
        <v/>
      </c>
      <c r="B413" s="43">
        <f>IF(_calc!$E$415="","",IF(ISNUMBER(INDEX('Checks'!$H$4:$H$503,_calc!$E$415)),TEXT(INDEX('Checks'!$H$4:$H$503,_calc!$E$415),"yyyy-mm-dd"),""))</f>
        <v/>
      </c>
      <c r="C413" s="43">
        <f>IF(_calc!$E$415="","","Right to work")</f>
        <v/>
      </c>
      <c r="D413" s="43">
        <f>IF(_calc!$E$415="","",IF(ISNUMBER(INDEX('Checks'!$F$4:$F$503,_calc!$E$415)),TEXT(INDEX('Checks'!$F$4:$F$503,_calc!$E$415),"yyyy-mm-dd"),""))</f>
        <v/>
      </c>
      <c r="E413" s="43">
        <f>IF(_calc!$E$415="","","High")</f>
        <v/>
      </c>
      <c r="F413" s="43">
        <f>IF(_calc!$E$415="","",TRIM(IF(LEN(IF(LEN(INDEX('Checks'!$B$4:$B$503,_calc!$E$415))=0,"",INDEX('Checks'!$B$4:$B$503,_calc!$E$415)))=0,"","Role: "&amp;IF(LEN(INDEX('Checks'!$B$4:$B$503,_calc!$E$415))=0,"",INDEX('Checks'!$B$4:$B$503,_calc!$E$415))&amp;". ")&amp;IF(LEN(IF(LEN(INDEX('Checks'!$D$4:$D$503,_calc!$E$415))=0,"",INDEX('Checks'!$D$4:$D$503,_calc!$E$415)))=0,"","Check type: "&amp;IF(LEN(INDEX('Checks'!$D$4:$D$503,_calc!$E$415))=0,"",INDEX('Checks'!$D$4:$D$503,_calc!$E$415))&amp;". ")&amp;IF(LEN(IF(LEN(INDEX('Checks'!$E$4:$E$503,_calc!$E$415))=0,"",INDEX('Checks'!$E$4:$E$503,_calc!$E$415)))=0,"","Evidence: "&amp;IF(LEN(INDEX('Checks'!$E$4:$E$503,_calc!$E$415))=0,"",INDEX('Checks'!$E$4:$E$503,_calc!$E$415))&amp;". ")&amp;IF(LEN(IF(LEN(INDEX('Checks'!$G$4:$G$503,_calc!$E$415))=0,"",INDEX('Checks'!$G$4:$G$503,_calc!$E$415)))=0,"","Checked by: "&amp;IF(LEN(INDEX('Checks'!$G$4:$G$503,_calc!$E$415))=0,"",INDEX('Checks'!$G$4:$G$503,_calc!$E$415))&amp;". ")&amp;IF(LEN(IF(LEN(INDEX('Checks'!$Q$4:$Q$503,_calc!$E$415))=0,"",INDEX('Checks'!$Q$4:$Q$503,_calc!$E$415)))=0,"",IF(LEN(INDEX('Checks'!$Q$4:$Q$503,_calc!$E$415))=0,"",INDEX('Checks'!$Q$4:$Q$503,_calc!$E$415)))))</f>
        <v/>
      </c>
      <c r="G413" s="43">
        <f>IF(_calc!$E$415="","",IF(LEN(INDEX('Checks'!$P$4:$P$503,_calc!$E$415))=0,"",INDEX('Checks'!$P$4:$P$503,_calc!$E$415)))</f>
        <v/>
      </c>
      <c r="K413" s="43">
        <f>IF(_calc!$E$415="","",IF(LEN(INDEX('Checks'!$O$4:$O$503,_calc!$E$415))=0,"",INDEX('Checks'!$O$4:$O$503,_calc!$E$415)))</f>
        <v/>
      </c>
    </row>
    <row r="414">
      <c r="A414" s="43">
        <f>IF(_calc!$E$416="","","Right to work follow-up – "&amp;IF(LEN(INDEX('Checks'!$A$4:$A$503,_calc!$E$416))=0,"",INDEX('Checks'!$A$4:$A$503,_calc!$E$416)))</f>
        <v/>
      </c>
      <c r="B414" s="43">
        <f>IF(_calc!$E$416="","",IF(ISNUMBER(INDEX('Checks'!$H$4:$H$503,_calc!$E$416)),TEXT(INDEX('Checks'!$H$4:$H$503,_calc!$E$416),"yyyy-mm-dd"),""))</f>
        <v/>
      </c>
      <c r="C414" s="43">
        <f>IF(_calc!$E$416="","","Right to work")</f>
        <v/>
      </c>
      <c r="D414" s="43">
        <f>IF(_calc!$E$416="","",IF(ISNUMBER(INDEX('Checks'!$F$4:$F$503,_calc!$E$416)),TEXT(INDEX('Checks'!$F$4:$F$503,_calc!$E$416),"yyyy-mm-dd"),""))</f>
        <v/>
      </c>
      <c r="E414" s="43">
        <f>IF(_calc!$E$416="","","High")</f>
        <v/>
      </c>
      <c r="F414" s="43">
        <f>IF(_calc!$E$416="","",TRIM(IF(LEN(IF(LEN(INDEX('Checks'!$B$4:$B$503,_calc!$E$416))=0,"",INDEX('Checks'!$B$4:$B$503,_calc!$E$416)))=0,"","Role: "&amp;IF(LEN(INDEX('Checks'!$B$4:$B$503,_calc!$E$416))=0,"",INDEX('Checks'!$B$4:$B$503,_calc!$E$416))&amp;". ")&amp;IF(LEN(IF(LEN(INDEX('Checks'!$D$4:$D$503,_calc!$E$416))=0,"",INDEX('Checks'!$D$4:$D$503,_calc!$E$416)))=0,"","Check type: "&amp;IF(LEN(INDEX('Checks'!$D$4:$D$503,_calc!$E$416))=0,"",INDEX('Checks'!$D$4:$D$503,_calc!$E$416))&amp;". ")&amp;IF(LEN(IF(LEN(INDEX('Checks'!$E$4:$E$503,_calc!$E$416))=0,"",INDEX('Checks'!$E$4:$E$503,_calc!$E$416)))=0,"","Evidence: "&amp;IF(LEN(INDEX('Checks'!$E$4:$E$503,_calc!$E$416))=0,"",INDEX('Checks'!$E$4:$E$503,_calc!$E$416))&amp;". ")&amp;IF(LEN(IF(LEN(INDEX('Checks'!$G$4:$G$503,_calc!$E$416))=0,"",INDEX('Checks'!$G$4:$G$503,_calc!$E$416)))=0,"","Checked by: "&amp;IF(LEN(INDEX('Checks'!$G$4:$G$503,_calc!$E$416))=0,"",INDEX('Checks'!$G$4:$G$503,_calc!$E$416))&amp;". ")&amp;IF(LEN(IF(LEN(INDEX('Checks'!$Q$4:$Q$503,_calc!$E$416))=0,"",INDEX('Checks'!$Q$4:$Q$503,_calc!$E$416)))=0,"",IF(LEN(INDEX('Checks'!$Q$4:$Q$503,_calc!$E$416))=0,"",INDEX('Checks'!$Q$4:$Q$503,_calc!$E$416)))))</f>
        <v/>
      </c>
      <c r="G414" s="43">
        <f>IF(_calc!$E$416="","",IF(LEN(INDEX('Checks'!$P$4:$P$503,_calc!$E$416))=0,"",INDEX('Checks'!$P$4:$P$503,_calc!$E$416)))</f>
        <v/>
      </c>
      <c r="K414" s="43">
        <f>IF(_calc!$E$416="","",IF(LEN(INDEX('Checks'!$O$4:$O$503,_calc!$E$416))=0,"",INDEX('Checks'!$O$4:$O$503,_calc!$E$416)))</f>
        <v/>
      </c>
    </row>
    <row r="415">
      <c r="A415" s="43">
        <f>IF(_calc!$E$417="","","Right to work follow-up – "&amp;IF(LEN(INDEX('Checks'!$A$4:$A$503,_calc!$E$417))=0,"",INDEX('Checks'!$A$4:$A$503,_calc!$E$417)))</f>
        <v/>
      </c>
      <c r="B415" s="43">
        <f>IF(_calc!$E$417="","",IF(ISNUMBER(INDEX('Checks'!$H$4:$H$503,_calc!$E$417)),TEXT(INDEX('Checks'!$H$4:$H$503,_calc!$E$417),"yyyy-mm-dd"),""))</f>
        <v/>
      </c>
      <c r="C415" s="43">
        <f>IF(_calc!$E$417="","","Right to work")</f>
        <v/>
      </c>
      <c r="D415" s="43">
        <f>IF(_calc!$E$417="","",IF(ISNUMBER(INDEX('Checks'!$F$4:$F$503,_calc!$E$417)),TEXT(INDEX('Checks'!$F$4:$F$503,_calc!$E$417),"yyyy-mm-dd"),""))</f>
        <v/>
      </c>
      <c r="E415" s="43">
        <f>IF(_calc!$E$417="","","High")</f>
        <v/>
      </c>
      <c r="F415" s="43">
        <f>IF(_calc!$E$417="","",TRIM(IF(LEN(IF(LEN(INDEX('Checks'!$B$4:$B$503,_calc!$E$417))=0,"",INDEX('Checks'!$B$4:$B$503,_calc!$E$417)))=0,"","Role: "&amp;IF(LEN(INDEX('Checks'!$B$4:$B$503,_calc!$E$417))=0,"",INDEX('Checks'!$B$4:$B$503,_calc!$E$417))&amp;". ")&amp;IF(LEN(IF(LEN(INDEX('Checks'!$D$4:$D$503,_calc!$E$417))=0,"",INDEX('Checks'!$D$4:$D$503,_calc!$E$417)))=0,"","Check type: "&amp;IF(LEN(INDEX('Checks'!$D$4:$D$503,_calc!$E$417))=0,"",INDEX('Checks'!$D$4:$D$503,_calc!$E$417))&amp;". ")&amp;IF(LEN(IF(LEN(INDEX('Checks'!$E$4:$E$503,_calc!$E$417))=0,"",INDEX('Checks'!$E$4:$E$503,_calc!$E$417)))=0,"","Evidence: "&amp;IF(LEN(INDEX('Checks'!$E$4:$E$503,_calc!$E$417))=0,"",INDEX('Checks'!$E$4:$E$503,_calc!$E$417))&amp;". ")&amp;IF(LEN(IF(LEN(INDEX('Checks'!$G$4:$G$503,_calc!$E$417))=0,"",INDEX('Checks'!$G$4:$G$503,_calc!$E$417)))=0,"","Checked by: "&amp;IF(LEN(INDEX('Checks'!$G$4:$G$503,_calc!$E$417))=0,"",INDEX('Checks'!$G$4:$G$503,_calc!$E$417))&amp;". ")&amp;IF(LEN(IF(LEN(INDEX('Checks'!$Q$4:$Q$503,_calc!$E$417))=0,"",INDEX('Checks'!$Q$4:$Q$503,_calc!$E$417)))=0,"",IF(LEN(INDEX('Checks'!$Q$4:$Q$503,_calc!$E$417))=0,"",INDEX('Checks'!$Q$4:$Q$503,_calc!$E$417)))))</f>
        <v/>
      </c>
      <c r="G415" s="43">
        <f>IF(_calc!$E$417="","",IF(LEN(INDEX('Checks'!$P$4:$P$503,_calc!$E$417))=0,"",INDEX('Checks'!$P$4:$P$503,_calc!$E$417)))</f>
        <v/>
      </c>
      <c r="K415" s="43">
        <f>IF(_calc!$E$417="","",IF(LEN(INDEX('Checks'!$O$4:$O$503,_calc!$E$417))=0,"",INDEX('Checks'!$O$4:$O$503,_calc!$E$417)))</f>
        <v/>
      </c>
    </row>
    <row r="416">
      <c r="A416" s="43">
        <f>IF(_calc!$E$418="","","Right to work follow-up – "&amp;IF(LEN(INDEX('Checks'!$A$4:$A$503,_calc!$E$418))=0,"",INDEX('Checks'!$A$4:$A$503,_calc!$E$418)))</f>
        <v/>
      </c>
      <c r="B416" s="43">
        <f>IF(_calc!$E$418="","",IF(ISNUMBER(INDEX('Checks'!$H$4:$H$503,_calc!$E$418)),TEXT(INDEX('Checks'!$H$4:$H$503,_calc!$E$418),"yyyy-mm-dd"),""))</f>
        <v/>
      </c>
      <c r="C416" s="43">
        <f>IF(_calc!$E$418="","","Right to work")</f>
        <v/>
      </c>
      <c r="D416" s="43">
        <f>IF(_calc!$E$418="","",IF(ISNUMBER(INDEX('Checks'!$F$4:$F$503,_calc!$E$418)),TEXT(INDEX('Checks'!$F$4:$F$503,_calc!$E$418),"yyyy-mm-dd"),""))</f>
        <v/>
      </c>
      <c r="E416" s="43">
        <f>IF(_calc!$E$418="","","High")</f>
        <v/>
      </c>
      <c r="F416" s="43">
        <f>IF(_calc!$E$418="","",TRIM(IF(LEN(IF(LEN(INDEX('Checks'!$B$4:$B$503,_calc!$E$418))=0,"",INDEX('Checks'!$B$4:$B$503,_calc!$E$418)))=0,"","Role: "&amp;IF(LEN(INDEX('Checks'!$B$4:$B$503,_calc!$E$418))=0,"",INDEX('Checks'!$B$4:$B$503,_calc!$E$418))&amp;". ")&amp;IF(LEN(IF(LEN(INDEX('Checks'!$D$4:$D$503,_calc!$E$418))=0,"",INDEX('Checks'!$D$4:$D$503,_calc!$E$418)))=0,"","Check type: "&amp;IF(LEN(INDEX('Checks'!$D$4:$D$503,_calc!$E$418))=0,"",INDEX('Checks'!$D$4:$D$503,_calc!$E$418))&amp;". ")&amp;IF(LEN(IF(LEN(INDEX('Checks'!$E$4:$E$503,_calc!$E$418))=0,"",INDEX('Checks'!$E$4:$E$503,_calc!$E$418)))=0,"","Evidence: "&amp;IF(LEN(INDEX('Checks'!$E$4:$E$503,_calc!$E$418))=0,"",INDEX('Checks'!$E$4:$E$503,_calc!$E$418))&amp;". ")&amp;IF(LEN(IF(LEN(INDEX('Checks'!$G$4:$G$503,_calc!$E$418))=0,"",INDEX('Checks'!$G$4:$G$503,_calc!$E$418)))=0,"","Checked by: "&amp;IF(LEN(INDEX('Checks'!$G$4:$G$503,_calc!$E$418))=0,"",INDEX('Checks'!$G$4:$G$503,_calc!$E$418))&amp;". ")&amp;IF(LEN(IF(LEN(INDEX('Checks'!$Q$4:$Q$503,_calc!$E$418))=0,"",INDEX('Checks'!$Q$4:$Q$503,_calc!$E$418)))=0,"",IF(LEN(INDEX('Checks'!$Q$4:$Q$503,_calc!$E$418))=0,"",INDEX('Checks'!$Q$4:$Q$503,_calc!$E$418)))))</f>
        <v/>
      </c>
      <c r="G416" s="43">
        <f>IF(_calc!$E$418="","",IF(LEN(INDEX('Checks'!$P$4:$P$503,_calc!$E$418))=0,"",INDEX('Checks'!$P$4:$P$503,_calc!$E$418)))</f>
        <v/>
      </c>
      <c r="K416" s="43">
        <f>IF(_calc!$E$418="","",IF(LEN(INDEX('Checks'!$O$4:$O$503,_calc!$E$418))=0,"",INDEX('Checks'!$O$4:$O$503,_calc!$E$418)))</f>
        <v/>
      </c>
    </row>
    <row r="417">
      <c r="A417" s="43">
        <f>IF(_calc!$E$419="","","Right to work follow-up – "&amp;IF(LEN(INDEX('Checks'!$A$4:$A$503,_calc!$E$419))=0,"",INDEX('Checks'!$A$4:$A$503,_calc!$E$419)))</f>
        <v/>
      </c>
      <c r="B417" s="43">
        <f>IF(_calc!$E$419="","",IF(ISNUMBER(INDEX('Checks'!$H$4:$H$503,_calc!$E$419)),TEXT(INDEX('Checks'!$H$4:$H$503,_calc!$E$419),"yyyy-mm-dd"),""))</f>
        <v/>
      </c>
      <c r="C417" s="43">
        <f>IF(_calc!$E$419="","","Right to work")</f>
        <v/>
      </c>
      <c r="D417" s="43">
        <f>IF(_calc!$E$419="","",IF(ISNUMBER(INDEX('Checks'!$F$4:$F$503,_calc!$E$419)),TEXT(INDEX('Checks'!$F$4:$F$503,_calc!$E$419),"yyyy-mm-dd"),""))</f>
        <v/>
      </c>
      <c r="E417" s="43">
        <f>IF(_calc!$E$419="","","High")</f>
        <v/>
      </c>
      <c r="F417" s="43">
        <f>IF(_calc!$E$419="","",TRIM(IF(LEN(IF(LEN(INDEX('Checks'!$B$4:$B$503,_calc!$E$419))=0,"",INDEX('Checks'!$B$4:$B$503,_calc!$E$419)))=0,"","Role: "&amp;IF(LEN(INDEX('Checks'!$B$4:$B$503,_calc!$E$419))=0,"",INDEX('Checks'!$B$4:$B$503,_calc!$E$419))&amp;". ")&amp;IF(LEN(IF(LEN(INDEX('Checks'!$D$4:$D$503,_calc!$E$419))=0,"",INDEX('Checks'!$D$4:$D$503,_calc!$E$419)))=0,"","Check type: "&amp;IF(LEN(INDEX('Checks'!$D$4:$D$503,_calc!$E$419))=0,"",INDEX('Checks'!$D$4:$D$503,_calc!$E$419))&amp;". ")&amp;IF(LEN(IF(LEN(INDEX('Checks'!$E$4:$E$503,_calc!$E$419))=0,"",INDEX('Checks'!$E$4:$E$503,_calc!$E$419)))=0,"","Evidence: "&amp;IF(LEN(INDEX('Checks'!$E$4:$E$503,_calc!$E$419))=0,"",INDEX('Checks'!$E$4:$E$503,_calc!$E$419))&amp;". ")&amp;IF(LEN(IF(LEN(INDEX('Checks'!$G$4:$G$503,_calc!$E$419))=0,"",INDEX('Checks'!$G$4:$G$503,_calc!$E$419)))=0,"","Checked by: "&amp;IF(LEN(INDEX('Checks'!$G$4:$G$503,_calc!$E$419))=0,"",INDEX('Checks'!$G$4:$G$503,_calc!$E$419))&amp;". ")&amp;IF(LEN(IF(LEN(INDEX('Checks'!$Q$4:$Q$503,_calc!$E$419))=0,"",INDEX('Checks'!$Q$4:$Q$503,_calc!$E$419)))=0,"",IF(LEN(INDEX('Checks'!$Q$4:$Q$503,_calc!$E$419))=0,"",INDEX('Checks'!$Q$4:$Q$503,_calc!$E$419)))))</f>
        <v/>
      </c>
      <c r="G417" s="43">
        <f>IF(_calc!$E$419="","",IF(LEN(INDEX('Checks'!$P$4:$P$503,_calc!$E$419))=0,"",INDEX('Checks'!$P$4:$P$503,_calc!$E$419)))</f>
        <v/>
      </c>
      <c r="K417" s="43">
        <f>IF(_calc!$E$419="","",IF(LEN(INDEX('Checks'!$O$4:$O$503,_calc!$E$419))=0,"",INDEX('Checks'!$O$4:$O$503,_calc!$E$419)))</f>
        <v/>
      </c>
    </row>
    <row r="418">
      <c r="A418" s="43">
        <f>IF(_calc!$E$420="","","Right to work follow-up – "&amp;IF(LEN(INDEX('Checks'!$A$4:$A$503,_calc!$E$420))=0,"",INDEX('Checks'!$A$4:$A$503,_calc!$E$420)))</f>
        <v/>
      </c>
      <c r="B418" s="43">
        <f>IF(_calc!$E$420="","",IF(ISNUMBER(INDEX('Checks'!$H$4:$H$503,_calc!$E$420)),TEXT(INDEX('Checks'!$H$4:$H$503,_calc!$E$420),"yyyy-mm-dd"),""))</f>
        <v/>
      </c>
      <c r="C418" s="43">
        <f>IF(_calc!$E$420="","","Right to work")</f>
        <v/>
      </c>
      <c r="D418" s="43">
        <f>IF(_calc!$E$420="","",IF(ISNUMBER(INDEX('Checks'!$F$4:$F$503,_calc!$E$420)),TEXT(INDEX('Checks'!$F$4:$F$503,_calc!$E$420),"yyyy-mm-dd"),""))</f>
        <v/>
      </c>
      <c r="E418" s="43">
        <f>IF(_calc!$E$420="","","High")</f>
        <v/>
      </c>
      <c r="F418" s="43">
        <f>IF(_calc!$E$420="","",TRIM(IF(LEN(IF(LEN(INDEX('Checks'!$B$4:$B$503,_calc!$E$420))=0,"",INDEX('Checks'!$B$4:$B$503,_calc!$E$420)))=0,"","Role: "&amp;IF(LEN(INDEX('Checks'!$B$4:$B$503,_calc!$E$420))=0,"",INDEX('Checks'!$B$4:$B$503,_calc!$E$420))&amp;". ")&amp;IF(LEN(IF(LEN(INDEX('Checks'!$D$4:$D$503,_calc!$E$420))=0,"",INDEX('Checks'!$D$4:$D$503,_calc!$E$420)))=0,"","Check type: "&amp;IF(LEN(INDEX('Checks'!$D$4:$D$503,_calc!$E$420))=0,"",INDEX('Checks'!$D$4:$D$503,_calc!$E$420))&amp;". ")&amp;IF(LEN(IF(LEN(INDEX('Checks'!$E$4:$E$503,_calc!$E$420))=0,"",INDEX('Checks'!$E$4:$E$503,_calc!$E$420)))=0,"","Evidence: "&amp;IF(LEN(INDEX('Checks'!$E$4:$E$503,_calc!$E$420))=0,"",INDEX('Checks'!$E$4:$E$503,_calc!$E$420))&amp;". ")&amp;IF(LEN(IF(LEN(INDEX('Checks'!$G$4:$G$503,_calc!$E$420))=0,"",INDEX('Checks'!$G$4:$G$503,_calc!$E$420)))=0,"","Checked by: "&amp;IF(LEN(INDEX('Checks'!$G$4:$G$503,_calc!$E$420))=0,"",INDEX('Checks'!$G$4:$G$503,_calc!$E$420))&amp;". ")&amp;IF(LEN(IF(LEN(INDEX('Checks'!$Q$4:$Q$503,_calc!$E$420))=0,"",INDEX('Checks'!$Q$4:$Q$503,_calc!$E$420)))=0,"",IF(LEN(INDEX('Checks'!$Q$4:$Q$503,_calc!$E$420))=0,"",INDEX('Checks'!$Q$4:$Q$503,_calc!$E$420)))))</f>
        <v/>
      </c>
      <c r="G418" s="43">
        <f>IF(_calc!$E$420="","",IF(LEN(INDEX('Checks'!$P$4:$P$503,_calc!$E$420))=0,"",INDEX('Checks'!$P$4:$P$503,_calc!$E$420)))</f>
        <v/>
      </c>
      <c r="K418" s="43">
        <f>IF(_calc!$E$420="","",IF(LEN(INDEX('Checks'!$O$4:$O$503,_calc!$E$420))=0,"",INDEX('Checks'!$O$4:$O$503,_calc!$E$420)))</f>
        <v/>
      </c>
    </row>
    <row r="419">
      <c r="A419" s="43">
        <f>IF(_calc!$E$421="","","Right to work follow-up – "&amp;IF(LEN(INDEX('Checks'!$A$4:$A$503,_calc!$E$421))=0,"",INDEX('Checks'!$A$4:$A$503,_calc!$E$421)))</f>
        <v/>
      </c>
      <c r="B419" s="43">
        <f>IF(_calc!$E$421="","",IF(ISNUMBER(INDEX('Checks'!$H$4:$H$503,_calc!$E$421)),TEXT(INDEX('Checks'!$H$4:$H$503,_calc!$E$421),"yyyy-mm-dd"),""))</f>
        <v/>
      </c>
      <c r="C419" s="43">
        <f>IF(_calc!$E$421="","","Right to work")</f>
        <v/>
      </c>
      <c r="D419" s="43">
        <f>IF(_calc!$E$421="","",IF(ISNUMBER(INDEX('Checks'!$F$4:$F$503,_calc!$E$421)),TEXT(INDEX('Checks'!$F$4:$F$503,_calc!$E$421),"yyyy-mm-dd"),""))</f>
        <v/>
      </c>
      <c r="E419" s="43">
        <f>IF(_calc!$E$421="","","High")</f>
        <v/>
      </c>
      <c r="F419" s="43">
        <f>IF(_calc!$E$421="","",TRIM(IF(LEN(IF(LEN(INDEX('Checks'!$B$4:$B$503,_calc!$E$421))=0,"",INDEX('Checks'!$B$4:$B$503,_calc!$E$421)))=0,"","Role: "&amp;IF(LEN(INDEX('Checks'!$B$4:$B$503,_calc!$E$421))=0,"",INDEX('Checks'!$B$4:$B$503,_calc!$E$421))&amp;". ")&amp;IF(LEN(IF(LEN(INDEX('Checks'!$D$4:$D$503,_calc!$E$421))=0,"",INDEX('Checks'!$D$4:$D$503,_calc!$E$421)))=0,"","Check type: "&amp;IF(LEN(INDEX('Checks'!$D$4:$D$503,_calc!$E$421))=0,"",INDEX('Checks'!$D$4:$D$503,_calc!$E$421))&amp;". ")&amp;IF(LEN(IF(LEN(INDEX('Checks'!$E$4:$E$503,_calc!$E$421))=0,"",INDEX('Checks'!$E$4:$E$503,_calc!$E$421)))=0,"","Evidence: "&amp;IF(LEN(INDEX('Checks'!$E$4:$E$503,_calc!$E$421))=0,"",INDEX('Checks'!$E$4:$E$503,_calc!$E$421))&amp;". ")&amp;IF(LEN(IF(LEN(INDEX('Checks'!$G$4:$G$503,_calc!$E$421))=0,"",INDEX('Checks'!$G$4:$G$503,_calc!$E$421)))=0,"","Checked by: "&amp;IF(LEN(INDEX('Checks'!$G$4:$G$503,_calc!$E$421))=0,"",INDEX('Checks'!$G$4:$G$503,_calc!$E$421))&amp;". ")&amp;IF(LEN(IF(LEN(INDEX('Checks'!$Q$4:$Q$503,_calc!$E$421))=0,"",INDEX('Checks'!$Q$4:$Q$503,_calc!$E$421)))=0,"",IF(LEN(INDEX('Checks'!$Q$4:$Q$503,_calc!$E$421))=0,"",INDEX('Checks'!$Q$4:$Q$503,_calc!$E$421)))))</f>
        <v/>
      </c>
      <c r="G419" s="43">
        <f>IF(_calc!$E$421="","",IF(LEN(INDEX('Checks'!$P$4:$P$503,_calc!$E$421))=0,"",INDEX('Checks'!$P$4:$P$503,_calc!$E$421)))</f>
        <v/>
      </c>
      <c r="K419" s="43">
        <f>IF(_calc!$E$421="","",IF(LEN(INDEX('Checks'!$O$4:$O$503,_calc!$E$421))=0,"",INDEX('Checks'!$O$4:$O$503,_calc!$E$421)))</f>
        <v/>
      </c>
    </row>
    <row r="420">
      <c r="A420" s="43">
        <f>IF(_calc!$E$422="","","Right to work follow-up – "&amp;IF(LEN(INDEX('Checks'!$A$4:$A$503,_calc!$E$422))=0,"",INDEX('Checks'!$A$4:$A$503,_calc!$E$422)))</f>
        <v/>
      </c>
      <c r="B420" s="43">
        <f>IF(_calc!$E$422="","",IF(ISNUMBER(INDEX('Checks'!$H$4:$H$503,_calc!$E$422)),TEXT(INDEX('Checks'!$H$4:$H$503,_calc!$E$422),"yyyy-mm-dd"),""))</f>
        <v/>
      </c>
      <c r="C420" s="43">
        <f>IF(_calc!$E$422="","","Right to work")</f>
        <v/>
      </c>
      <c r="D420" s="43">
        <f>IF(_calc!$E$422="","",IF(ISNUMBER(INDEX('Checks'!$F$4:$F$503,_calc!$E$422)),TEXT(INDEX('Checks'!$F$4:$F$503,_calc!$E$422),"yyyy-mm-dd"),""))</f>
        <v/>
      </c>
      <c r="E420" s="43">
        <f>IF(_calc!$E$422="","","High")</f>
        <v/>
      </c>
      <c r="F420" s="43">
        <f>IF(_calc!$E$422="","",TRIM(IF(LEN(IF(LEN(INDEX('Checks'!$B$4:$B$503,_calc!$E$422))=0,"",INDEX('Checks'!$B$4:$B$503,_calc!$E$422)))=0,"","Role: "&amp;IF(LEN(INDEX('Checks'!$B$4:$B$503,_calc!$E$422))=0,"",INDEX('Checks'!$B$4:$B$503,_calc!$E$422))&amp;". ")&amp;IF(LEN(IF(LEN(INDEX('Checks'!$D$4:$D$503,_calc!$E$422))=0,"",INDEX('Checks'!$D$4:$D$503,_calc!$E$422)))=0,"","Check type: "&amp;IF(LEN(INDEX('Checks'!$D$4:$D$503,_calc!$E$422))=0,"",INDEX('Checks'!$D$4:$D$503,_calc!$E$422))&amp;". ")&amp;IF(LEN(IF(LEN(INDEX('Checks'!$E$4:$E$503,_calc!$E$422))=0,"",INDEX('Checks'!$E$4:$E$503,_calc!$E$422)))=0,"","Evidence: "&amp;IF(LEN(INDEX('Checks'!$E$4:$E$503,_calc!$E$422))=0,"",INDEX('Checks'!$E$4:$E$503,_calc!$E$422))&amp;". ")&amp;IF(LEN(IF(LEN(INDEX('Checks'!$G$4:$G$503,_calc!$E$422))=0,"",INDEX('Checks'!$G$4:$G$503,_calc!$E$422)))=0,"","Checked by: "&amp;IF(LEN(INDEX('Checks'!$G$4:$G$503,_calc!$E$422))=0,"",INDEX('Checks'!$G$4:$G$503,_calc!$E$422))&amp;". ")&amp;IF(LEN(IF(LEN(INDEX('Checks'!$Q$4:$Q$503,_calc!$E$422))=0,"",INDEX('Checks'!$Q$4:$Q$503,_calc!$E$422)))=0,"",IF(LEN(INDEX('Checks'!$Q$4:$Q$503,_calc!$E$422))=0,"",INDEX('Checks'!$Q$4:$Q$503,_calc!$E$422)))))</f>
        <v/>
      </c>
      <c r="G420" s="43">
        <f>IF(_calc!$E$422="","",IF(LEN(INDEX('Checks'!$P$4:$P$503,_calc!$E$422))=0,"",INDEX('Checks'!$P$4:$P$503,_calc!$E$422)))</f>
        <v/>
      </c>
      <c r="K420" s="43">
        <f>IF(_calc!$E$422="","",IF(LEN(INDEX('Checks'!$O$4:$O$503,_calc!$E$422))=0,"",INDEX('Checks'!$O$4:$O$503,_calc!$E$422)))</f>
        <v/>
      </c>
    </row>
    <row r="421">
      <c r="A421" s="43">
        <f>IF(_calc!$E$423="","","Right to work follow-up – "&amp;IF(LEN(INDEX('Checks'!$A$4:$A$503,_calc!$E$423))=0,"",INDEX('Checks'!$A$4:$A$503,_calc!$E$423)))</f>
        <v/>
      </c>
      <c r="B421" s="43">
        <f>IF(_calc!$E$423="","",IF(ISNUMBER(INDEX('Checks'!$H$4:$H$503,_calc!$E$423)),TEXT(INDEX('Checks'!$H$4:$H$503,_calc!$E$423),"yyyy-mm-dd"),""))</f>
        <v/>
      </c>
      <c r="C421" s="43">
        <f>IF(_calc!$E$423="","","Right to work")</f>
        <v/>
      </c>
      <c r="D421" s="43">
        <f>IF(_calc!$E$423="","",IF(ISNUMBER(INDEX('Checks'!$F$4:$F$503,_calc!$E$423)),TEXT(INDEX('Checks'!$F$4:$F$503,_calc!$E$423),"yyyy-mm-dd"),""))</f>
        <v/>
      </c>
      <c r="E421" s="43">
        <f>IF(_calc!$E$423="","","High")</f>
        <v/>
      </c>
      <c r="F421" s="43">
        <f>IF(_calc!$E$423="","",TRIM(IF(LEN(IF(LEN(INDEX('Checks'!$B$4:$B$503,_calc!$E$423))=0,"",INDEX('Checks'!$B$4:$B$503,_calc!$E$423)))=0,"","Role: "&amp;IF(LEN(INDEX('Checks'!$B$4:$B$503,_calc!$E$423))=0,"",INDEX('Checks'!$B$4:$B$503,_calc!$E$423))&amp;". ")&amp;IF(LEN(IF(LEN(INDEX('Checks'!$D$4:$D$503,_calc!$E$423))=0,"",INDEX('Checks'!$D$4:$D$503,_calc!$E$423)))=0,"","Check type: "&amp;IF(LEN(INDEX('Checks'!$D$4:$D$503,_calc!$E$423))=0,"",INDEX('Checks'!$D$4:$D$503,_calc!$E$423))&amp;". ")&amp;IF(LEN(IF(LEN(INDEX('Checks'!$E$4:$E$503,_calc!$E$423))=0,"",INDEX('Checks'!$E$4:$E$503,_calc!$E$423)))=0,"","Evidence: "&amp;IF(LEN(INDEX('Checks'!$E$4:$E$503,_calc!$E$423))=0,"",INDEX('Checks'!$E$4:$E$503,_calc!$E$423))&amp;". ")&amp;IF(LEN(IF(LEN(INDEX('Checks'!$G$4:$G$503,_calc!$E$423))=0,"",INDEX('Checks'!$G$4:$G$503,_calc!$E$423)))=0,"","Checked by: "&amp;IF(LEN(INDEX('Checks'!$G$4:$G$503,_calc!$E$423))=0,"",INDEX('Checks'!$G$4:$G$503,_calc!$E$423))&amp;". ")&amp;IF(LEN(IF(LEN(INDEX('Checks'!$Q$4:$Q$503,_calc!$E$423))=0,"",INDEX('Checks'!$Q$4:$Q$503,_calc!$E$423)))=0,"",IF(LEN(INDEX('Checks'!$Q$4:$Q$503,_calc!$E$423))=0,"",INDEX('Checks'!$Q$4:$Q$503,_calc!$E$423)))))</f>
        <v/>
      </c>
      <c r="G421" s="43">
        <f>IF(_calc!$E$423="","",IF(LEN(INDEX('Checks'!$P$4:$P$503,_calc!$E$423))=0,"",INDEX('Checks'!$P$4:$P$503,_calc!$E$423)))</f>
        <v/>
      </c>
      <c r="K421" s="43">
        <f>IF(_calc!$E$423="","",IF(LEN(INDEX('Checks'!$O$4:$O$503,_calc!$E$423))=0,"",INDEX('Checks'!$O$4:$O$503,_calc!$E$423)))</f>
        <v/>
      </c>
    </row>
    <row r="422">
      <c r="A422" s="43">
        <f>IF(_calc!$E$424="","","Right to work follow-up – "&amp;IF(LEN(INDEX('Checks'!$A$4:$A$503,_calc!$E$424))=0,"",INDEX('Checks'!$A$4:$A$503,_calc!$E$424)))</f>
        <v/>
      </c>
      <c r="B422" s="43">
        <f>IF(_calc!$E$424="","",IF(ISNUMBER(INDEX('Checks'!$H$4:$H$503,_calc!$E$424)),TEXT(INDEX('Checks'!$H$4:$H$503,_calc!$E$424),"yyyy-mm-dd"),""))</f>
        <v/>
      </c>
      <c r="C422" s="43">
        <f>IF(_calc!$E$424="","","Right to work")</f>
        <v/>
      </c>
      <c r="D422" s="43">
        <f>IF(_calc!$E$424="","",IF(ISNUMBER(INDEX('Checks'!$F$4:$F$503,_calc!$E$424)),TEXT(INDEX('Checks'!$F$4:$F$503,_calc!$E$424),"yyyy-mm-dd"),""))</f>
        <v/>
      </c>
      <c r="E422" s="43">
        <f>IF(_calc!$E$424="","","High")</f>
        <v/>
      </c>
      <c r="F422" s="43">
        <f>IF(_calc!$E$424="","",TRIM(IF(LEN(IF(LEN(INDEX('Checks'!$B$4:$B$503,_calc!$E$424))=0,"",INDEX('Checks'!$B$4:$B$503,_calc!$E$424)))=0,"","Role: "&amp;IF(LEN(INDEX('Checks'!$B$4:$B$503,_calc!$E$424))=0,"",INDEX('Checks'!$B$4:$B$503,_calc!$E$424))&amp;". ")&amp;IF(LEN(IF(LEN(INDEX('Checks'!$D$4:$D$503,_calc!$E$424))=0,"",INDEX('Checks'!$D$4:$D$503,_calc!$E$424)))=0,"","Check type: "&amp;IF(LEN(INDEX('Checks'!$D$4:$D$503,_calc!$E$424))=0,"",INDEX('Checks'!$D$4:$D$503,_calc!$E$424))&amp;". ")&amp;IF(LEN(IF(LEN(INDEX('Checks'!$E$4:$E$503,_calc!$E$424))=0,"",INDEX('Checks'!$E$4:$E$503,_calc!$E$424)))=0,"","Evidence: "&amp;IF(LEN(INDEX('Checks'!$E$4:$E$503,_calc!$E$424))=0,"",INDEX('Checks'!$E$4:$E$503,_calc!$E$424))&amp;". ")&amp;IF(LEN(IF(LEN(INDEX('Checks'!$G$4:$G$503,_calc!$E$424))=0,"",INDEX('Checks'!$G$4:$G$503,_calc!$E$424)))=0,"","Checked by: "&amp;IF(LEN(INDEX('Checks'!$G$4:$G$503,_calc!$E$424))=0,"",INDEX('Checks'!$G$4:$G$503,_calc!$E$424))&amp;". ")&amp;IF(LEN(IF(LEN(INDEX('Checks'!$Q$4:$Q$503,_calc!$E$424))=0,"",INDEX('Checks'!$Q$4:$Q$503,_calc!$E$424)))=0,"",IF(LEN(INDEX('Checks'!$Q$4:$Q$503,_calc!$E$424))=0,"",INDEX('Checks'!$Q$4:$Q$503,_calc!$E$424)))))</f>
        <v/>
      </c>
      <c r="G422" s="43">
        <f>IF(_calc!$E$424="","",IF(LEN(INDEX('Checks'!$P$4:$P$503,_calc!$E$424))=0,"",INDEX('Checks'!$P$4:$P$503,_calc!$E$424)))</f>
        <v/>
      </c>
      <c r="K422" s="43">
        <f>IF(_calc!$E$424="","",IF(LEN(INDEX('Checks'!$O$4:$O$503,_calc!$E$424))=0,"",INDEX('Checks'!$O$4:$O$503,_calc!$E$424)))</f>
        <v/>
      </c>
    </row>
    <row r="423">
      <c r="A423" s="43">
        <f>IF(_calc!$E$425="","","Right to work follow-up – "&amp;IF(LEN(INDEX('Checks'!$A$4:$A$503,_calc!$E$425))=0,"",INDEX('Checks'!$A$4:$A$503,_calc!$E$425)))</f>
        <v/>
      </c>
      <c r="B423" s="43">
        <f>IF(_calc!$E$425="","",IF(ISNUMBER(INDEX('Checks'!$H$4:$H$503,_calc!$E$425)),TEXT(INDEX('Checks'!$H$4:$H$503,_calc!$E$425),"yyyy-mm-dd"),""))</f>
        <v/>
      </c>
      <c r="C423" s="43">
        <f>IF(_calc!$E$425="","","Right to work")</f>
        <v/>
      </c>
      <c r="D423" s="43">
        <f>IF(_calc!$E$425="","",IF(ISNUMBER(INDEX('Checks'!$F$4:$F$503,_calc!$E$425)),TEXT(INDEX('Checks'!$F$4:$F$503,_calc!$E$425),"yyyy-mm-dd"),""))</f>
        <v/>
      </c>
      <c r="E423" s="43">
        <f>IF(_calc!$E$425="","","High")</f>
        <v/>
      </c>
      <c r="F423" s="43">
        <f>IF(_calc!$E$425="","",TRIM(IF(LEN(IF(LEN(INDEX('Checks'!$B$4:$B$503,_calc!$E$425))=0,"",INDEX('Checks'!$B$4:$B$503,_calc!$E$425)))=0,"","Role: "&amp;IF(LEN(INDEX('Checks'!$B$4:$B$503,_calc!$E$425))=0,"",INDEX('Checks'!$B$4:$B$503,_calc!$E$425))&amp;". ")&amp;IF(LEN(IF(LEN(INDEX('Checks'!$D$4:$D$503,_calc!$E$425))=0,"",INDEX('Checks'!$D$4:$D$503,_calc!$E$425)))=0,"","Check type: "&amp;IF(LEN(INDEX('Checks'!$D$4:$D$503,_calc!$E$425))=0,"",INDEX('Checks'!$D$4:$D$503,_calc!$E$425))&amp;". ")&amp;IF(LEN(IF(LEN(INDEX('Checks'!$E$4:$E$503,_calc!$E$425))=0,"",INDEX('Checks'!$E$4:$E$503,_calc!$E$425)))=0,"","Evidence: "&amp;IF(LEN(INDEX('Checks'!$E$4:$E$503,_calc!$E$425))=0,"",INDEX('Checks'!$E$4:$E$503,_calc!$E$425))&amp;". ")&amp;IF(LEN(IF(LEN(INDEX('Checks'!$G$4:$G$503,_calc!$E$425))=0,"",INDEX('Checks'!$G$4:$G$503,_calc!$E$425)))=0,"","Checked by: "&amp;IF(LEN(INDEX('Checks'!$G$4:$G$503,_calc!$E$425))=0,"",INDEX('Checks'!$G$4:$G$503,_calc!$E$425))&amp;". ")&amp;IF(LEN(IF(LEN(INDEX('Checks'!$Q$4:$Q$503,_calc!$E$425))=0,"",INDEX('Checks'!$Q$4:$Q$503,_calc!$E$425)))=0,"",IF(LEN(INDEX('Checks'!$Q$4:$Q$503,_calc!$E$425))=0,"",INDEX('Checks'!$Q$4:$Q$503,_calc!$E$425)))))</f>
        <v/>
      </c>
      <c r="G423" s="43">
        <f>IF(_calc!$E$425="","",IF(LEN(INDEX('Checks'!$P$4:$P$503,_calc!$E$425))=0,"",INDEX('Checks'!$P$4:$P$503,_calc!$E$425)))</f>
        <v/>
      </c>
      <c r="K423" s="43">
        <f>IF(_calc!$E$425="","",IF(LEN(INDEX('Checks'!$O$4:$O$503,_calc!$E$425))=0,"",INDEX('Checks'!$O$4:$O$503,_calc!$E$425)))</f>
        <v/>
      </c>
    </row>
    <row r="424">
      <c r="A424" s="43">
        <f>IF(_calc!$E$426="","","Right to work follow-up – "&amp;IF(LEN(INDEX('Checks'!$A$4:$A$503,_calc!$E$426))=0,"",INDEX('Checks'!$A$4:$A$503,_calc!$E$426)))</f>
        <v/>
      </c>
      <c r="B424" s="43">
        <f>IF(_calc!$E$426="","",IF(ISNUMBER(INDEX('Checks'!$H$4:$H$503,_calc!$E$426)),TEXT(INDEX('Checks'!$H$4:$H$503,_calc!$E$426),"yyyy-mm-dd"),""))</f>
        <v/>
      </c>
      <c r="C424" s="43">
        <f>IF(_calc!$E$426="","","Right to work")</f>
        <v/>
      </c>
      <c r="D424" s="43">
        <f>IF(_calc!$E$426="","",IF(ISNUMBER(INDEX('Checks'!$F$4:$F$503,_calc!$E$426)),TEXT(INDEX('Checks'!$F$4:$F$503,_calc!$E$426),"yyyy-mm-dd"),""))</f>
        <v/>
      </c>
      <c r="E424" s="43">
        <f>IF(_calc!$E$426="","","High")</f>
        <v/>
      </c>
      <c r="F424" s="43">
        <f>IF(_calc!$E$426="","",TRIM(IF(LEN(IF(LEN(INDEX('Checks'!$B$4:$B$503,_calc!$E$426))=0,"",INDEX('Checks'!$B$4:$B$503,_calc!$E$426)))=0,"","Role: "&amp;IF(LEN(INDEX('Checks'!$B$4:$B$503,_calc!$E$426))=0,"",INDEX('Checks'!$B$4:$B$503,_calc!$E$426))&amp;". ")&amp;IF(LEN(IF(LEN(INDEX('Checks'!$D$4:$D$503,_calc!$E$426))=0,"",INDEX('Checks'!$D$4:$D$503,_calc!$E$426)))=0,"","Check type: "&amp;IF(LEN(INDEX('Checks'!$D$4:$D$503,_calc!$E$426))=0,"",INDEX('Checks'!$D$4:$D$503,_calc!$E$426))&amp;". ")&amp;IF(LEN(IF(LEN(INDEX('Checks'!$E$4:$E$503,_calc!$E$426))=0,"",INDEX('Checks'!$E$4:$E$503,_calc!$E$426)))=0,"","Evidence: "&amp;IF(LEN(INDEX('Checks'!$E$4:$E$503,_calc!$E$426))=0,"",INDEX('Checks'!$E$4:$E$503,_calc!$E$426))&amp;". ")&amp;IF(LEN(IF(LEN(INDEX('Checks'!$G$4:$G$503,_calc!$E$426))=0,"",INDEX('Checks'!$G$4:$G$503,_calc!$E$426)))=0,"","Checked by: "&amp;IF(LEN(INDEX('Checks'!$G$4:$G$503,_calc!$E$426))=0,"",INDEX('Checks'!$G$4:$G$503,_calc!$E$426))&amp;". ")&amp;IF(LEN(IF(LEN(INDEX('Checks'!$Q$4:$Q$503,_calc!$E$426))=0,"",INDEX('Checks'!$Q$4:$Q$503,_calc!$E$426)))=0,"",IF(LEN(INDEX('Checks'!$Q$4:$Q$503,_calc!$E$426))=0,"",INDEX('Checks'!$Q$4:$Q$503,_calc!$E$426)))))</f>
        <v/>
      </c>
      <c r="G424" s="43">
        <f>IF(_calc!$E$426="","",IF(LEN(INDEX('Checks'!$P$4:$P$503,_calc!$E$426))=0,"",INDEX('Checks'!$P$4:$P$503,_calc!$E$426)))</f>
        <v/>
      </c>
      <c r="K424" s="43">
        <f>IF(_calc!$E$426="","",IF(LEN(INDEX('Checks'!$O$4:$O$503,_calc!$E$426))=0,"",INDEX('Checks'!$O$4:$O$503,_calc!$E$426)))</f>
        <v/>
      </c>
    </row>
    <row r="425">
      <c r="A425" s="43">
        <f>IF(_calc!$E$427="","","Right to work follow-up – "&amp;IF(LEN(INDEX('Checks'!$A$4:$A$503,_calc!$E$427))=0,"",INDEX('Checks'!$A$4:$A$503,_calc!$E$427)))</f>
        <v/>
      </c>
      <c r="B425" s="43">
        <f>IF(_calc!$E$427="","",IF(ISNUMBER(INDEX('Checks'!$H$4:$H$503,_calc!$E$427)),TEXT(INDEX('Checks'!$H$4:$H$503,_calc!$E$427),"yyyy-mm-dd"),""))</f>
        <v/>
      </c>
      <c r="C425" s="43">
        <f>IF(_calc!$E$427="","","Right to work")</f>
        <v/>
      </c>
      <c r="D425" s="43">
        <f>IF(_calc!$E$427="","",IF(ISNUMBER(INDEX('Checks'!$F$4:$F$503,_calc!$E$427)),TEXT(INDEX('Checks'!$F$4:$F$503,_calc!$E$427),"yyyy-mm-dd"),""))</f>
        <v/>
      </c>
      <c r="E425" s="43">
        <f>IF(_calc!$E$427="","","High")</f>
        <v/>
      </c>
      <c r="F425" s="43">
        <f>IF(_calc!$E$427="","",TRIM(IF(LEN(IF(LEN(INDEX('Checks'!$B$4:$B$503,_calc!$E$427))=0,"",INDEX('Checks'!$B$4:$B$503,_calc!$E$427)))=0,"","Role: "&amp;IF(LEN(INDEX('Checks'!$B$4:$B$503,_calc!$E$427))=0,"",INDEX('Checks'!$B$4:$B$503,_calc!$E$427))&amp;". ")&amp;IF(LEN(IF(LEN(INDEX('Checks'!$D$4:$D$503,_calc!$E$427))=0,"",INDEX('Checks'!$D$4:$D$503,_calc!$E$427)))=0,"","Check type: "&amp;IF(LEN(INDEX('Checks'!$D$4:$D$503,_calc!$E$427))=0,"",INDEX('Checks'!$D$4:$D$503,_calc!$E$427))&amp;". ")&amp;IF(LEN(IF(LEN(INDEX('Checks'!$E$4:$E$503,_calc!$E$427))=0,"",INDEX('Checks'!$E$4:$E$503,_calc!$E$427)))=0,"","Evidence: "&amp;IF(LEN(INDEX('Checks'!$E$4:$E$503,_calc!$E$427))=0,"",INDEX('Checks'!$E$4:$E$503,_calc!$E$427))&amp;". ")&amp;IF(LEN(IF(LEN(INDEX('Checks'!$G$4:$G$503,_calc!$E$427))=0,"",INDEX('Checks'!$G$4:$G$503,_calc!$E$427)))=0,"","Checked by: "&amp;IF(LEN(INDEX('Checks'!$G$4:$G$503,_calc!$E$427))=0,"",INDEX('Checks'!$G$4:$G$503,_calc!$E$427))&amp;". ")&amp;IF(LEN(IF(LEN(INDEX('Checks'!$Q$4:$Q$503,_calc!$E$427))=0,"",INDEX('Checks'!$Q$4:$Q$503,_calc!$E$427)))=0,"",IF(LEN(INDEX('Checks'!$Q$4:$Q$503,_calc!$E$427))=0,"",INDEX('Checks'!$Q$4:$Q$503,_calc!$E$427)))))</f>
        <v/>
      </c>
      <c r="G425" s="43">
        <f>IF(_calc!$E$427="","",IF(LEN(INDEX('Checks'!$P$4:$P$503,_calc!$E$427))=0,"",INDEX('Checks'!$P$4:$P$503,_calc!$E$427)))</f>
        <v/>
      </c>
      <c r="K425" s="43">
        <f>IF(_calc!$E$427="","",IF(LEN(INDEX('Checks'!$O$4:$O$503,_calc!$E$427))=0,"",INDEX('Checks'!$O$4:$O$503,_calc!$E$427)))</f>
        <v/>
      </c>
    </row>
    <row r="426">
      <c r="A426" s="43">
        <f>IF(_calc!$E$428="","","Right to work follow-up – "&amp;IF(LEN(INDEX('Checks'!$A$4:$A$503,_calc!$E$428))=0,"",INDEX('Checks'!$A$4:$A$503,_calc!$E$428)))</f>
        <v/>
      </c>
      <c r="B426" s="43">
        <f>IF(_calc!$E$428="","",IF(ISNUMBER(INDEX('Checks'!$H$4:$H$503,_calc!$E$428)),TEXT(INDEX('Checks'!$H$4:$H$503,_calc!$E$428),"yyyy-mm-dd"),""))</f>
        <v/>
      </c>
      <c r="C426" s="43">
        <f>IF(_calc!$E$428="","","Right to work")</f>
        <v/>
      </c>
      <c r="D426" s="43">
        <f>IF(_calc!$E$428="","",IF(ISNUMBER(INDEX('Checks'!$F$4:$F$503,_calc!$E$428)),TEXT(INDEX('Checks'!$F$4:$F$503,_calc!$E$428),"yyyy-mm-dd"),""))</f>
        <v/>
      </c>
      <c r="E426" s="43">
        <f>IF(_calc!$E$428="","","High")</f>
        <v/>
      </c>
      <c r="F426" s="43">
        <f>IF(_calc!$E$428="","",TRIM(IF(LEN(IF(LEN(INDEX('Checks'!$B$4:$B$503,_calc!$E$428))=0,"",INDEX('Checks'!$B$4:$B$503,_calc!$E$428)))=0,"","Role: "&amp;IF(LEN(INDEX('Checks'!$B$4:$B$503,_calc!$E$428))=0,"",INDEX('Checks'!$B$4:$B$503,_calc!$E$428))&amp;". ")&amp;IF(LEN(IF(LEN(INDEX('Checks'!$D$4:$D$503,_calc!$E$428))=0,"",INDEX('Checks'!$D$4:$D$503,_calc!$E$428)))=0,"","Check type: "&amp;IF(LEN(INDEX('Checks'!$D$4:$D$503,_calc!$E$428))=0,"",INDEX('Checks'!$D$4:$D$503,_calc!$E$428))&amp;". ")&amp;IF(LEN(IF(LEN(INDEX('Checks'!$E$4:$E$503,_calc!$E$428))=0,"",INDEX('Checks'!$E$4:$E$503,_calc!$E$428)))=0,"","Evidence: "&amp;IF(LEN(INDEX('Checks'!$E$4:$E$503,_calc!$E$428))=0,"",INDEX('Checks'!$E$4:$E$503,_calc!$E$428))&amp;". ")&amp;IF(LEN(IF(LEN(INDEX('Checks'!$G$4:$G$503,_calc!$E$428))=0,"",INDEX('Checks'!$G$4:$G$503,_calc!$E$428)))=0,"","Checked by: "&amp;IF(LEN(INDEX('Checks'!$G$4:$G$503,_calc!$E$428))=0,"",INDEX('Checks'!$G$4:$G$503,_calc!$E$428))&amp;". ")&amp;IF(LEN(IF(LEN(INDEX('Checks'!$Q$4:$Q$503,_calc!$E$428))=0,"",INDEX('Checks'!$Q$4:$Q$503,_calc!$E$428)))=0,"",IF(LEN(INDEX('Checks'!$Q$4:$Q$503,_calc!$E$428))=0,"",INDEX('Checks'!$Q$4:$Q$503,_calc!$E$428)))))</f>
        <v/>
      </c>
      <c r="G426" s="43">
        <f>IF(_calc!$E$428="","",IF(LEN(INDEX('Checks'!$P$4:$P$503,_calc!$E$428))=0,"",INDEX('Checks'!$P$4:$P$503,_calc!$E$428)))</f>
        <v/>
      </c>
      <c r="K426" s="43">
        <f>IF(_calc!$E$428="","",IF(LEN(INDEX('Checks'!$O$4:$O$503,_calc!$E$428))=0,"",INDEX('Checks'!$O$4:$O$503,_calc!$E$428)))</f>
        <v/>
      </c>
    </row>
    <row r="427">
      <c r="A427" s="43">
        <f>IF(_calc!$E$429="","","Right to work follow-up – "&amp;IF(LEN(INDEX('Checks'!$A$4:$A$503,_calc!$E$429))=0,"",INDEX('Checks'!$A$4:$A$503,_calc!$E$429)))</f>
        <v/>
      </c>
      <c r="B427" s="43">
        <f>IF(_calc!$E$429="","",IF(ISNUMBER(INDEX('Checks'!$H$4:$H$503,_calc!$E$429)),TEXT(INDEX('Checks'!$H$4:$H$503,_calc!$E$429),"yyyy-mm-dd"),""))</f>
        <v/>
      </c>
      <c r="C427" s="43">
        <f>IF(_calc!$E$429="","","Right to work")</f>
        <v/>
      </c>
      <c r="D427" s="43">
        <f>IF(_calc!$E$429="","",IF(ISNUMBER(INDEX('Checks'!$F$4:$F$503,_calc!$E$429)),TEXT(INDEX('Checks'!$F$4:$F$503,_calc!$E$429),"yyyy-mm-dd"),""))</f>
        <v/>
      </c>
      <c r="E427" s="43">
        <f>IF(_calc!$E$429="","","High")</f>
        <v/>
      </c>
      <c r="F427" s="43">
        <f>IF(_calc!$E$429="","",TRIM(IF(LEN(IF(LEN(INDEX('Checks'!$B$4:$B$503,_calc!$E$429))=0,"",INDEX('Checks'!$B$4:$B$503,_calc!$E$429)))=0,"","Role: "&amp;IF(LEN(INDEX('Checks'!$B$4:$B$503,_calc!$E$429))=0,"",INDEX('Checks'!$B$4:$B$503,_calc!$E$429))&amp;". ")&amp;IF(LEN(IF(LEN(INDEX('Checks'!$D$4:$D$503,_calc!$E$429))=0,"",INDEX('Checks'!$D$4:$D$503,_calc!$E$429)))=0,"","Check type: "&amp;IF(LEN(INDEX('Checks'!$D$4:$D$503,_calc!$E$429))=0,"",INDEX('Checks'!$D$4:$D$503,_calc!$E$429))&amp;". ")&amp;IF(LEN(IF(LEN(INDEX('Checks'!$E$4:$E$503,_calc!$E$429))=0,"",INDEX('Checks'!$E$4:$E$503,_calc!$E$429)))=0,"","Evidence: "&amp;IF(LEN(INDEX('Checks'!$E$4:$E$503,_calc!$E$429))=0,"",INDEX('Checks'!$E$4:$E$503,_calc!$E$429))&amp;". ")&amp;IF(LEN(IF(LEN(INDEX('Checks'!$G$4:$G$503,_calc!$E$429))=0,"",INDEX('Checks'!$G$4:$G$503,_calc!$E$429)))=0,"","Checked by: "&amp;IF(LEN(INDEX('Checks'!$G$4:$G$503,_calc!$E$429))=0,"",INDEX('Checks'!$G$4:$G$503,_calc!$E$429))&amp;". ")&amp;IF(LEN(IF(LEN(INDEX('Checks'!$Q$4:$Q$503,_calc!$E$429))=0,"",INDEX('Checks'!$Q$4:$Q$503,_calc!$E$429)))=0,"",IF(LEN(INDEX('Checks'!$Q$4:$Q$503,_calc!$E$429))=0,"",INDEX('Checks'!$Q$4:$Q$503,_calc!$E$429)))))</f>
        <v/>
      </c>
      <c r="G427" s="43">
        <f>IF(_calc!$E$429="","",IF(LEN(INDEX('Checks'!$P$4:$P$503,_calc!$E$429))=0,"",INDEX('Checks'!$P$4:$P$503,_calc!$E$429)))</f>
        <v/>
      </c>
      <c r="K427" s="43">
        <f>IF(_calc!$E$429="","",IF(LEN(INDEX('Checks'!$O$4:$O$503,_calc!$E$429))=0,"",INDEX('Checks'!$O$4:$O$503,_calc!$E$429)))</f>
        <v/>
      </c>
    </row>
    <row r="428">
      <c r="A428" s="43">
        <f>IF(_calc!$E$430="","","Right to work follow-up – "&amp;IF(LEN(INDEX('Checks'!$A$4:$A$503,_calc!$E$430))=0,"",INDEX('Checks'!$A$4:$A$503,_calc!$E$430)))</f>
        <v/>
      </c>
      <c r="B428" s="43">
        <f>IF(_calc!$E$430="","",IF(ISNUMBER(INDEX('Checks'!$H$4:$H$503,_calc!$E$430)),TEXT(INDEX('Checks'!$H$4:$H$503,_calc!$E$430),"yyyy-mm-dd"),""))</f>
        <v/>
      </c>
      <c r="C428" s="43">
        <f>IF(_calc!$E$430="","","Right to work")</f>
        <v/>
      </c>
      <c r="D428" s="43">
        <f>IF(_calc!$E$430="","",IF(ISNUMBER(INDEX('Checks'!$F$4:$F$503,_calc!$E$430)),TEXT(INDEX('Checks'!$F$4:$F$503,_calc!$E$430),"yyyy-mm-dd"),""))</f>
        <v/>
      </c>
      <c r="E428" s="43">
        <f>IF(_calc!$E$430="","","High")</f>
        <v/>
      </c>
      <c r="F428" s="43">
        <f>IF(_calc!$E$430="","",TRIM(IF(LEN(IF(LEN(INDEX('Checks'!$B$4:$B$503,_calc!$E$430))=0,"",INDEX('Checks'!$B$4:$B$503,_calc!$E$430)))=0,"","Role: "&amp;IF(LEN(INDEX('Checks'!$B$4:$B$503,_calc!$E$430))=0,"",INDEX('Checks'!$B$4:$B$503,_calc!$E$430))&amp;". ")&amp;IF(LEN(IF(LEN(INDEX('Checks'!$D$4:$D$503,_calc!$E$430))=0,"",INDEX('Checks'!$D$4:$D$503,_calc!$E$430)))=0,"","Check type: "&amp;IF(LEN(INDEX('Checks'!$D$4:$D$503,_calc!$E$430))=0,"",INDEX('Checks'!$D$4:$D$503,_calc!$E$430))&amp;". ")&amp;IF(LEN(IF(LEN(INDEX('Checks'!$E$4:$E$503,_calc!$E$430))=0,"",INDEX('Checks'!$E$4:$E$503,_calc!$E$430)))=0,"","Evidence: "&amp;IF(LEN(INDEX('Checks'!$E$4:$E$503,_calc!$E$430))=0,"",INDEX('Checks'!$E$4:$E$503,_calc!$E$430))&amp;". ")&amp;IF(LEN(IF(LEN(INDEX('Checks'!$G$4:$G$503,_calc!$E$430))=0,"",INDEX('Checks'!$G$4:$G$503,_calc!$E$430)))=0,"","Checked by: "&amp;IF(LEN(INDEX('Checks'!$G$4:$G$503,_calc!$E$430))=0,"",INDEX('Checks'!$G$4:$G$503,_calc!$E$430))&amp;". ")&amp;IF(LEN(IF(LEN(INDEX('Checks'!$Q$4:$Q$503,_calc!$E$430))=0,"",INDEX('Checks'!$Q$4:$Q$503,_calc!$E$430)))=0,"",IF(LEN(INDEX('Checks'!$Q$4:$Q$503,_calc!$E$430))=0,"",INDEX('Checks'!$Q$4:$Q$503,_calc!$E$430)))))</f>
        <v/>
      </c>
      <c r="G428" s="43">
        <f>IF(_calc!$E$430="","",IF(LEN(INDEX('Checks'!$P$4:$P$503,_calc!$E$430))=0,"",INDEX('Checks'!$P$4:$P$503,_calc!$E$430)))</f>
        <v/>
      </c>
      <c r="K428" s="43">
        <f>IF(_calc!$E$430="","",IF(LEN(INDEX('Checks'!$O$4:$O$503,_calc!$E$430))=0,"",INDEX('Checks'!$O$4:$O$503,_calc!$E$430)))</f>
        <v/>
      </c>
    </row>
    <row r="429">
      <c r="A429" s="43">
        <f>IF(_calc!$E$431="","","Right to work follow-up – "&amp;IF(LEN(INDEX('Checks'!$A$4:$A$503,_calc!$E$431))=0,"",INDEX('Checks'!$A$4:$A$503,_calc!$E$431)))</f>
        <v/>
      </c>
      <c r="B429" s="43">
        <f>IF(_calc!$E$431="","",IF(ISNUMBER(INDEX('Checks'!$H$4:$H$503,_calc!$E$431)),TEXT(INDEX('Checks'!$H$4:$H$503,_calc!$E$431),"yyyy-mm-dd"),""))</f>
        <v/>
      </c>
      <c r="C429" s="43">
        <f>IF(_calc!$E$431="","","Right to work")</f>
        <v/>
      </c>
      <c r="D429" s="43">
        <f>IF(_calc!$E$431="","",IF(ISNUMBER(INDEX('Checks'!$F$4:$F$503,_calc!$E$431)),TEXT(INDEX('Checks'!$F$4:$F$503,_calc!$E$431),"yyyy-mm-dd"),""))</f>
        <v/>
      </c>
      <c r="E429" s="43">
        <f>IF(_calc!$E$431="","","High")</f>
        <v/>
      </c>
      <c r="F429" s="43">
        <f>IF(_calc!$E$431="","",TRIM(IF(LEN(IF(LEN(INDEX('Checks'!$B$4:$B$503,_calc!$E$431))=0,"",INDEX('Checks'!$B$4:$B$503,_calc!$E$431)))=0,"","Role: "&amp;IF(LEN(INDEX('Checks'!$B$4:$B$503,_calc!$E$431))=0,"",INDEX('Checks'!$B$4:$B$503,_calc!$E$431))&amp;". ")&amp;IF(LEN(IF(LEN(INDEX('Checks'!$D$4:$D$503,_calc!$E$431))=0,"",INDEX('Checks'!$D$4:$D$503,_calc!$E$431)))=0,"","Check type: "&amp;IF(LEN(INDEX('Checks'!$D$4:$D$503,_calc!$E$431))=0,"",INDEX('Checks'!$D$4:$D$503,_calc!$E$431))&amp;". ")&amp;IF(LEN(IF(LEN(INDEX('Checks'!$E$4:$E$503,_calc!$E$431))=0,"",INDEX('Checks'!$E$4:$E$503,_calc!$E$431)))=0,"","Evidence: "&amp;IF(LEN(INDEX('Checks'!$E$4:$E$503,_calc!$E$431))=0,"",INDEX('Checks'!$E$4:$E$503,_calc!$E$431))&amp;". ")&amp;IF(LEN(IF(LEN(INDEX('Checks'!$G$4:$G$503,_calc!$E$431))=0,"",INDEX('Checks'!$G$4:$G$503,_calc!$E$431)))=0,"","Checked by: "&amp;IF(LEN(INDEX('Checks'!$G$4:$G$503,_calc!$E$431))=0,"",INDEX('Checks'!$G$4:$G$503,_calc!$E$431))&amp;". ")&amp;IF(LEN(IF(LEN(INDEX('Checks'!$Q$4:$Q$503,_calc!$E$431))=0,"",INDEX('Checks'!$Q$4:$Q$503,_calc!$E$431)))=0,"",IF(LEN(INDEX('Checks'!$Q$4:$Q$503,_calc!$E$431))=0,"",INDEX('Checks'!$Q$4:$Q$503,_calc!$E$431)))))</f>
        <v/>
      </c>
      <c r="G429" s="43">
        <f>IF(_calc!$E$431="","",IF(LEN(INDEX('Checks'!$P$4:$P$503,_calc!$E$431))=0,"",INDEX('Checks'!$P$4:$P$503,_calc!$E$431)))</f>
        <v/>
      </c>
      <c r="K429" s="43">
        <f>IF(_calc!$E$431="","",IF(LEN(INDEX('Checks'!$O$4:$O$503,_calc!$E$431))=0,"",INDEX('Checks'!$O$4:$O$503,_calc!$E$431)))</f>
        <v/>
      </c>
    </row>
    <row r="430">
      <c r="A430" s="43">
        <f>IF(_calc!$E$432="","","Right to work follow-up – "&amp;IF(LEN(INDEX('Checks'!$A$4:$A$503,_calc!$E$432))=0,"",INDEX('Checks'!$A$4:$A$503,_calc!$E$432)))</f>
        <v/>
      </c>
      <c r="B430" s="43">
        <f>IF(_calc!$E$432="","",IF(ISNUMBER(INDEX('Checks'!$H$4:$H$503,_calc!$E$432)),TEXT(INDEX('Checks'!$H$4:$H$503,_calc!$E$432),"yyyy-mm-dd"),""))</f>
        <v/>
      </c>
      <c r="C430" s="43">
        <f>IF(_calc!$E$432="","","Right to work")</f>
        <v/>
      </c>
      <c r="D430" s="43">
        <f>IF(_calc!$E$432="","",IF(ISNUMBER(INDEX('Checks'!$F$4:$F$503,_calc!$E$432)),TEXT(INDEX('Checks'!$F$4:$F$503,_calc!$E$432),"yyyy-mm-dd"),""))</f>
        <v/>
      </c>
      <c r="E430" s="43">
        <f>IF(_calc!$E$432="","","High")</f>
        <v/>
      </c>
      <c r="F430" s="43">
        <f>IF(_calc!$E$432="","",TRIM(IF(LEN(IF(LEN(INDEX('Checks'!$B$4:$B$503,_calc!$E$432))=0,"",INDEX('Checks'!$B$4:$B$503,_calc!$E$432)))=0,"","Role: "&amp;IF(LEN(INDEX('Checks'!$B$4:$B$503,_calc!$E$432))=0,"",INDEX('Checks'!$B$4:$B$503,_calc!$E$432))&amp;". ")&amp;IF(LEN(IF(LEN(INDEX('Checks'!$D$4:$D$503,_calc!$E$432))=0,"",INDEX('Checks'!$D$4:$D$503,_calc!$E$432)))=0,"","Check type: "&amp;IF(LEN(INDEX('Checks'!$D$4:$D$503,_calc!$E$432))=0,"",INDEX('Checks'!$D$4:$D$503,_calc!$E$432))&amp;". ")&amp;IF(LEN(IF(LEN(INDEX('Checks'!$E$4:$E$503,_calc!$E$432))=0,"",INDEX('Checks'!$E$4:$E$503,_calc!$E$432)))=0,"","Evidence: "&amp;IF(LEN(INDEX('Checks'!$E$4:$E$503,_calc!$E$432))=0,"",INDEX('Checks'!$E$4:$E$503,_calc!$E$432))&amp;". ")&amp;IF(LEN(IF(LEN(INDEX('Checks'!$G$4:$G$503,_calc!$E$432))=0,"",INDEX('Checks'!$G$4:$G$503,_calc!$E$432)))=0,"","Checked by: "&amp;IF(LEN(INDEX('Checks'!$G$4:$G$503,_calc!$E$432))=0,"",INDEX('Checks'!$G$4:$G$503,_calc!$E$432))&amp;". ")&amp;IF(LEN(IF(LEN(INDEX('Checks'!$Q$4:$Q$503,_calc!$E$432))=0,"",INDEX('Checks'!$Q$4:$Q$503,_calc!$E$432)))=0,"",IF(LEN(INDEX('Checks'!$Q$4:$Q$503,_calc!$E$432))=0,"",INDEX('Checks'!$Q$4:$Q$503,_calc!$E$432)))))</f>
        <v/>
      </c>
      <c r="G430" s="43">
        <f>IF(_calc!$E$432="","",IF(LEN(INDEX('Checks'!$P$4:$P$503,_calc!$E$432))=0,"",INDEX('Checks'!$P$4:$P$503,_calc!$E$432)))</f>
        <v/>
      </c>
      <c r="K430" s="43">
        <f>IF(_calc!$E$432="","",IF(LEN(INDEX('Checks'!$O$4:$O$503,_calc!$E$432))=0,"",INDEX('Checks'!$O$4:$O$503,_calc!$E$432)))</f>
        <v/>
      </c>
    </row>
    <row r="431">
      <c r="A431" s="43">
        <f>IF(_calc!$E$433="","","Right to work follow-up – "&amp;IF(LEN(INDEX('Checks'!$A$4:$A$503,_calc!$E$433))=0,"",INDEX('Checks'!$A$4:$A$503,_calc!$E$433)))</f>
        <v/>
      </c>
      <c r="B431" s="43">
        <f>IF(_calc!$E$433="","",IF(ISNUMBER(INDEX('Checks'!$H$4:$H$503,_calc!$E$433)),TEXT(INDEX('Checks'!$H$4:$H$503,_calc!$E$433),"yyyy-mm-dd"),""))</f>
        <v/>
      </c>
      <c r="C431" s="43">
        <f>IF(_calc!$E$433="","","Right to work")</f>
        <v/>
      </c>
      <c r="D431" s="43">
        <f>IF(_calc!$E$433="","",IF(ISNUMBER(INDEX('Checks'!$F$4:$F$503,_calc!$E$433)),TEXT(INDEX('Checks'!$F$4:$F$503,_calc!$E$433),"yyyy-mm-dd"),""))</f>
        <v/>
      </c>
      <c r="E431" s="43">
        <f>IF(_calc!$E$433="","","High")</f>
        <v/>
      </c>
      <c r="F431" s="43">
        <f>IF(_calc!$E$433="","",TRIM(IF(LEN(IF(LEN(INDEX('Checks'!$B$4:$B$503,_calc!$E$433))=0,"",INDEX('Checks'!$B$4:$B$503,_calc!$E$433)))=0,"","Role: "&amp;IF(LEN(INDEX('Checks'!$B$4:$B$503,_calc!$E$433))=0,"",INDEX('Checks'!$B$4:$B$503,_calc!$E$433))&amp;". ")&amp;IF(LEN(IF(LEN(INDEX('Checks'!$D$4:$D$503,_calc!$E$433))=0,"",INDEX('Checks'!$D$4:$D$503,_calc!$E$433)))=0,"","Check type: "&amp;IF(LEN(INDEX('Checks'!$D$4:$D$503,_calc!$E$433))=0,"",INDEX('Checks'!$D$4:$D$503,_calc!$E$433))&amp;". ")&amp;IF(LEN(IF(LEN(INDEX('Checks'!$E$4:$E$503,_calc!$E$433))=0,"",INDEX('Checks'!$E$4:$E$503,_calc!$E$433)))=0,"","Evidence: "&amp;IF(LEN(INDEX('Checks'!$E$4:$E$503,_calc!$E$433))=0,"",INDEX('Checks'!$E$4:$E$503,_calc!$E$433))&amp;". ")&amp;IF(LEN(IF(LEN(INDEX('Checks'!$G$4:$G$503,_calc!$E$433))=0,"",INDEX('Checks'!$G$4:$G$503,_calc!$E$433)))=0,"","Checked by: "&amp;IF(LEN(INDEX('Checks'!$G$4:$G$503,_calc!$E$433))=0,"",INDEX('Checks'!$G$4:$G$503,_calc!$E$433))&amp;". ")&amp;IF(LEN(IF(LEN(INDEX('Checks'!$Q$4:$Q$503,_calc!$E$433))=0,"",INDEX('Checks'!$Q$4:$Q$503,_calc!$E$433)))=0,"",IF(LEN(INDEX('Checks'!$Q$4:$Q$503,_calc!$E$433))=0,"",INDEX('Checks'!$Q$4:$Q$503,_calc!$E$433)))))</f>
        <v/>
      </c>
      <c r="G431" s="43">
        <f>IF(_calc!$E$433="","",IF(LEN(INDEX('Checks'!$P$4:$P$503,_calc!$E$433))=0,"",INDEX('Checks'!$P$4:$P$503,_calc!$E$433)))</f>
        <v/>
      </c>
      <c r="K431" s="43">
        <f>IF(_calc!$E$433="","",IF(LEN(INDEX('Checks'!$O$4:$O$503,_calc!$E$433))=0,"",INDEX('Checks'!$O$4:$O$503,_calc!$E$433)))</f>
        <v/>
      </c>
    </row>
    <row r="432">
      <c r="A432" s="43">
        <f>IF(_calc!$E$434="","","Right to work follow-up – "&amp;IF(LEN(INDEX('Checks'!$A$4:$A$503,_calc!$E$434))=0,"",INDEX('Checks'!$A$4:$A$503,_calc!$E$434)))</f>
        <v/>
      </c>
      <c r="B432" s="43">
        <f>IF(_calc!$E$434="","",IF(ISNUMBER(INDEX('Checks'!$H$4:$H$503,_calc!$E$434)),TEXT(INDEX('Checks'!$H$4:$H$503,_calc!$E$434),"yyyy-mm-dd"),""))</f>
        <v/>
      </c>
      <c r="C432" s="43">
        <f>IF(_calc!$E$434="","","Right to work")</f>
        <v/>
      </c>
      <c r="D432" s="43">
        <f>IF(_calc!$E$434="","",IF(ISNUMBER(INDEX('Checks'!$F$4:$F$503,_calc!$E$434)),TEXT(INDEX('Checks'!$F$4:$F$503,_calc!$E$434),"yyyy-mm-dd"),""))</f>
        <v/>
      </c>
      <c r="E432" s="43">
        <f>IF(_calc!$E$434="","","High")</f>
        <v/>
      </c>
      <c r="F432" s="43">
        <f>IF(_calc!$E$434="","",TRIM(IF(LEN(IF(LEN(INDEX('Checks'!$B$4:$B$503,_calc!$E$434))=0,"",INDEX('Checks'!$B$4:$B$503,_calc!$E$434)))=0,"","Role: "&amp;IF(LEN(INDEX('Checks'!$B$4:$B$503,_calc!$E$434))=0,"",INDEX('Checks'!$B$4:$B$503,_calc!$E$434))&amp;". ")&amp;IF(LEN(IF(LEN(INDEX('Checks'!$D$4:$D$503,_calc!$E$434))=0,"",INDEX('Checks'!$D$4:$D$503,_calc!$E$434)))=0,"","Check type: "&amp;IF(LEN(INDEX('Checks'!$D$4:$D$503,_calc!$E$434))=0,"",INDEX('Checks'!$D$4:$D$503,_calc!$E$434))&amp;". ")&amp;IF(LEN(IF(LEN(INDEX('Checks'!$E$4:$E$503,_calc!$E$434))=0,"",INDEX('Checks'!$E$4:$E$503,_calc!$E$434)))=0,"","Evidence: "&amp;IF(LEN(INDEX('Checks'!$E$4:$E$503,_calc!$E$434))=0,"",INDEX('Checks'!$E$4:$E$503,_calc!$E$434))&amp;". ")&amp;IF(LEN(IF(LEN(INDEX('Checks'!$G$4:$G$503,_calc!$E$434))=0,"",INDEX('Checks'!$G$4:$G$503,_calc!$E$434)))=0,"","Checked by: "&amp;IF(LEN(INDEX('Checks'!$G$4:$G$503,_calc!$E$434))=0,"",INDEX('Checks'!$G$4:$G$503,_calc!$E$434))&amp;". ")&amp;IF(LEN(IF(LEN(INDEX('Checks'!$Q$4:$Q$503,_calc!$E$434))=0,"",INDEX('Checks'!$Q$4:$Q$503,_calc!$E$434)))=0,"",IF(LEN(INDEX('Checks'!$Q$4:$Q$503,_calc!$E$434))=0,"",INDEX('Checks'!$Q$4:$Q$503,_calc!$E$434)))))</f>
        <v/>
      </c>
      <c r="G432" s="43">
        <f>IF(_calc!$E$434="","",IF(LEN(INDEX('Checks'!$P$4:$P$503,_calc!$E$434))=0,"",INDEX('Checks'!$P$4:$P$503,_calc!$E$434)))</f>
        <v/>
      </c>
      <c r="K432" s="43">
        <f>IF(_calc!$E$434="","",IF(LEN(INDEX('Checks'!$O$4:$O$503,_calc!$E$434))=0,"",INDEX('Checks'!$O$4:$O$503,_calc!$E$434)))</f>
        <v/>
      </c>
    </row>
    <row r="433">
      <c r="A433" s="43">
        <f>IF(_calc!$E$435="","","Right to work follow-up – "&amp;IF(LEN(INDEX('Checks'!$A$4:$A$503,_calc!$E$435))=0,"",INDEX('Checks'!$A$4:$A$503,_calc!$E$435)))</f>
        <v/>
      </c>
      <c r="B433" s="43">
        <f>IF(_calc!$E$435="","",IF(ISNUMBER(INDEX('Checks'!$H$4:$H$503,_calc!$E$435)),TEXT(INDEX('Checks'!$H$4:$H$503,_calc!$E$435),"yyyy-mm-dd"),""))</f>
        <v/>
      </c>
      <c r="C433" s="43">
        <f>IF(_calc!$E$435="","","Right to work")</f>
        <v/>
      </c>
      <c r="D433" s="43">
        <f>IF(_calc!$E$435="","",IF(ISNUMBER(INDEX('Checks'!$F$4:$F$503,_calc!$E$435)),TEXT(INDEX('Checks'!$F$4:$F$503,_calc!$E$435),"yyyy-mm-dd"),""))</f>
        <v/>
      </c>
      <c r="E433" s="43">
        <f>IF(_calc!$E$435="","","High")</f>
        <v/>
      </c>
      <c r="F433" s="43">
        <f>IF(_calc!$E$435="","",TRIM(IF(LEN(IF(LEN(INDEX('Checks'!$B$4:$B$503,_calc!$E$435))=0,"",INDEX('Checks'!$B$4:$B$503,_calc!$E$435)))=0,"","Role: "&amp;IF(LEN(INDEX('Checks'!$B$4:$B$503,_calc!$E$435))=0,"",INDEX('Checks'!$B$4:$B$503,_calc!$E$435))&amp;". ")&amp;IF(LEN(IF(LEN(INDEX('Checks'!$D$4:$D$503,_calc!$E$435))=0,"",INDEX('Checks'!$D$4:$D$503,_calc!$E$435)))=0,"","Check type: "&amp;IF(LEN(INDEX('Checks'!$D$4:$D$503,_calc!$E$435))=0,"",INDEX('Checks'!$D$4:$D$503,_calc!$E$435))&amp;". ")&amp;IF(LEN(IF(LEN(INDEX('Checks'!$E$4:$E$503,_calc!$E$435))=0,"",INDEX('Checks'!$E$4:$E$503,_calc!$E$435)))=0,"","Evidence: "&amp;IF(LEN(INDEX('Checks'!$E$4:$E$503,_calc!$E$435))=0,"",INDEX('Checks'!$E$4:$E$503,_calc!$E$435))&amp;". ")&amp;IF(LEN(IF(LEN(INDEX('Checks'!$G$4:$G$503,_calc!$E$435))=0,"",INDEX('Checks'!$G$4:$G$503,_calc!$E$435)))=0,"","Checked by: "&amp;IF(LEN(INDEX('Checks'!$G$4:$G$503,_calc!$E$435))=0,"",INDEX('Checks'!$G$4:$G$503,_calc!$E$435))&amp;". ")&amp;IF(LEN(IF(LEN(INDEX('Checks'!$Q$4:$Q$503,_calc!$E$435))=0,"",INDEX('Checks'!$Q$4:$Q$503,_calc!$E$435)))=0,"",IF(LEN(INDEX('Checks'!$Q$4:$Q$503,_calc!$E$435))=0,"",INDEX('Checks'!$Q$4:$Q$503,_calc!$E$435)))))</f>
        <v/>
      </c>
      <c r="G433" s="43">
        <f>IF(_calc!$E$435="","",IF(LEN(INDEX('Checks'!$P$4:$P$503,_calc!$E$435))=0,"",INDEX('Checks'!$P$4:$P$503,_calc!$E$435)))</f>
        <v/>
      </c>
      <c r="K433" s="43">
        <f>IF(_calc!$E$435="","",IF(LEN(INDEX('Checks'!$O$4:$O$503,_calc!$E$435))=0,"",INDEX('Checks'!$O$4:$O$503,_calc!$E$435)))</f>
        <v/>
      </c>
    </row>
    <row r="434">
      <c r="A434" s="43">
        <f>IF(_calc!$E$436="","","Right to work follow-up – "&amp;IF(LEN(INDEX('Checks'!$A$4:$A$503,_calc!$E$436))=0,"",INDEX('Checks'!$A$4:$A$503,_calc!$E$436)))</f>
        <v/>
      </c>
      <c r="B434" s="43">
        <f>IF(_calc!$E$436="","",IF(ISNUMBER(INDEX('Checks'!$H$4:$H$503,_calc!$E$436)),TEXT(INDEX('Checks'!$H$4:$H$503,_calc!$E$436),"yyyy-mm-dd"),""))</f>
        <v/>
      </c>
      <c r="C434" s="43">
        <f>IF(_calc!$E$436="","","Right to work")</f>
        <v/>
      </c>
      <c r="D434" s="43">
        <f>IF(_calc!$E$436="","",IF(ISNUMBER(INDEX('Checks'!$F$4:$F$503,_calc!$E$436)),TEXT(INDEX('Checks'!$F$4:$F$503,_calc!$E$436),"yyyy-mm-dd"),""))</f>
        <v/>
      </c>
      <c r="E434" s="43">
        <f>IF(_calc!$E$436="","","High")</f>
        <v/>
      </c>
      <c r="F434" s="43">
        <f>IF(_calc!$E$436="","",TRIM(IF(LEN(IF(LEN(INDEX('Checks'!$B$4:$B$503,_calc!$E$436))=0,"",INDEX('Checks'!$B$4:$B$503,_calc!$E$436)))=0,"","Role: "&amp;IF(LEN(INDEX('Checks'!$B$4:$B$503,_calc!$E$436))=0,"",INDEX('Checks'!$B$4:$B$503,_calc!$E$436))&amp;". ")&amp;IF(LEN(IF(LEN(INDEX('Checks'!$D$4:$D$503,_calc!$E$436))=0,"",INDEX('Checks'!$D$4:$D$503,_calc!$E$436)))=0,"","Check type: "&amp;IF(LEN(INDEX('Checks'!$D$4:$D$503,_calc!$E$436))=0,"",INDEX('Checks'!$D$4:$D$503,_calc!$E$436))&amp;". ")&amp;IF(LEN(IF(LEN(INDEX('Checks'!$E$4:$E$503,_calc!$E$436))=0,"",INDEX('Checks'!$E$4:$E$503,_calc!$E$436)))=0,"","Evidence: "&amp;IF(LEN(INDEX('Checks'!$E$4:$E$503,_calc!$E$436))=0,"",INDEX('Checks'!$E$4:$E$503,_calc!$E$436))&amp;". ")&amp;IF(LEN(IF(LEN(INDEX('Checks'!$G$4:$G$503,_calc!$E$436))=0,"",INDEX('Checks'!$G$4:$G$503,_calc!$E$436)))=0,"","Checked by: "&amp;IF(LEN(INDEX('Checks'!$G$4:$G$503,_calc!$E$436))=0,"",INDEX('Checks'!$G$4:$G$503,_calc!$E$436))&amp;". ")&amp;IF(LEN(IF(LEN(INDEX('Checks'!$Q$4:$Q$503,_calc!$E$436))=0,"",INDEX('Checks'!$Q$4:$Q$503,_calc!$E$436)))=0,"",IF(LEN(INDEX('Checks'!$Q$4:$Q$503,_calc!$E$436))=0,"",INDEX('Checks'!$Q$4:$Q$503,_calc!$E$436)))))</f>
        <v/>
      </c>
      <c r="G434" s="43">
        <f>IF(_calc!$E$436="","",IF(LEN(INDEX('Checks'!$P$4:$P$503,_calc!$E$436))=0,"",INDEX('Checks'!$P$4:$P$503,_calc!$E$436)))</f>
        <v/>
      </c>
      <c r="K434" s="43">
        <f>IF(_calc!$E$436="","",IF(LEN(INDEX('Checks'!$O$4:$O$503,_calc!$E$436))=0,"",INDEX('Checks'!$O$4:$O$503,_calc!$E$436)))</f>
        <v/>
      </c>
    </row>
    <row r="435">
      <c r="A435" s="43">
        <f>IF(_calc!$E$437="","","Right to work follow-up – "&amp;IF(LEN(INDEX('Checks'!$A$4:$A$503,_calc!$E$437))=0,"",INDEX('Checks'!$A$4:$A$503,_calc!$E$437)))</f>
        <v/>
      </c>
      <c r="B435" s="43">
        <f>IF(_calc!$E$437="","",IF(ISNUMBER(INDEX('Checks'!$H$4:$H$503,_calc!$E$437)),TEXT(INDEX('Checks'!$H$4:$H$503,_calc!$E$437),"yyyy-mm-dd"),""))</f>
        <v/>
      </c>
      <c r="C435" s="43">
        <f>IF(_calc!$E$437="","","Right to work")</f>
        <v/>
      </c>
      <c r="D435" s="43">
        <f>IF(_calc!$E$437="","",IF(ISNUMBER(INDEX('Checks'!$F$4:$F$503,_calc!$E$437)),TEXT(INDEX('Checks'!$F$4:$F$503,_calc!$E$437),"yyyy-mm-dd"),""))</f>
        <v/>
      </c>
      <c r="E435" s="43">
        <f>IF(_calc!$E$437="","","High")</f>
        <v/>
      </c>
      <c r="F435" s="43">
        <f>IF(_calc!$E$437="","",TRIM(IF(LEN(IF(LEN(INDEX('Checks'!$B$4:$B$503,_calc!$E$437))=0,"",INDEX('Checks'!$B$4:$B$503,_calc!$E$437)))=0,"","Role: "&amp;IF(LEN(INDEX('Checks'!$B$4:$B$503,_calc!$E$437))=0,"",INDEX('Checks'!$B$4:$B$503,_calc!$E$437))&amp;". ")&amp;IF(LEN(IF(LEN(INDEX('Checks'!$D$4:$D$503,_calc!$E$437))=0,"",INDEX('Checks'!$D$4:$D$503,_calc!$E$437)))=0,"","Check type: "&amp;IF(LEN(INDEX('Checks'!$D$4:$D$503,_calc!$E$437))=0,"",INDEX('Checks'!$D$4:$D$503,_calc!$E$437))&amp;". ")&amp;IF(LEN(IF(LEN(INDEX('Checks'!$E$4:$E$503,_calc!$E$437))=0,"",INDEX('Checks'!$E$4:$E$503,_calc!$E$437)))=0,"","Evidence: "&amp;IF(LEN(INDEX('Checks'!$E$4:$E$503,_calc!$E$437))=0,"",INDEX('Checks'!$E$4:$E$503,_calc!$E$437))&amp;". ")&amp;IF(LEN(IF(LEN(INDEX('Checks'!$G$4:$G$503,_calc!$E$437))=0,"",INDEX('Checks'!$G$4:$G$503,_calc!$E$437)))=0,"","Checked by: "&amp;IF(LEN(INDEX('Checks'!$G$4:$G$503,_calc!$E$437))=0,"",INDEX('Checks'!$G$4:$G$503,_calc!$E$437))&amp;". ")&amp;IF(LEN(IF(LEN(INDEX('Checks'!$Q$4:$Q$503,_calc!$E$437))=0,"",INDEX('Checks'!$Q$4:$Q$503,_calc!$E$437)))=0,"",IF(LEN(INDEX('Checks'!$Q$4:$Q$503,_calc!$E$437))=0,"",INDEX('Checks'!$Q$4:$Q$503,_calc!$E$437)))))</f>
        <v/>
      </c>
      <c r="G435" s="43">
        <f>IF(_calc!$E$437="","",IF(LEN(INDEX('Checks'!$P$4:$P$503,_calc!$E$437))=0,"",INDEX('Checks'!$P$4:$P$503,_calc!$E$437)))</f>
        <v/>
      </c>
      <c r="K435" s="43">
        <f>IF(_calc!$E$437="","",IF(LEN(INDEX('Checks'!$O$4:$O$503,_calc!$E$437))=0,"",INDEX('Checks'!$O$4:$O$503,_calc!$E$437)))</f>
        <v/>
      </c>
    </row>
    <row r="436">
      <c r="A436" s="43">
        <f>IF(_calc!$E$438="","","Right to work follow-up – "&amp;IF(LEN(INDEX('Checks'!$A$4:$A$503,_calc!$E$438))=0,"",INDEX('Checks'!$A$4:$A$503,_calc!$E$438)))</f>
        <v/>
      </c>
      <c r="B436" s="43">
        <f>IF(_calc!$E$438="","",IF(ISNUMBER(INDEX('Checks'!$H$4:$H$503,_calc!$E$438)),TEXT(INDEX('Checks'!$H$4:$H$503,_calc!$E$438),"yyyy-mm-dd"),""))</f>
        <v/>
      </c>
      <c r="C436" s="43">
        <f>IF(_calc!$E$438="","","Right to work")</f>
        <v/>
      </c>
      <c r="D436" s="43">
        <f>IF(_calc!$E$438="","",IF(ISNUMBER(INDEX('Checks'!$F$4:$F$503,_calc!$E$438)),TEXT(INDEX('Checks'!$F$4:$F$503,_calc!$E$438),"yyyy-mm-dd"),""))</f>
        <v/>
      </c>
      <c r="E436" s="43">
        <f>IF(_calc!$E$438="","","High")</f>
        <v/>
      </c>
      <c r="F436" s="43">
        <f>IF(_calc!$E$438="","",TRIM(IF(LEN(IF(LEN(INDEX('Checks'!$B$4:$B$503,_calc!$E$438))=0,"",INDEX('Checks'!$B$4:$B$503,_calc!$E$438)))=0,"","Role: "&amp;IF(LEN(INDEX('Checks'!$B$4:$B$503,_calc!$E$438))=0,"",INDEX('Checks'!$B$4:$B$503,_calc!$E$438))&amp;". ")&amp;IF(LEN(IF(LEN(INDEX('Checks'!$D$4:$D$503,_calc!$E$438))=0,"",INDEX('Checks'!$D$4:$D$503,_calc!$E$438)))=0,"","Check type: "&amp;IF(LEN(INDEX('Checks'!$D$4:$D$503,_calc!$E$438))=0,"",INDEX('Checks'!$D$4:$D$503,_calc!$E$438))&amp;". ")&amp;IF(LEN(IF(LEN(INDEX('Checks'!$E$4:$E$503,_calc!$E$438))=0,"",INDEX('Checks'!$E$4:$E$503,_calc!$E$438)))=0,"","Evidence: "&amp;IF(LEN(INDEX('Checks'!$E$4:$E$503,_calc!$E$438))=0,"",INDEX('Checks'!$E$4:$E$503,_calc!$E$438))&amp;". ")&amp;IF(LEN(IF(LEN(INDEX('Checks'!$G$4:$G$503,_calc!$E$438))=0,"",INDEX('Checks'!$G$4:$G$503,_calc!$E$438)))=0,"","Checked by: "&amp;IF(LEN(INDEX('Checks'!$G$4:$G$503,_calc!$E$438))=0,"",INDEX('Checks'!$G$4:$G$503,_calc!$E$438))&amp;". ")&amp;IF(LEN(IF(LEN(INDEX('Checks'!$Q$4:$Q$503,_calc!$E$438))=0,"",INDEX('Checks'!$Q$4:$Q$503,_calc!$E$438)))=0,"",IF(LEN(INDEX('Checks'!$Q$4:$Q$503,_calc!$E$438))=0,"",INDEX('Checks'!$Q$4:$Q$503,_calc!$E$438)))))</f>
        <v/>
      </c>
      <c r="G436" s="43">
        <f>IF(_calc!$E$438="","",IF(LEN(INDEX('Checks'!$P$4:$P$503,_calc!$E$438))=0,"",INDEX('Checks'!$P$4:$P$503,_calc!$E$438)))</f>
        <v/>
      </c>
      <c r="K436" s="43">
        <f>IF(_calc!$E$438="","",IF(LEN(INDEX('Checks'!$O$4:$O$503,_calc!$E$438))=0,"",INDEX('Checks'!$O$4:$O$503,_calc!$E$438)))</f>
        <v/>
      </c>
    </row>
    <row r="437">
      <c r="A437" s="43">
        <f>IF(_calc!$E$439="","","Right to work follow-up – "&amp;IF(LEN(INDEX('Checks'!$A$4:$A$503,_calc!$E$439))=0,"",INDEX('Checks'!$A$4:$A$503,_calc!$E$439)))</f>
        <v/>
      </c>
      <c r="B437" s="43">
        <f>IF(_calc!$E$439="","",IF(ISNUMBER(INDEX('Checks'!$H$4:$H$503,_calc!$E$439)),TEXT(INDEX('Checks'!$H$4:$H$503,_calc!$E$439),"yyyy-mm-dd"),""))</f>
        <v/>
      </c>
      <c r="C437" s="43">
        <f>IF(_calc!$E$439="","","Right to work")</f>
        <v/>
      </c>
      <c r="D437" s="43">
        <f>IF(_calc!$E$439="","",IF(ISNUMBER(INDEX('Checks'!$F$4:$F$503,_calc!$E$439)),TEXT(INDEX('Checks'!$F$4:$F$503,_calc!$E$439),"yyyy-mm-dd"),""))</f>
        <v/>
      </c>
      <c r="E437" s="43">
        <f>IF(_calc!$E$439="","","High")</f>
        <v/>
      </c>
      <c r="F437" s="43">
        <f>IF(_calc!$E$439="","",TRIM(IF(LEN(IF(LEN(INDEX('Checks'!$B$4:$B$503,_calc!$E$439))=0,"",INDEX('Checks'!$B$4:$B$503,_calc!$E$439)))=0,"","Role: "&amp;IF(LEN(INDEX('Checks'!$B$4:$B$503,_calc!$E$439))=0,"",INDEX('Checks'!$B$4:$B$503,_calc!$E$439))&amp;". ")&amp;IF(LEN(IF(LEN(INDEX('Checks'!$D$4:$D$503,_calc!$E$439))=0,"",INDEX('Checks'!$D$4:$D$503,_calc!$E$439)))=0,"","Check type: "&amp;IF(LEN(INDEX('Checks'!$D$4:$D$503,_calc!$E$439))=0,"",INDEX('Checks'!$D$4:$D$503,_calc!$E$439))&amp;". ")&amp;IF(LEN(IF(LEN(INDEX('Checks'!$E$4:$E$503,_calc!$E$439))=0,"",INDEX('Checks'!$E$4:$E$503,_calc!$E$439)))=0,"","Evidence: "&amp;IF(LEN(INDEX('Checks'!$E$4:$E$503,_calc!$E$439))=0,"",INDEX('Checks'!$E$4:$E$503,_calc!$E$439))&amp;". ")&amp;IF(LEN(IF(LEN(INDEX('Checks'!$G$4:$G$503,_calc!$E$439))=0,"",INDEX('Checks'!$G$4:$G$503,_calc!$E$439)))=0,"","Checked by: "&amp;IF(LEN(INDEX('Checks'!$G$4:$G$503,_calc!$E$439))=0,"",INDEX('Checks'!$G$4:$G$503,_calc!$E$439))&amp;". ")&amp;IF(LEN(IF(LEN(INDEX('Checks'!$Q$4:$Q$503,_calc!$E$439))=0,"",INDEX('Checks'!$Q$4:$Q$503,_calc!$E$439)))=0,"",IF(LEN(INDEX('Checks'!$Q$4:$Q$503,_calc!$E$439))=0,"",INDEX('Checks'!$Q$4:$Q$503,_calc!$E$439)))))</f>
        <v/>
      </c>
      <c r="G437" s="43">
        <f>IF(_calc!$E$439="","",IF(LEN(INDEX('Checks'!$P$4:$P$503,_calc!$E$439))=0,"",INDEX('Checks'!$P$4:$P$503,_calc!$E$439)))</f>
        <v/>
      </c>
      <c r="K437" s="43">
        <f>IF(_calc!$E$439="","",IF(LEN(INDEX('Checks'!$O$4:$O$503,_calc!$E$439))=0,"",INDEX('Checks'!$O$4:$O$503,_calc!$E$439)))</f>
        <v/>
      </c>
    </row>
    <row r="438">
      <c r="A438" s="43">
        <f>IF(_calc!$E$440="","","Right to work follow-up – "&amp;IF(LEN(INDEX('Checks'!$A$4:$A$503,_calc!$E$440))=0,"",INDEX('Checks'!$A$4:$A$503,_calc!$E$440)))</f>
        <v/>
      </c>
      <c r="B438" s="43">
        <f>IF(_calc!$E$440="","",IF(ISNUMBER(INDEX('Checks'!$H$4:$H$503,_calc!$E$440)),TEXT(INDEX('Checks'!$H$4:$H$503,_calc!$E$440),"yyyy-mm-dd"),""))</f>
        <v/>
      </c>
      <c r="C438" s="43">
        <f>IF(_calc!$E$440="","","Right to work")</f>
        <v/>
      </c>
      <c r="D438" s="43">
        <f>IF(_calc!$E$440="","",IF(ISNUMBER(INDEX('Checks'!$F$4:$F$503,_calc!$E$440)),TEXT(INDEX('Checks'!$F$4:$F$503,_calc!$E$440),"yyyy-mm-dd"),""))</f>
        <v/>
      </c>
      <c r="E438" s="43">
        <f>IF(_calc!$E$440="","","High")</f>
        <v/>
      </c>
      <c r="F438" s="43">
        <f>IF(_calc!$E$440="","",TRIM(IF(LEN(IF(LEN(INDEX('Checks'!$B$4:$B$503,_calc!$E$440))=0,"",INDEX('Checks'!$B$4:$B$503,_calc!$E$440)))=0,"","Role: "&amp;IF(LEN(INDEX('Checks'!$B$4:$B$503,_calc!$E$440))=0,"",INDEX('Checks'!$B$4:$B$503,_calc!$E$440))&amp;". ")&amp;IF(LEN(IF(LEN(INDEX('Checks'!$D$4:$D$503,_calc!$E$440))=0,"",INDEX('Checks'!$D$4:$D$503,_calc!$E$440)))=0,"","Check type: "&amp;IF(LEN(INDEX('Checks'!$D$4:$D$503,_calc!$E$440))=0,"",INDEX('Checks'!$D$4:$D$503,_calc!$E$440))&amp;". ")&amp;IF(LEN(IF(LEN(INDEX('Checks'!$E$4:$E$503,_calc!$E$440))=0,"",INDEX('Checks'!$E$4:$E$503,_calc!$E$440)))=0,"","Evidence: "&amp;IF(LEN(INDEX('Checks'!$E$4:$E$503,_calc!$E$440))=0,"",INDEX('Checks'!$E$4:$E$503,_calc!$E$440))&amp;". ")&amp;IF(LEN(IF(LEN(INDEX('Checks'!$G$4:$G$503,_calc!$E$440))=0,"",INDEX('Checks'!$G$4:$G$503,_calc!$E$440)))=0,"","Checked by: "&amp;IF(LEN(INDEX('Checks'!$G$4:$G$503,_calc!$E$440))=0,"",INDEX('Checks'!$G$4:$G$503,_calc!$E$440))&amp;". ")&amp;IF(LEN(IF(LEN(INDEX('Checks'!$Q$4:$Q$503,_calc!$E$440))=0,"",INDEX('Checks'!$Q$4:$Q$503,_calc!$E$440)))=0,"",IF(LEN(INDEX('Checks'!$Q$4:$Q$503,_calc!$E$440))=0,"",INDEX('Checks'!$Q$4:$Q$503,_calc!$E$440)))))</f>
        <v/>
      </c>
      <c r="G438" s="43">
        <f>IF(_calc!$E$440="","",IF(LEN(INDEX('Checks'!$P$4:$P$503,_calc!$E$440))=0,"",INDEX('Checks'!$P$4:$P$503,_calc!$E$440)))</f>
        <v/>
      </c>
      <c r="K438" s="43">
        <f>IF(_calc!$E$440="","",IF(LEN(INDEX('Checks'!$O$4:$O$503,_calc!$E$440))=0,"",INDEX('Checks'!$O$4:$O$503,_calc!$E$440)))</f>
        <v/>
      </c>
    </row>
    <row r="439">
      <c r="A439" s="43">
        <f>IF(_calc!$E$441="","","Right to work follow-up – "&amp;IF(LEN(INDEX('Checks'!$A$4:$A$503,_calc!$E$441))=0,"",INDEX('Checks'!$A$4:$A$503,_calc!$E$441)))</f>
        <v/>
      </c>
      <c r="B439" s="43">
        <f>IF(_calc!$E$441="","",IF(ISNUMBER(INDEX('Checks'!$H$4:$H$503,_calc!$E$441)),TEXT(INDEX('Checks'!$H$4:$H$503,_calc!$E$441),"yyyy-mm-dd"),""))</f>
        <v/>
      </c>
      <c r="C439" s="43">
        <f>IF(_calc!$E$441="","","Right to work")</f>
        <v/>
      </c>
      <c r="D439" s="43">
        <f>IF(_calc!$E$441="","",IF(ISNUMBER(INDEX('Checks'!$F$4:$F$503,_calc!$E$441)),TEXT(INDEX('Checks'!$F$4:$F$503,_calc!$E$441),"yyyy-mm-dd"),""))</f>
        <v/>
      </c>
      <c r="E439" s="43">
        <f>IF(_calc!$E$441="","","High")</f>
        <v/>
      </c>
      <c r="F439" s="43">
        <f>IF(_calc!$E$441="","",TRIM(IF(LEN(IF(LEN(INDEX('Checks'!$B$4:$B$503,_calc!$E$441))=0,"",INDEX('Checks'!$B$4:$B$503,_calc!$E$441)))=0,"","Role: "&amp;IF(LEN(INDEX('Checks'!$B$4:$B$503,_calc!$E$441))=0,"",INDEX('Checks'!$B$4:$B$503,_calc!$E$441))&amp;". ")&amp;IF(LEN(IF(LEN(INDEX('Checks'!$D$4:$D$503,_calc!$E$441))=0,"",INDEX('Checks'!$D$4:$D$503,_calc!$E$441)))=0,"","Check type: "&amp;IF(LEN(INDEX('Checks'!$D$4:$D$503,_calc!$E$441))=0,"",INDEX('Checks'!$D$4:$D$503,_calc!$E$441))&amp;". ")&amp;IF(LEN(IF(LEN(INDEX('Checks'!$E$4:$E$503,_calc!$E$441))=0,"",INDEX('Checks'!$E$4:$E$503,_calc!$E$441)))=0,"","Evidence: "&amp;IF(LEN(INDEX('Checks'!$E$4:$E$503,_calc!$E$441))=0,"",INDEX('Checks'!$E$4:$E$503,_calc!$E$441))&amp;". ")&amp;IF(LEN(IF(LEN(INDEX('Checks'!$G$4:$G$503,_calc!$E$441))=0,"",INDEX('Checks'!$G$4:$G$503,_calc!$E$441)))=0,"","Checked by: "&amp;IF(LEN(INDEX('Checks'!$G$4:$G$503,_calc!$E$441))=0,"",INDEX('Checks'!$G$4:$G$503,_calc!$E$441))&amp;". ")&amp;IF(LEN(IF(LEN(INDEX('Checks'!$Q$4:$Q$503,_calc!$E$441))=0,"",INDEX('Checks'!$Q$4:$Q$503,_calc!$E$441)))=0,"",IF(LEN(INDEX('Checks'!$Q$4:$Q$503,_calc!$E$441))=0,"",INDEX('Checks'!$Q$4:$Q$503,_calc!$E$441)))))</f>
        <v/>
      </c>
      <c r="G439" s="43">
        <f>IF(_calc!$E$441="","",IF(LEN(INDEX('Checks'!$P$4:$P$503,_calc!$E$441))=0,"",INDEX('Checks'!$P$4:$P$503,_calc!$E$441)))</f>
        <v/>
      </c>
      <c r="K439" s="43">
        <f>IF(_calc!$E$441="","",IF(LEN(INDEX('Checks'!$O$4:$O$503,_calc!$E$441))=0,"",INDEX('Checks'!$O$4:$O$503,_calc!$E$441)))</f>
        <v/>
      </c>
    </row>
    <row r="440">
      <c r="A440" s="43">
        <f>IF(_calc!$E$442="","","Right to work follow-up – "&amp;IF(LEN(INDEX('Checks'!$A$4:$A$503,_calc!$E$442))=0,"",INDEX('Checks'!$A$4:$A$503,_calc!$E$442)))</f>
        <v/>
      </c>
      <c r="B440" s="43">
        <f>IF(_calc!$E$442="","",IF(ISNUMBER(INDEX('Checks'!$H$4:$H$503,_calc!$E$442)),TEXT(INDEX('Checks'!$H$4:$H$503,_calc!$E$442),"yyyy-mm-dd"),""))</f>
        <v/>
      </c>
      <c r="C440" s="43">
        <f>IF(_calc!$E$442="","","Right to work")</f>
        <v/>
      </c>
      <c r="D440" s="43">
        <f>IF(_calc!$E$442="","",IF(ISNUMBER(INDEX('Checks'!$F$4:$F$503,_calc!$E$442)),TEXT(INDEX('Checks'!$F$4:$F$503,_calc!$E$442),"yyyy-mm-dd"),""))</f>
        <v/>
      </c>
      <c r="E440" s="43">
        <f>IF(_calc!$E$442="","","High")</f>
        <v/>
      </c>
      <c r="F440" s="43">
        <f>IF(_calc!$E$442="","",TRIM(IF(LEN(IF(LEN(INDEX('Checks'!$B$4:$B$503,_calc!$E$442))=0,"",INDEX('Checks'!$B$4:$B$503,_calc!$E$442)))=0,"","Role: "&amp;IF(LEN(INDEX('Checks'!$B$4:$B$503,_calc!$E$442))=0,"",INDEX('Checks'!$B$4:$B$503,_calc!$E$442))&amp;". ")&amp;IF(LEN(IF(LEN(INDEX('Checks'!$D$4:$D$503,_calc!$E$442))=0,"",INDEX('Checks'!$D$4:$D$503,_calc!$E$442)))=0,"","Check type: "&amp;IF(LEN(INDEX('Checks'!$D$4:$D$503,_calc!$E$442))=0,"",INDEX('Checks'!$D$4:$D$503,_calc!$E$442))&amp;". ")&amp;IF(LEN(IF(LEN(INDEX('Checks'!$E$4:$E$503,_calc!$E$442))=0,"",INDEX('Checks'!$E$4:$E$503,_calc!$E$442)))=0,"","Evidence: "&amp;IF(LEN(INDEX('Checks'!$E$4:$E$503,_calc!$E$442))=0,"",INDEX('Checks'!$E$4:$E$503,_calc!$E$442))&amp;". ")&amp;IF(LEN(IF(LEN(INDEX('Checks'!$G$4:$G$503,_calc!$E$442))=0,"",INDEX('Checks'!$G$4:$G$503,_calc!$E$442)))=0,"","Checked by: "&amp;IF(LEN(INDEX('Checks'!$G$4:$G$503,_calc!$E$442))=0,"",INDEX('Checks'!$G$4:$G$503,_calc!$E$442))&amp;". ")&amp;IF(LEN(IF(LEN(INDEX('Checks'!$Q$4:$Q$503,_calc!$E$442))=0,"",INDEX('Checks'!$Q$4:$Q$503,_calc!$E$442)))=0,"",IF(LEN(INDEX('Checks'!$Q$4:$Q$503,_calc!$E$442))=0,"",INDEX('Checks'!$Q$4:$Q$503,_calc!$E$442)))))</f>
        <v/>
      </c>
      <c r="G440" s="43">
        <f>IF(_calc!$E$442="","",IF(LEN(INDEX('Checks'!$P$4:$P$503,_calc!$E$442))=0,"",INDEX('Checks'!$P$4:$P$503,_calc!$E$442)))</f>
        <v/>
      </c>
      <c r="K440" s="43">
        <f>IF(_calc!$E$442="","",IF(LEN(INDEX('Checks'!$O$4:$O$503,_calc!$E$442))=0,"",INDEX('Checks'!$O$4:$O$503,_calc!$E$442)))</f>
        <v/>
      </c>
    </row>
    <row r="441">
      <c r="A441" s="43">
        <f>IF(_calc!$E$443="","","Right to work follow-up – "&amp;IF(LEN(INDEX('Checks'!$A$4:$A$503,_calc!$E$443))=0,"",INDEX('Checks'!$A$4:$A$503,_calc!$E$443)))</f>
        <v/>
      </c>
      <c r="B441" s="43">
        <f>IF(_calc!$E$443="","",IF(ISNUMBER(INDEX('Checks'!$H$4:$H$503,_calc!$E$443)),TEXT(INDEX('Checks'!$H$4:$H$503,_calc!$E$443),"yyyy-mm-dd"),""))</f>
        <v/>
      </c>
      <c r="C441" s="43">
        <f>IF(_calc!$E$443="","","Right to work")</f>
        <v/>
      </c>
      <c r="D441" s="43">
        <f>IF(_calc!$E$443="","",IF(ISNUMBER(INDEX('Checks'!$F$4:$F$503,_calc!$E$443)),TEXT(INDEX('Checks'!$F$4:$F$503,_calc!$E$443),"yyyy-mm-dd"),""))</f>
        <v/>
      </c>
      <c r="E441" s="43">
        <f>IF(_calc!$E$443="","","High")</f>
        <v/>
      </c>
      <c r="F441" s="43">
        <f>IF(_calc!$E$443="","",TRIM(IF(LEN(IF(LEN(INDEX('Checks'!$B$4:$B$503,_calc!$E$443))=0,"",INDEX('Checks'!$B$4:$B$503,_calc!$E$443)))=0,"","Role: "&amp;IF(LEN(INDEX('Checks'!$B$4:$B$503,_calc!$E$443))=0,"",INDEX('Checks'!$B$4:$B$503,_calc!$E$443))&amp;". ")&amp;IF(LEN(IF(LEN(INDEX('Checks'!$D$4:$D$503,_calc!$E$443))=0,"",INDEX('Checks'!$D$4:$D$503,_calc!$E$443)))=0,"","Check type: "&amp;IF(LEN(INDEX('Checks'!$D$4:$D$503,_calc!$E$443))=0,"",INDEX('Checks'!$D$4:$D$503,_calc!$E$443))&amp;". ")&amp;IF(LEN(IF(LEN(INDEX('Checks'!$E$4:$E$503,_calc!$E$443))=0,"",INDEX('Checks'!$E$4:$E$503,_calc!$E$443)))=0,"","Evidence: "&amp;IF(LEN(INDEX('Checks'!$E$4:$E$503,_calc!$E$443))=0,"",INDEX('Checks'!$E$4:$E$503,_calc!$E$443))&amp;". ")&amp;IF(LEN(IF(LEN(INDEX('Checks'!$G$4:$G$503,_calc!$E$443))=0,"",INDEX('Checks'!$G$4:$G$503,_calc!$E$443)))=0,"","Checked by: "&amp;IF(LEN(INDEX('Checks'!$G$4:$G$503,_calc!$E$443))=0,"",INDEX('Checks'!$G$4:$G$503,_calc!$E$443))&amp;". ")&amp;IF(LEN(IF(LEN(INDEX('Checks'!$Q$4:$Q$503,_calc!$E$443))=0,"",INDEX('Checks'!$Q$4:$Q$503,_calc!$E$443)))=0,"",IF(LEN(INDEX('Checks'!$Q$4:$Q$503,_calc!$E$443))=0,"",INDEX('Checks'!$Q$4:$Q$503,_calc!$E$443)))))</f>
        <v/>
      </c>
      <c r="G441" s="43">
        <f>IF(_calc!$E$443="","",IF(LEN(INDEX('Checks'!$P$4:$P$503,_calc!$E$443))=0,"",INDEX('Checks'!$P$4:$P$503,_calc!$E$443)))</f>
        <v/>
      </c>
      <c r="K441" s="43">
        <f>IF(_calc!$E$443="","",IF(LEN(INDEX('Checks'!$O$4:$O$503,_calc!$E$443))=0,"",INDEX('Checks'!$O$4:$O$503,_calc!$E$443)))</f>
        <v/>
      </c>
    </row>
    <row r="442">
      <c r="A442" s="43">
        <f>IF(_calc!$E$444="","","Right to work follow-up – "&amp;IF(LEN(INDEX('Checks'!$A$4:$A$503,_calc!$E$444))=0,"",INDEX('Checks'!$A$4:$A$503,_calc!$E$444)))</f>
        <v/>
      </c>
      <c r="B442" s="43">
        <f>IF(_calc!$E$444="","",IF(ISNUMBER(INDEX('Checks'!$H$4:$H$503,_calc!$E$444)),TEXT(INDEX('Checks'!$H$4:$H$503,_calc!$E$444),"yyyy-mm-dd"),""))</f>
        <v/>
      </c>
      <c r="C442" s="43">
        <f>IF(_calc!$E$444="","","Right to work")</f>
        <v/>
      </c>
      <c r="D442" s="43">
        <f>IF(_calc!$E$444="","",IF(ISNUMBER(INDEX('Checks'!$F$4:$F$503,_calc!$E$444)),TEXT(INDEX('Checks'!$F$4:$F$503,_calc!$E$444),"yyyy-mm-dd"),""))</f>
        <v/>
      </c>
      <c r="E442" s="43">
        <f>IF(_calc!$E$444="","","High")</f>
        <v/>
      </c>
      <c r="F442" s="43">
        <f>IF(_calc!$E$444="","",TRIM(IF(LEN(IF(LEN(INDEX('Checks'!$B$4:$B$503,_calc!$E$444))=0,"",INDEX('Checks'!$B$4:$B$503,_calc!$E$444)))=0,"","Role: "&amp;IF(LEN(INDEX('Checks'!$B$4:$B$503,_calc!$E$444))=0,"",INDEX('Checks'!$B$4:$B$503,_calc!$E$444))&amp;". ")&amp;IF(LEN(IF(LEN(INDEX('Checks'!$D$4:$D$503,_calc!$E$444))=0,"",INDEX('Checks'!$D$4:$D$503,_calc!$E$444)))=0,"","Check type: "&amp;IF(LEN(INDEX('Checks'!$D$4:$D$503,_calc!$E$444))=0,"",INDEX('Checks'!$D$4:$D$503,_calc!$E$444))&amp;". ")&amp;IF(LEN(IF(LEN(INDEX('Checks'!$E$4:$E$503,_calc!$E$444))=0,"",INDEX('Checks'!$E$4:$E$503,_calc!$E$444)))=0,"","Evidence: "&amp;IF(LEN(INDEX('Checks'!$E$4:$E$503,_calc!$E$444))=0,"",INDEX('Checks'!$E$4:$E$503,_calc!$E$444))&amp;". ")&amp;IF(LEN(IF(LEN(INDEX('Checks'!$G$4:$G$503,_calc!$E$444))=0,"",INDEX('Checks'!$G$4:$G$503,_calc!$E$444)))=0,"","Checked by: "&amp;IF(LEN(INDEX('Checks'!$G$4:$G$503,_calc!$E$444))=0,"",INDEX('Checks'!$G$4:$G$503,_calc!$E$444))&amp;". ")&amp;IF(LEN(IF(LEN(INDEX('Checks'!$Q$4:$Q$503,_calc!$E$444))=0,"",INDEX('Checks'!$Q$4:$Q$503,_calc!$E$444)))=0,"",IF(LEN(INDEX('Checks'!$Q$4:$Q$503,_calc!$E$444))=0,"",INDEX('Checks'!$Q$4:$Q$503,_calc!$E$444)))))</f>
        <v/>
      </c>
      <c r="G442" s="43">
        <f>IF(_calc!$E$444="","",IF(LEN(INDEX('Checks'!$P$4:$P$503,_calc!$E$444))=0,"",INDEX('Checks'!$P$4:$P$503,_calc!$E$444)))</f>
        <v/>
      </c>
      <c r="K442" s="43">
        <f>IF(_calc!$E$444="","",IF(LEN(INDEX('Checks'!$O$4:$O$503,_calc!$E$444))=0,"",INDEX('Checks'!$O$4:$O$503,_calc!$E$444)))</f>
        <v/>
      </c>
    </row>
    <row r="443">
      <c r="A443" s="43">
        <f>IF(_calc!$E$445="","","Right to work follow-up – "&amp;IF(LEN(INDEX('Checks'!$A$4:$A$503,_calc!$E$445))=0,"",INDEX('Checks'!$A$4:$A$503,_calc!$E$445)))</f>
        <v/>
      </c>
      <c r="B443" s="43">
        <f>IF(_calc!$E$445="","",IF(ISNUMBER(INDEX('Checks'!$H$4:$H$503,_calc!$E$445)),TEXT(INDEX('Checks'!$H$4:$H$503,_calc!$E$445),"yyyy-mm-dd"),""))</f>
        <v/>
      </c>
      <c r="C443" s="43">
        <f>IF(_calc!$E$445="","","Right to work")</f>
        <v/>
      </c>
      <c r="D443" s="43">
        <f>IF(_calc!$E$445="","",IF(ISNUMBER(INDEX('Checks'!$F$4:$F$503,_calc!$E$445)),TEXT(INDEX('Checks'!$F$4:$F$503,_calc!$E$445),"yyyy-mm-dd"),""))</f>
        <v/>
      </c>
      <c r="E443" s="43">
        <f>IF(_calc!$E$445="","","High")</f>
        <v/>
      </c>
      <c r="F443" s="43">
        <f>IF(_calc!$E$445="","",TRIM(IF(LEN(IF(LEN(INDEX('Checks'!$B$4:$B$503,_calc!$E$445))=0,"",INDEX('Checks'!$B$4:$B$503,_calc!$E$445)))=0,"","Role: "&amp;IF(LEN(INDEX('Checks'!$B$4:$B$503,_calc!$E$445))=0,"",INDEX('Checks'!$B$4:$B$503,_calc!$E$445))&amp;". ")&amp;IF(LEN(IF(LEN(INDEX('Checks'!$D$4:$D$503,_calc!$E$445))=0,"",INDEX('Checks'!$D$4:$D$503,_calc!$E$445)))=0,"","Check type: "&amp;IF(LEN(INDEX('Checks'!$D$4:$D$503,_calc!$E$445))=0,"",INDEX('Checks'!$D$4:$D$503,_calc!$E$445))&amp;". ")&amp;IF(LEN(IF(LEN(INDEX('Checks'!$E$4:$E$503,_calc!$E$445))=0,"",INDEX('Checks'!$E$4:$E$503,_calc!$E$445)))=0,"","Evidence: "&amp;IF(LEN(INDEX('Checks'!$E$4:$E$503,_calc!$E$445))=0,"",INDEX('Checks'!$E$4:$E$503,_calc!$E$445))&amp;". ")&amp;IF(LEN(IF(LEN(INDEX('Checks'!$G$4:$G$503,_calc!$E$445))=0,"",INDEX('Checks'!$G$4:$G$503,_calc!$E$445)))=0,"","Checked by: "&amp;IF(LEN(INDEX('Checks'!$G$4:$G$503,_calc!$E$445))=0,"",INDEX('Checks'!$G$4:$G$503,_calc!$E$445))&amp;". ")&amp;IF(LEN(IF(LEN(INDEX('Checks'!$Q$4:$Q$503,_calc!$E$445))=0,"",INDEX('Checks'!$Q$4:$Q$503,_calc!$E$445)))=0,"",IF(LEN(INDEX('Checks'!$Q$4:$Q$503,_calc!$E$445))=0,"",INDEX('Checks'!$Q$4:$Q$503,_calc!$E$445)))))</f>
        <v/>
      </c>
      <c r="G443" s="43">
        <f>IF(_calc!$E$445="","",IF(LEN(INDEX('Checks'!$P$4:$P$503,_calc!$E$445))=0,"",INDEX('Checks'!$P$4:$P$503,_calc!$E$445)))</f>
        <v/>
      </c>
      <c r="K443" s="43">
        <f>IF(_calc!$E$445="","",IF(LEN(INDEX('Checks'!$O$4:$O$503,_calc!$E$445))=0,"",INDEX('Checks'!$O$4:$O$503,_calc!$E$445)))</f>
        <v/>
      </c>
    </row>
    <row r="444">
      <c r="A444" s="43">
        <f>IF(_calc!$E$446="","","Right to work follow-up – "&amp;IF(LEN(INDEX('Checks'!$A$4:$A$503,_calc!$E$446))=0,"",INDEX('Checks'!$A$4:$A$503,_calc!$E$446)))</f>
        <v/>
      </c>
      <c r="B444" s="43">
        <f>IF(_calc!$E$446="","",IF(ISNUMBER(INDEX('Checks'!$H$4:$H$503,_calc!$E$446)),TEXT(INDEX('Checks'!$H$4:$H$503,_calc!$E$446),"yyyy-mm-dd"),""))</f>
        <v/>
      </c>
      <c r="C444" s="43">
        <f>IF(_calc!$E$446="","","Right to work")</f>
        <v/>
      </c>
      <c r="D444" s="43">
        <f>IF(_calc!$E$446="","",IF(ISNUMBER(INDEX('Checks'!$F$4:$F$503,_calc!$E$446)),TEXT(INDEX('Checks'!$F$4:$F$503,_calc!$E$446),"yyyy-mm-dd"),""))</f>
        <v/>
      </c>
      <c r="E444" s="43">
        <f>IF(_calc!$E$446="","","High")</f>
        <v/>
      </c>
      <c r="F444" s="43">
        <f>IF(_calc!$E$446="","",TRIM(IF(LEN(IF(LEN(INDEX('Checks'!$B$4:$B$503,_calc!$E$446))=0,"",INDEX('Checks'!$B$4:$B$503,_calc!$E$446)))=0,"","Role: "&amp;IF(LEN(INDEX('Checks'!$B$4:$B$503,_calc!$E$446))=0,"",INDEX('Checks'!$B$4:$B$503,_calc!$E$446))&amp;". ")&amp;IF(LEN(IF(LEN(INDEX('Checks'!$D$4:$D$503,_calc!$E$446))=0,"",INDEX('Checks'!$D$4:$D$503,_calc!$E$446)))=0,"","Check type: "&amp;IF(LEN(INDEX('Checks'!$D$4:$D$503,_calc!$E$446))=0,"",INDEX('Checks'!$D$4:$D$503,_calc!$E$446))&amp;". ")&amp;IF(LEN(IF(LEN(INDEX('Checks'!$E$4:$E$503,_calc!$E$446))=0,"",INDEX('Checks'!$E$4:$E$503,_calc!$E$446)))=0,"","Evidence: "&amp;IF(LEN(INDEX('Checks'!$E$4:$E$503,_calc!$E$446))=0,"",INDEX('Checks'!$E$4:$E$503,_calc!$E$446))&amp;". ")&amp;IF(LEN(IF(LEN(INDEX('Checks'!$G$4:$G$503,_calc!$E$446))=0,"",INDEX('Checks'!$G$4:$G$503,_calc!$E$446)))=0,"","Checked by: "&amp;IF(LEN(INDEX('Checks'!$G$4:$G$503,_calc!$E$446))=0,"",INDEX('Checks'!$G$4:$G$503,_calc!$E$446))&amp;". ")&amp;IF(LEN(IF(LEN(INDEX('Checks'!$Q$4:$Q$503,_calc!$E$446))=0,"",INDEX('Checks'!$Q$4:$Q$503,_calc!$E$446)))=0,"",IF(LEN(INDEX('Checks'!$Q$4:$Q$503,_calc!$E$446))=0,"",INDEX('Checks'!$Q$4:$Q$503,_calc!$E$446)))))</f>
        <v/>
      </c>
      <c r="G444" s="43">
        <f>IF(_calc!$E$446="","",IF(LEN(INDEX('Checks'!$P$4:$P$503,_calc!$E$446))=0,"",INDEX('Checks'!$P$4:$P$503,_calc!$E$446)))</f>
        <v/>
      </c>
      <c r="K444" s="43">
        <f>IF(_calc!$E$446="","",IF(LEN(INDEX('Checks'!$O$4:$O$503,_calc!$E$446))=0,"",INDEX('Checks'!$O$4:$O$503,_calc!$E$446)))</f>
        <v/>
      </c>
    </row>
    <row r="445">
      <c r="A445" s="43">
        <f>IF(_calc!$E$447="","","Right to work follow-up – "&amp;IF(LEN(INDEX('Checks'!$A$4:$A$503,_calc!$E$447))=0,"",INDEX('Checks'!$A$4:$A$503,_calc!$E$447)))</f>
        <v/>
      </c>
      <c r="B445" s="43">
        <f>IF(_calc!$E$447="","",IF(ISNUMBER(INDEX('Checks'!$H$4:$H$503,_calc!$E$447)),TEXT(INDEX('Checks'!$H$4:$H$503,_calc!$E$447),"yyyy-mm-dd"),""))</f>
        <v/>
      </c>
      <c r="C445" s="43">
        <f>IF(_calc!$E$447="","","Right to work")</f>
        <v/>
      </c>
      <c r="D445" s="43">
        <f>IF(_calc!$E$447="","",IF(ISNUMBER(INDEX('Checks'!$F$4:$F$503,_calc!$E$447)),TEXT(INDEX('Checks'!$F$4:$F$503,_calc!$E$447),"yyyy-mm-dd"),""))</f>
        <v/>
      </c>
      <c r="E445" s="43">
        <f>IF(_calc!$E$447="","","High")</f>
        <v/>
      </c>
      <c r="F445" s="43">
        <f>IF(_calc!$E$447="","",TRIM(IF(LEN(IF(LEN(INDEX('Checks'!$B$4:$B$503,_calc!$E$447))=0,"",INDEX('Checks'!$B$4:$B$503,_calc!$E$447)))=0,"","Role: "&amp;IF(LEN(INDEX('Checks'!$B$4:$B$503,_calc!$E$447))=0,"",INDEX('Checks'!$B$4:$B$503,_calc!$E$447))&amp;". ")&amp;IF(LEN(IF(LEN(INDEX('Checks'!$D$4:$D$503,_calc!$E$447))=0,"",INDEX('Checks'!$D$4:$D$503,_calc!$E$447)))=0,"","Check type: "&amp;IF(LEN(INDEX('Checks'!$D$4:$D$503,_calc!$E$447))=0,"",INDEX('Checks'!$D$4:$D$503,_calc!$E$447))&amp;". ")&amp;IF(LEN(IF(LEN(INDEX('Checks'!$E$4:$E$503,_calc!$E$447))=0,"",INDEX('Checks'!$E$4:$E$503,_calc!$E$447)))=0,"","Evidence: "&amp;IF(LEN(INDEX('Checks'!$E$4:$E$503,_calc!$E$447))=0,"",INDEX('Checks'!$E$4:$E$503,_calc!$E$447))&amp;". ")&amp;IF(LEN(IF(LEN(INDEX('Checks'!$G$4:$G$503,_calc!$E$447))=0,"",INDEX('Checks'!$G$4:$G$503,_calc!$E$447)))=0,"","Checked by: "&amp;IF(LEN(INDEX('Checks'!$G$4:$G$503,_calc!$E$447))=0,"",INDEX('Checks'!$G$4:$G$503,_calc!$E$447))&amp;". ")&amp;IF(LEN(IF(LEN(INDEX('Checks'!$Q$4:$Q$503,_calc!$E$447))=0,"",INDEX('Checks'!$Q$4:$Q$503,_calc!$E$447)))=0,"",IF(LEN(INDEX('Checks'!$Q$4:$Q$503,_calc!$E$447))=0,"",INDEX('Checks'!$Q$4:$Q$503,_calc!$E$447)))))</f>
        <v/>
      </c>
      <c r="G445" s="43">
        <f>IF(_calc!$E$447="","",IF(LEN(INDEX('Checks'!$P$4:$P$503,_calc!$E$447))=0,"",INDEX('Checks'!$P$4:$P$503,_calc!$E$447)))</f>
        <v/>
      </c>
      <c r="K445" s="43">
        <f>IF(_calc!$E$447="","",IF(LEN(INDEX('Checks'!$O$4:$O$503,_calc!$E$447))=0,"",INDEX('Checks'!$O$4:$O$503,_calc!$E$447)))</f>
        <v/>
      </c>
    </row>
    <row r="446">
      <c r="A446" s="43">
        <f>IF(_calc!$E$448="","","Right to work follow-up – "&amp;IF(LEN(INDEX('Checks'!$A$4:$A$503,_calc!$E$448))=0,"",INDEX('Checks'!$A$4:$A$503,_calc!$E$448)))</f>
        <v/>
      </c>
      <c r="B446" s="43">
        <f>IF(_calc!$E$448="","",IF(ISNUMBER(INDEX('Checks'!$H$4:$H$503,_calc!$E$448)),TEXT(INDEX('Checks'!$H$4:$H$503,_calc!$E$448),"yyyy-mm-dd"),""))</f>
        <v/>
      </c>
      <c r="C446" s="43">
        <f>IF(_calc!$E$448="","","Right to work")</f>
        <v/>
      </c>
      <c r="D446" s="43">
        <f>IF(_calc!$E$448="","",IF(ISNUMBER(INDEX('Checks'!$F$4:$F$503,_calc!$E$448)),TEXT(INDEX('Checks'!$F$4:$F$503,_calc!$E$448),"yyyy-mm-dd"),""))</f>
        <v/>
      </c>
      <c r="E446" s="43">
        <f>IF(_calc!$E$448="","","High")</f>
        <v/>
      </c>
      <c r="F446" s="43">
        <f>IF(_calc!$E$448="","",TRIM(IF(LEN(IF(LEN(INDEX('Checks'!$B$4:$B$503,_calc!$E$448))=0,"",INDEX('Checks'!$B$4:$B$503,_calc!$E$448)))=0,"","Role: "&amp;IF(LEN(INDEX('Checks'!$B$4:$B$503,_calc!$E$448))=0,"",INDEX('Checks'!$B$4:$B$503,_calc!$E$448))&amp;". ")&amp;IF(LEN(IF(LEN(INDEX('Checks'!$D$4:$D$503,_calc!$E$448))=0,"",INDEX('Checks'!$D$4:$D$503,_calc!$E$448)))=0,"","Check type: "&amp;IF(LEN(INDEX('Checks'!$D$4:$D$503,_calc!$E$448))=0,"",INDEX('Checks'!$D$4:$D$503,_calc!$E$448))&amp;". ")&amp;IF(LEN(IF(LEN(INDEX('Checks'!$E$4:$E$503,_calc!$E$448))=0,"",INDEX('Checks'!$E$4:$E$503,_calc!$E$448)))=0,"","Evidence: "&amp;IF(LEN(INDEX('Checks'!$E$4:$E$503,_calc!$E$448))=0,"",INDEX('Checks'!$E$4:$E$503,_calc!$E$448))&amp;". ")&amp;IF(LEN(IF(LEN(INDEX('Checks'!$G$4:$G$503,_calc!$E$448))=0,"",INDEX('Checks'!$G$4:$G$503,_calc!$E$448)))=0,"","Checked by: "&amp;IF(LEN(INDEX('Checks'!$G$4:$G$503,_calc!$E$448))=0,"",INDEX('Checks'!$G$4:$G$503,_calc!$E$448))&amp;". ")&amp;IF(LEN(IF(LEN(INDEX('Checks'!$Q$4:$Q$503,_calc!$E$448))=0,"",INDEX('Checks'!$Q$4:$Q$503,_calc!$E$448)))=0,"",IF(LEN(INDEX('Checks'!$Q$4:$Q$503,_calc!$E$448))=0,"",INDEX('Checks'!$Q$4:$Q$503,_calc!$E$448)))))</f>
        <v/>
      </c>
      <c r="G446" s="43">
        <f>IF(_calc!$E$448="","",IF(LEN(INDEX('Checks'!$P$4:$P$503,_calc!$E$448))=0,"",INDEX('Checks'!$P$4:$P$503,_calc!$E$448)))</f>
        <v/>
      </c>
      <c r="K446" s="43">
        <f>IF(_calc!$E$448="","",IF(LEN(INDEX('Checks'!$O$4:$O$503,_calc!$E$448))=0,"",INDEX('Checks'!$O$4:$O$503,_calc!$E$448)))</f>
        <v/>
      </c>
    </row>
    <row r="447">
      <c r="A447" s="43">
        <f>IF(_calc!$E$449="","","Right to work follow-up – "&amp;IF(LEN(INDEX('Checks'!$A$4:$A$503,_calc!$E$449))=0,"",INDEX('Checks'!$A$4:$A$503,_calc!$E$449)))</f>
        <v/>
      </c>
      <c r="B447" s="43">
        <f>IF(_calc!$E$449="","",IF(ISNUMBER(INDEX('Checks'!$H$4:$H$503,_calc!$E$449)),TEXT(INDEX('Checks'!$H$4:$H$503,_calc!$E$449),"yyyy-mm-dd"),""))</f>
        <v/>
      </c>
      <c r="C447" s="43">
        <f>IF(_calc!$E$449="","","Right to work")</f>
        <v/>
      </c>
      <c r="D447" s="43">
        <f>IF(_calc!$E$449="","",IF(ISNUMBER(INDEX('Checks'!$F$4:$F$503,_calc!$E$449)),TEXT(INDEX('Checks'!$F$4:$F$503,_calc!$E$449),"yyyy-mm-dd"),""))</f>
        <v/>
      </c>
      <c r="E447" s="43">
        <f>IF(_calc!$E$449="","","High")</f>
        <v/>
      </c>
      <c r="F447" s="43">
        <f>IF(_calc!$E$449="","",TRIM(IF(LEN(IF(LEN(INDEX('Checks'!$B$4:$B$503,_calc!$E$449))=0,"",INDEX('Checks'!$B$4:$B$503,_calc!$E$449)))=0,"","Role: "&amp;IF(LEN(INDEX('Checks'!$B$4:$B$503,_calc!$E$449))=0,"",INDEX('Checks'!$B$4:$B$503,_calc!$E$449))&amp;". ")&amp;IF(LEN(IF(LEN(INDEX('Checks'!$D$4:$D$503,_calc!$E$449))=0,"",INDEX('Checks'!$D$4:$D$503,_calc!$E$449)))=0,"","Check type: "&amp;IF(LEN(INDEX('Checks'!$D$4:$D$503,_calc!$E$449))=0,"",INDEX('Checks'!$D$4:$D$503,_calc!$E$449))&amp;". ")&amp;IF(LEN(IF(LEN(INDEX('Checks'!$E$4:$E$503,_calc!$E$449))=0,"",INDEX('Checks'!$E$4:$E$503,_calc!$E$449)))=0,"","Evidence: "&amp;IF(LEN(INDEX('Checks'!$E$4:$E$503,_calc!$E$449))=0,"",INDEX('Checks'!$E$4:$E$503,_calc!$E$449))&amp;". ")&amp;IF(LEN(IF(LEN(INDEX('Checks'!$G$4:$G$503,_calc!$E$449))=0,"",INDEX('Checks'!$G$4:$G$503,_calc!$E$449)))=0,"","Checked by: "&amp;IF(LEN(INDEX('Checks'!$G$4:$G$503,_calc!$E$449))=0,"",INDEX('Checks'!$G$4:$G$503,_calc!$E$449))&amp;". ")&amp;IF(LEN(IF(LEN(INDEX('Checks'!$Q$4:$Q$503,_calc!$E$449))=0,"",INDEX('Checks'!$Q$4:$Q$503,_calc!$E$449)))=0,"",IF(LEN(INDEX('Checks'!$Q$4:$Q$503,_calc!$E$449))=0,"",INDEX('Checks'!$Q$4:$Q$503,_calc!$E$449)))))</f>
        <v/>
      </c>
      <c r="G447" s="43">
        <f>IF(_calc!$E$449="","",IF(LEN(INDEX('Checks'!$P$4:$P$503,_calc!$E$449))=0,"",INDEX('Checks'!$P$4:$P$503,_calc!$E$449)))</f>
        <v/>
      </c>
      <c r="K447" s="43">
        <f>IF(_calc!$E$449="","",IF(LEN(INDEX('Checks'!$O$4:$O$503,_calc!$E$449))=0,"",INDEX('Checks'!$O$4:$O$503,_calc!$E$449)))</f>
        <v/>
      </c>
    </row>
    <row r="448">
      <c r="A448" s="43">
        <f>IF(_calc!$E$450="","","Right to work follow-up – "&amp;IF(LEN(INDEX('Checks'!$A$4:$A$503,_calc!$E$450))=0,"",INDEX('Checks'!$A$4:$A$503,_calc!$E$450)))</f>
        <v/>
      </c>
      <c r="B448" s="43">
        <f>IF(_calc!$E$450="","",IF(ISNUMBER(INDEX('Checks'!$H$4:$H$503,_calc!$E$450)),TEXT(INDEX('Checks'!$H$4:$H$503,_calc!$E$450),"yyyy-mm-dd"),""))</f>
        <v/>
      </c>
      <c r="C448" s="43">
        <f>IF(_calc!$E$450="","","Right to work")</f>
        <v/>
      </c>
      <c r="D448" s="43">
        <f>IF(_calc!$E$450="","",IF(ISNUMBER(INDEX('Checks'!$F$4:$F$503,_calc!$E$450)),TEXT(INDEX('Checks'!$F$4:$F$503,_calc!$E$450),"yyyy-mm-dd"),""))</f>
        <v/>
      </c>
      <c r="E448" s="43">
        <f>IF(_calc!$E$450="","","High")</f>
        <v/>
      </c>
      <c r="F448" s="43">
        <f>IF(_calc!$E$450="","",TRIM(IF(LEN(IF(LEN(INDEX('Checks'!$B$4:$B$503,_calc!$E$450))=0,"",INDEX('Checks'!$B$4:$B$503,_calc!$E$450)))=0,"","Role: "&amp;IF(LEN(INDEX('Checks'!$B$4:$B$503,_calc!$E$450))=0,"",INDEX('Checks'!$B$4:$B$503,_calc!$E$450))&amp;". ")&amp;IF(LEN(IF(LEN(INDEX('Checks'!$D$4:$D$503,_calc!$E$450))=0,"",INDEX('Checks'!$D$4:$D$503,_calc!$E$450)))=0,"","Check type: "&amp;IF(LEN(INDEX('Checks'!$D$4:$D$503,_calc!$E$450))=0,"",INDEX('Checks'!$D$4:$D$503,_calc!$E$450))&amp;". ")&amp;IF(LEN(IF(LEN(INDEX('Checks'!$E$4:$E$503,_calc!$E$450))=0,"",INDEX('Checks'!$E$4:$E$503,_calc!$E$450)))=0,"","Evidence: "&amp;IF(LEN(INDEX('Checks'!$E$4:$E$503,_calc!$E$450))=0,"",INDEX('Checks'!$E$4:$E$503,_calc!$E$450))&amp;". ")&amp;IF(LEN(IF(LEN(INDEX('Checks'!$G$4:$G$503,_calc!$E$450))=0,"",INDEX('Checks'!$G$4:$G$503,_calc!$E$450)))=0,"","Checked by: "&amp;IF(LEN(INDEX('Checks'!$G$4:$G$503,_calc!$E$450))=0,"",INDEX('Checks'!$G$4:$G$503,_calc!$E$450))&amp;". ")&amp;IF(LEN(IF(LEN(INDEX('Checks'!$Q$4:$Q$503,_calc!$E$450))=0,"",INDEX('Checks'!$Q$4:$Q$503,_calc!$E$450)))=0,"",IF(LEN(INDEX('Checks'!$Q$4:$Q$503,_calc!$E$450))=0,"",INDEX('Checks'!$Q$4:$Q$503,_calc!$E$450)))))</f>
        <v/>
      </c>
      <c r="G448" s="43">
        <f>IF(_calc!$E$450="","",IF(LEN(INDEX('Checks'!$P$4:$P$503,_calc!$E$450))=0,"",INDEX('Checks'!$P$4:$P$503,_calc!$E$450)))</f>
        <v/>
      </c>
      <c r="K448" s="43">
        <f>IF(_calc!$E$450="","",IF(LEN(INDEX('Checks'!$O$4:$O$503,_calc!$E$450))=0,"",INDEX('Checks'!$O$4:$O$503,_calc!$E$450)))</f>
        <v/>
      </c>
    </row>
    <row r="449">
      <c r="A449" s="43">
        <f>IF(_calc!$E$451="","","Right to work follow-up – "&amp;IF(LEN(INDEX('Checks'!$A$4:$A$503,_calc!$E$451))=0,"",INDEX('Checks'!$A$4:$A$503,_calc!$E$451)))</f>
        <v/>
      </c>
      <c r="B449" s="43">
        <f>IF(_calc!$E$451="","",IF(ISNUMBER(INDEX('Checks'!$H$4:$H$503,_calc!$E$451)),TEXT(INDEX('Checks'!$H$4:$H$503,_calc!$E$451),"yyyy-mm-dd"),""))</f>
        <v/>
      </c>
      <c r="C449" s="43">
        <f>IF(_calc!$E$451="","","Right to work")</f>
        <v/>
      </c>
      <c r="D449" s="43">
        <f>IF(_calc!$E$451="","",IF(ISNUMBER(INDEX('Checks'!$F$4:$F$503,_calc!$E$451)),TEXT(INDEX('Checks'!$F$4:$F$503,_calc!$E$451),"yyyy-mm-dd"),""))</f>
        <v/>
      </c>
      <c r="E449" s="43">
        <f>IF(_calc!$E$451="","","High")</f>
        <v/>
      </c>
      <c r="F449" s="43">
        <f>IF(_calc!$E$451="","",TRIM(IF(LEN(IF(LEN(INDEX('Checks'!$B$4:$B$503,_calc!$E$451))=0,"",INDEX('Checks'!$B$4:$B$503,_calc!$E$451)))=0,"","Role: "&amp;IF(LEN(INDEX('Checks'!$B$4:$B$503,_calc!$E$451))=0,"",INDEX('Checks'!$B$4:$B$503,_calc!$E$451))&amp;". ")&amp;IF(LEN(IF(LEN(INDEX('Checks'!$D$4:$D$503,_calc!$E$451))=0,"",INDEX('Checks'!$D$4:$D$503,_calc!$E$451)))=0,"","Check type: "&amp;IF(LEN(INDEX('Checks'!$D$4:$D$503,_calc!$E$451))=0,"",INDEX('Checks'!$D$4:$D$503,_calc!$E$451))&amp;". ")&amp;IF(LEN(IF(LEN(INDEX('Checks'!$E$4:$E$503,_calc!$E$451))=0,"",INDEX('Checks'!$E$4:$E$503,_calc!$E$451)))=0,"","Evidence: "&amp;IF(LEN(INDEX('Checks'!$E$4:$E$503,_calc!$E$451))=0,"",INDEX('Checks'!$E$4:$E$503,_calc!$E$451))&amp;". ")&amp;IF(LEN(IF(LEN(INDEX('Checks'!$G$4:$G$503,_calc!$E$451))=0,"",INDEX('Checks'!$G$4:$G$503,_calc!$E$451)))=0,"","Checked by: "&amp;IF(LEN(INDEX('Checks'!$G$4:$G$503,_calc!$E$451))=0,"",INDEX('Checks'!$G$4:$G$503,_calc!$E$451))&amp;". ")&amp;IF(LEN(IF(LEN(INDEX('Checks'!$Q$4:$Q$503,_calc!$E$451))=0,"",INDEX('Checks'!$Q$4:$Q$503,_calc!$E$451)))=0,"",IF(LEN(INDEX('Checks'!$Q$4:$Q$503,_calc!$E$451))=0,"",INDEX('Checks'!$Q$4:$Q$503,_calc!$E$451)))))</f>
        <v/>
      </c>
      <c r="G449" s="43">
        <f>IF(_calc!$E$451="","",IF(LEN(INDEX('Checks'!$P$4:$P$503,_calc!$E$451))=0,"",INDEX('Checks'!$P$4:$P$503,_calc!$E$451)))</f>
        <v/>
      </c>
      <c r="K449" s="43">
        <f>IF(_calc!$E$451="","",IF(LEN(INDEX('Checks'!$O$4:$O$503,_calc!$E$451))=0,"",INDEX('Checks'!$O$4:$O$503,_calc!$E$451)))</f>
        <v/>
      </c>
    </row>
    <row r="450">
      <c r="A450" s="43">
        <f>IF(_calc!$E$452="","","Right to work follow-up – "&amp;IF(LEN(INDEX('Checks'!$A$4:$A$503,_calc!$E$452))=0,"",INDEX('Checks'!$A$4:$A$503,_calc!$E$452)))</f>
        <v/>
      </c>
      <c r="B450" s="43">
        <f>IF(_calc!$E$452="","",IF(ISNUMBER(INDEX('Checks'!$H$4:$H$503,_calc!$E$452)),TEXT(INDEX('Checks'!$H$4:$H$503,_calc!$E$452),"yyyy-mm-dd"),""))</f>
        <v/>
      </c>
      <c r="C450" s="43">
        <f>IF(_calc!$E$452="","","Right to work")</f>
        <v/>
      </c>
      <c r="D450" s="43">
        <f>IF(_calc!$E$452="","",IF(ISNUMBER(INDEX('Checks'!$F$4:$F$503,_calc!$E$452)),TEXT(INDEX('Checks'!$F$4:$F$503,_calc!$E$452),"yyyy-mm-dd"),""))</f>
        <v/>
      </c>
      <c r="E450" s="43">
        <f>IF(_calc!$E$452="","","High")</f>
        <v/>
      </c>
      <c r="F450" s="43">
        <f>IF(_calc!$E$452="","",TRIM(IF(LEN(IF(LEN(INDEX('Checks'!$B$4:$B$503,_calc!$E$452))=0,"",INDEX('Checks'!$B$4:$B$503,_calc!$E$452)))=0,"","Role: "&amp;IF(LEN(INDEX('Checks'!$B$4:$B$503,_calc!$E$452))=0,"",INDEX('Checks'!$B$4:$B$503,_calc!$E$452))&amp;". ")&amp;IF(LEN(IF(LEN(INDEX('Checks'!$D$4:$D$503,_calc!$E$452))=0,"",INDEX('Checks'!$D$4:$D$503,_calc!$E$452)))=0,"","Check type: "&amp;IF(LEN(INDEX('Checks'!$D$4:$D$503,_calc!$E$452))=0,"",INDEX('Checks'!$D$4:$D$503,_calc!$E$452))&amp;". ")&amp;IF(LEN(IF(LEN(INDEX('Checks'!$E$4:$E$503,_calc!$E$452))=0,"",INDEX('Checks'!$E$4:$E$503,_calc!$E$452)))=0,"","Evidence: "&amp;IF(LEN(INDEX('Checks'!$E$4:$E$503,_calc!$E$452))=0,"",INDEX('Checks'!$E$4:$E$503,_calc!$E$452))&amp;". ")&amp;IF(LEN(IF(LEN(INDEX('Checks'!$G$4:$G$503,_calc!$E$452))=0,"",INDEX('Checks'!$G$4:$G$503,_calc!$E$452)))=0,"","Checked by: "&amp;IF(LEN(INDEX('Checks'!$G$4:$G$503,_calc!$E$452))=0,"",INDEX('Checks'!$G$4:$G$503,_calc!$E$452))&amp;". ")&amp;IF(LEN(IF(LEN(INDEX('Checks'!$Q$4:$Q$503,_calc!$E$452))=0,"",INDEX('Checks'!$Q$4:$Q$503,_calc!$E$452)))=0,"",IF(LEN(INDEX('Checks'!$Q$4:$Q$503,_calc!$E$452))=0,"",INDEX('Checks'!$Q$4:$Q$503,_calc!$E$452)))))</f>
        <v/>
      </c>
      <c r="G450" s="43">
        <f>IF(_calc!$E$452="","",IF(LEN(INDEX('Checks'!$P$4:$P$503,_calc!$E$452))=0,"",INDEX('Checks'!$P$4:$P$503,_calc!$E$452)))</f>
        <v/>
      </c>
      <c r="K450" s="43">
        <f>IF(_calc!$E$452="","",IF(LEN(INDEX('Checks'!$O$4:$O$503,_calc!$E$452))=0,"",INDEX('Checks'!$O$4:$O$503,_calc!$E$452)))</f>
        <v/>
      </c>
    </row>
    <row r="451">
      <c r="A451" s="43">
        <f>IF(_calc!$E$453="","","Right to work follow-up – "&amp;IF(LEN(INDEX('Checks'!$A$4:$A$503,_calc!$E$453))=0,"",INDEX('Checks'!$A$4:$A$503,_calc!$E$453)))</f>
        <v/>
      </c>
      <c r="B451" s="43">
        <f>IF(_calc!$E$453="","",IF(ISNUMBER(INDEX('Checks'!$H$4:$H$503,_calc!$E$453)),TEXT(INDEX('Checks'!$H$4:$H$503,_calc!$E$453),"yyyy-mm-dd"),""))</f>
        <v/>
      </c>
      <c r="C451" s="43">
        <f>IF(_calc!$E$453="","","Right to work")</f>
        <v/>
      </c>
      <c r="D451" s="43">
        <f>IF(_calc!$E$453="","",IF(ISNUMBER(INDEX('Checks'!$F$4:$F$503,_calc!$E$453)),TEXT(INDEX('Checks'!$F$4:$F$503,_calc!$E$453),"yyyy-mm-dd"),""))</f>
        <v/>
      </c>
      <c r="E451" s="43">
        <f>IF(_calc!$E$453="","","High")</f>
        <v/>
      </c>
      <c r="F451" s="43">
        <f>IF(_calc!$E$453="","",TRIM(IF(LEN(IF(LEN(INDEX('Checks'!$B$4:$B$503,_calc!$E$453))=0,"",INDEX('Checks'!$B$4:$B$503,_calc!$E$453)))=0,"","Role: "&amp;IF(LEN(INDEX('Checks'!$B$4:$B$503,_calc!$E$453))=0,"",INDEX('Checks'!$B$4:$B$503,_calc!$E$453))&amp;". ")&amp;IF(LEN(IF(LEN(INDEX('Checks'!$D$4:$D$503,_calc!$E$453))=0,"",INDEX('Checks'!$D$4:$D$503,_calc!$E$453)))=0,"","Check type: "&amp;IF(LEN(INDEX('Checks'!$D$4:$D$503,_calc!$E$453))=0,"",INDEX('Checks'!$D$4:$D$503,_calc!$E$453))&amp;". ")&amp;IF(LEN(IF(LEN(INDEX('Checks'!$E$4:$E$503,_calc!$E$453))=0,"",INDEX('Checks'!$E$4:$E$503,_calc!$E$453)))=0,"","Evidence: "&amp;IF(LEN(INDEX('Checks'!$E$4:$E$503,_calc!$E$453))=0,"",INDEX('Checks'!$E$4:$E$503,_calc!$E$453))&amp;". ")&amp;IF(LEN(IF(LEN(INDEX('Checks'!$G$4:$G$503,_calc!$E$453))=0,"",INDEX('Checks'!$G$4:$G$503,_calc!$E$453)))=0,"","Checked by: "&amp;IF(LEN(INDEX('Checks'!$G$4:$G$503,_calc!$E$453))=0,"",INDEX('Checks'!$G$4:$G$503,_calc!$E$453))&amp;". ")&amp;IF(LEN(IF(LEN(INDEX('Checks'!$Q$4:$Q$503,_calc!$E$453))=0,"",INDEX('Checks'!$Q$4:$Q$503,_calc!$E$453)))=0,"",IF(LEN(INDEX('Checks'!$Q$4:$Q$503,_calc!$E$453))=0,"",INDEX('Checks'!$Q$4:$Q$503,_calc!$E$453)))))</f>
        <v/>
      </c>
      <c r="G451" s="43">
        <f>IF(_calc!$E$453="","",IF(LEN(INDEX('Checks'!$P$4:$P$503,_calc!$E$453))=0,"",INDEX('Checks'!$P$4:$P$503,_calc!$E$453)))</f>
        <v/>
      </c>
      <c r="K451" s="43">
        <f>IF(_calc!$E$453="","",IF(LEN(INDEX('Checks'!$O$4:$O$503,_calc!$E$453))=0,"",INDEX('Checks'!$O$4:$O$503,_calc!$E$453)))</f>
        <v/>
      </c>
    </row>
    <row r="452">
      <c r="A452" s="43">
        <f>IF(_calc!$E$454="","","Right to work follow-up – "&amp;IF(LEN(INDEX('Checks'!$A$4:$A$503,_calc!$E$454))=0,"",INDEX('Checks'!$A$4:$A$503,_calc!$E$454)))</f>
        <v/>
      </c>
      <c r="B452" s="43">
        <f>IF(_calc!$E$454="","",IF(ISNUMBER(INDEX('Checks'!$H$4:$H$503,_calc!$E$454)),TEXT(INDEX('Checks'!$H$4:$H$503,_calc!$E$454),"yyyy-mm-dd"),""))</f>
        <v/>
      </c>
      <c r="C452" s="43">
        <f>IF(_calc!$E$454="","","Right to work")</f>
        <v/>
      </c>
      <c r="D452" s="43">
        <f>IF(_calc!$E$454="","",IF(ISNUMBER(INDEX('Checks'!$F$4:$F$503,_calc!$E$454)),TEXT(INDEX('Checks'!$F$4:$F$503,_calc!$E$454),"yyyy-mm-dd"),""))</f>
        <v/>
      </c>
      <c r="E452" s="43">
        <f>IF(_calc!$E$454="","","High")</f>
        <v/>
      </c>
      <c r="F452" s="43">
        <f>IF(_calc!$E$454="","",TRIM(IF(LEN(IF(LEN(INDEX('Checks'!$B$4:$B$503,_calc!$E$454))=0,"",INDEX('Checks'!$B$4:$B$503,_calc!$E$454)))=0,"","Role: "&amp;IF(LEN(INDEX('Checks'!$B$4:$B$503,_calc!$E$454))=0,"",INDEX('Checks'!$B$4:$B$503,_calc!$E$454))&amp;". ")&amp;IF(LEN(IF(LEN(INDEX('Checks'!$D$4:$D$503,_calc!$E$454))=0,"",INDEX('Checks'!$D$4:$D$503,_calc!$E$454)))=0,"","Check type: "&amp;IF(LEN(INDEX('Checks'!$D$4:$D$503,_calc!$E$454))=0,"",INDEX('Checks'!$D$4:$D$503,_calc!$E$454))&amp;". ")&amp;IF(LEN(IF(LEN(INDEX('Checks'!$E$4:$E$503,_calc!$E$454))=0,"",INDEX('Checks'!$E$4:$E$503,_calc!$E$454)))=0,"","Evidence: "&amp;IF(LEN(INDEX('Checks'!$E$4:$E$503,_calc!$E$454))=0,"",INDEX('Checks'!$E$4:$E$503,_calc!$E$454))&amp;". ")&amp;IF(LEN(IF(LEN(INDEX('Checks'!$G$4:$G$503,_calc!$E$454))=0,"",INDEX('Checks'!$G$4:$G$503,_calc!$E$454)))=0,"","Checked by: "&amp;IF(LEN(INDEX('Checks'!$G$4:$G$503,_calc!$E$454))=0,"",INDEX('Checks'!$G$4:$G$503,_calc!$E$454))&amp;". ")&amp;IF(LEN(IF(LEN(INDEX('Checks'!$Q$4:$Q$503,_calc!$E$454))=0,"",INDEX('Checks'!$Q$4:$Q$503,_calc!$E$454)))=0,"",IF(LEN(INDEX('Checks'!$Q$4:$Q$503,_calc!$E$454))=0,"",INDEX('Checks'!$Q$4:$Q$503,_calc!$E$454)))))</f>
        <v/>
      </c>
      <c r="G452" s="43">
        <f>IF(_calc!$E$454="","",IF(LEN(INDEX('Checks'!$P$4:$P$503,_calc!$E$454))=0,"",INDEX('Checks'!$P$4:$P$503,_calc!$E$454)))</f>
        <v/>
      </c>
      <c r="K452" s="43">
        <f>IF(_calc!$E$454="","",IF(LEN(INDEX('Checks'!$O$4:$O$503,_calc!$E$454))=0,"",INDEX('Checks'!$O$4:$O$503,_calc!$E$454)))</f>
        <v/>
      </c>
    </row>
    <row r="453">
      <c r="A453" s="43">
        <f>IF(_calc!$E$455="","","Right to work follow-up – "&amp;IF(LEN(INDEX('Checks'!$A$4:$A$503,_calc!$E$455))=0,"",INDEX('Checks'!$A$4:$A$503,_calc!$E$455)))</f>
        <v/>
      </c>
      <c r="B453" s="43">
        <f>IF(_calc!$E$455="","",IF(ISNUMBER(INDEX('Checks'!$H$4:$H$503,_calc!$E$455)),TEXT(INDEX('Checks'!$H$4:$H$503,_calc!$E$455),"yyyy-mm-dd"),""))</f>
        <v/>
      </c>
      <c r="C453" s="43">
        <f>IF(_calc!$E$455="","","Right to work")</f>
        <v/>
      </c>
      <c r="D453" s="43">
        <f>IF(_calc!$E$455="","",IF(ISNUMBER(INDEX('Checks'!$F$4:$F$503,_calc!$E$455)),TEXT(INDEX('Checks'!$F$4:$F$503,_calc!$E$455),"yyyy-mm-dd"),""))</f>
        <v/>
      </c>
      <c r="E453" s="43">
        <f>IF(_calc!$E$455="","","High")</f>
        <v/>
      </c>
      <c r="F453" s="43">
        <f>IF(_calc!$E$455="","",TRIM(IF(LEN(IF(LEN(INDEX('Checks'!$B$4:$B$503,_calc!$E$455))=0,"",INDEX('Checks'!$B$4:$B$503,_calc!$E$455)))=0,"","Role: "&amp;IF(LEN(INDEX('Checks'!$B$4:$B$503,_calc!$E$455))=0,"",INDEX('Checks'!$B$4:$B$503,_calc!$E$455))&amp;". ")&amp;IF(LEN(IF(LEN(INDEX('Checks'!$D$4:$D$503,_calc!$E$455))=0,"",INDEX('Checks'!$D$4:$D$503,_calc!$E$455)))=0,"","Check type: "&amp;IF(LEN(INDEX('Checks'!$D$4:$D$503,_calc!$E$455))=0,"",INDEX('Checks'!$D$4:$D$503,_calc!$E$455))&amp;". ")&amp;IF(LEN(IF(LEN(INDEX('Checks'!$E$4:$E$503,_calc!$E$455))=0,"",INDEX('Checks'!$E$4:$E$503,_calc!$E$455)))=0,"","Evidence: "&amp;IF(LEN(INDEX('Checks'!$E$4:$E$503,_calc!$E$455))=0,"",INDEX('Checks'!$E$4:$E$503,_calc!$E$455))&amp;". ")&amp;IF(LEN(IF(LEN(INDEX('Checks'!$G$4:$G$503,_calc!$E$455))=0,"",INDEX('Checks'!$G$4:$G$503,_calc!$E$455)))=0,"","Checked by: "&amp;IF(LEN(INDEX('Checks'!$G$4:$G$503,_calc!$E$455))=0,"",INDEX('Checks'!$G$4:$G$503,_calc!$E$455))&amp;". ")&amp;IF(LEN(IF(LEN(INDEX('Checks'!$Q$4:$Q$503,_calc!$E$455))=0,"",INDEX('Checks'!$Q$4:$Q$503,_calc!$E$455)))=0,"",IF(LEN(INDEX('Checks'!$Q$4:$Q$503,_calc!$E$455))=0,"",INDEX('Checks'!$Q$4:$Q$503,_calc!$E$455)))))</f>
        <v/>
      </c>
      <c r="G453" s="43">
        <f>IF(_calc!$E$455="","",IF(LEN(INDEX('Checks'!$P$4:$P$503,_calc!$E$455))=0,"",INDEX('Checks'!$P$4:$P$503,_calc!$E$455)))</f>
        <v/>
      </c>
      <c r="K453" s="43">
        <f>IF(_calc!$E$455="","",IF(LEN(INDEX('Checks'!$O$4:$O$503,_calc!$E$455))=0,"",INDEX('Checks'!$O$4:$O$503,_calc!$E$455)))</f>
        <v/>
      </c>
    </row>
    <row r="454">
      <c r="A454" s="43">
        <f>IF(_calc!$E$456="","","Right to work follow-up – "&amp;IF(LEN(INDEX('Checks'!$A$4:$A$503,_calc!$E$456))=0,"",INDEX('Checks'!$A$4:$A$503,_calc!$E$456)))</f>
        <v/>
      </c>
      <c r="B454" s="43">
        <f>IF(_calc!$E$456="","",IF(ISNUMBER(INDEX('Checks'!$H$4:$H$503,_calc!$E$456)),TEXT(INDEX('Checks'!$H$4:$H$503,_calc!$E$456),"yyyy-mm-dd"),""))</f>
        <v/>
      </c>
      <c r="C454" s="43">
        <f>IF(_calc!$E$456="","","Right to work")</f>
        <v/>
      </c>
      <c r="D454" s="43">
        <f>IF(_calc!$E$456="","",IF(ISNUMBER(INDEX('Checks'!$F$4:$F$503,_calc!$E$456)),TEXT(INDEX('Checks'!$F$4:$F$503,_calc!$E$456),"yyyy-mm-dd"),""))</f>
        <v/>
      </c>
      <c r="E454" s="43">
        <f>IF(_calc!$E$456="","","High")</f>
        <v/>
      </c>
      <c r="F454" s="43">
        <f>IF(_calc!$E$456="","",TRIM(IF(LEN(IF(LEN(INDEX('Checks'!$B$4:$B$503,_calc!$E$456))=0,"",INDEX('Checks'!$B$4:$B$503,_calc!$E$456)))=0,"","Role: "&amp;IF(LEN(INDEX('Checks'!$B$4:$B$503,_calc!$E$456))=0,"",INDEX('Checks'!$B$4:$B$503,_calc!$E$456))&amp;". ")&amp;IF(LEN(IF(LEN(INDEX('Checks'!$D$4:$D$503,_calc!$E$456))=0,"",INDEX('Checks'!$D$4:$D$503,_calc!$E$456)))=0,"","Check type: "&amp;IF(LEN(INDEX('Checks'!$D$4:$D$503,_calc!$E$456))=0,"",INDEX('Checks'!$D$4:$D$503,_calc!$E$456))&amp;". ")&amp;IF(LEN(IF(LEN(INDEX('Checks'!$E$4:$E$503,_calc!$E$456))=0,"",INDEX('Checks'!$E$4:$E$503,_calc!$E$456)))=0,"","Evidence: "&amp;IF(LEN(INDEX('Checks'!$E$4:$E$503,_calc!$E$456))=0,"",INDEX('Checks'!$E$4:$E$503,_calc!$E$456))&amp;". ")&amp;IF(LEN(IF(LEN(INDEX('Checks'!$G$4:$G$503,_calc!$E$456))=0,"",INDEX('Checks'!$G$4:$G$503,_calc!$E$456)))=0,"","Checked by: "&amp;IF(LEN(INDEX('Checks'!$G$4:$G$503,_calc!$E$456))=0,"",INDEX('Checks'!$G$4:$G$503,_calc!$E$456))&amp;". ")&amp;IF(LEN(IF(LEN(INDEX('Checks'!$Q$4:$Q$503,_calc!$E$456))=0,"",INDEX('Checks'!$Q$4:$Q$503,_calc!$E$456)))=0,"",IF(LEN(INDEX('Checks'!$Q$4:$Q$503,_calc!$E$456))=0,"",INDEX('Checks'!$Q$4:$Q$503,_calc!$E$456)))))</f>
        <v/>
      </c>
      <c r="G454" s="43">
        <f>IF(_calc!$E$456="","",IF(LEN(INDEX('Checks'!$P$4:$P$503,_calc!$E$456))=0,"",INDEX('Checks'!$P$4:$P$503,_calc!$E$456)))</f>
        <v/>
      </c>
      <c r="K454" s="43">
        <f>IF(_calc!$E$456="","",IF(LEN(INDEX('Checks'!$O$4:$O$503,_calc!$E$456))=0,"",INDEX('Checks'!$O$4:$O$503,_calc!$E$456)))</f>
        <v/>
      </c>
    </row>
    <row r="455">
      <c r="A455" s="43">
        <f>IF(_calc!$E$457="","","Right to work follow-up – "&amp;IF(LEN(INDEX('Checks'!$A$4:$A$503,_calc!$E$457))=0,"",INDEX('Checks'!$A$4:$A$503,_calc!$E$457)))</f>
        <v/>
      </c>
      <c r="B455" s="43">
        <f>IF(_calc!$E$457="","",IF(ISNUMBER(INDEX('Checks'!$H$4:$H$503,_calc!$E$457)),TEXT(INDEX('Checks'!$H$4:$H$503,_calc!$E$457),"yyyy-mm-dd"),""))</f>
        <v/>
      </c>
      <c r="C455" s="43">
        <f>IF(_calc!$E$457="","","Right to work")</f>
        <v/>
      </c>
      <c r="D455" s="43">
        <f>IF(_calc!$E$457="","",IF(ISNUMBER(INDEX('Checks'!$F$4:$F$503,_calc!$E$457)),TEXT(INDEX('Checks'!$F$4:$F$503,_calc!$E$457),"yyyy-mm-dd"),""))</f>
        <v/>
      </c>
      <c r="E455" s="43">
        <f>IF(_calc!$E$457="","","High")</f>
        <v/>
      </c>
      <c r="F455" s="43">
        <f>IF(_calc!$E$457="","",TRIM(IF(LEN(IF(LEN(INDEX('Checks'!$B$4:$B$503,_calc!$E$457))=0,"",INDEX('Checks'!$B$4:$B$503,_calc!$E$457)))=0,"","Role: "&amp;IF(LEN(INDEX('Checks'!$B$4:$B$503,_calc!$E$457))=0,"",INDEX('Checks'!$B$4:$B$503,_calc!$E$457))&amp;". ")&amp;IF(LEN(IF(LEN(INDEX('Checks'!$D$4:$D$503,_calc!$E$457))=0,"",INDEX('Checks'!$D$4:$D$503,_calc!$E$457)))=0,"","Check type: "&amp;IF(LEN(INDEX('Checks'!$D$4:$D$503,_calc!$E$457))=0,"",INDEX('Checks'!$D$4:$D$503,_calc!$E$457))&amp;". ")&amp;IF(LEN(IF(LEN(INDEX('Checks'!$E$4:$E$503,_calc!$E$457))=0,"",INDEX('Checks'!$E$4:$E$503,_calc!$E$457)))=0,"","Evidence: "&amp;IF(LEN(INDEX('Checks'!$E$4:$E$503,_calc!$E$457))=0,"",INDEX('Checks'!$E$4:$E$503,_calc!$E$457))&amp;". ")&amp;IF(LEN(IF(LEN(INDEX('Checks'!$G$4:$G$503,_calc!$E$457))=0,"",INDEX('Checks'!$G$4:$G$503,_calc!$E$457)))=0,"","Checked by: "&amp;IF(LEN(INDEX('Checks'!$G$4:$G$503,_calc!$E$457))=0,"",INDEX('Checks'!$G$4:$G$503,_calc!$E$457))&amp;". ")&amp;IF(LEN(IF(LEN(INDEX('Checks'!$Q$4:$Q$503,_calc!$E$457))=0,"",INDEX('Checks'!$Q$4:$Q$503,_calc!$E$457)))=0,"",IF(LEN(INDEX('Checks'!$Q$4:$Q$503,_calc!$E$457))=0,"",INDEX('Checks'!$Q$4:$Q$503,_calc!$E$457)))))</f>
        <v/>
      </c>
      <c r="G455" s="43">
        <f>IF(_calc!$E$457="","",IF(LEN(INDEX('Checks'!$P$4:$P$503,_calc!$E$457))=0,"",INDEX('Checks'!$P$4:$P$503,_calc!$E$457)))</f>
        <v/>
      </c>
      <c r="K455" s="43">
        <f>IF(_calc!$E$457="","",IF(LEN(INDEX('Checks'!$O$4:$O$503,_calc!$E$457))=0,"",INDEX('Checks'!$O$4:$O$503,_calc!$E$457)))</f>
        <v/>
      </c>
    </row>
    <row r="456">
      <c r="A456" s="43">
        <f>IF(_calc!$E$458="","","Right to work follow-up – "&amp;IF(LEN(INDEX('Checks'!$A$4:$A$503,_calc!$E$458))=0,"",INDEX('Checks'!$A$4:$A$503,_calc!$E$458)))</f>
        <v/>
      </c>
      <c r="B456" s="43">
        <f>IF(_calc!$E$458="","",IF(ISNUMBER(INDEX('Checks'!$H$4:$H$503,_calc!$E$458)),TEXT(INDEX('Checks'!$H$4:$H$503,_calc!$E$458),"yyyy-mm-dd"),""))</f>
        <v/>
      </c>
      <c r="C456" s="43">
        <f>IF(_calc!$E$458="","","Right to work")</f>
        <v/>
      </c>
      <c r="D456" s="43">
        <f>IF(_calc!$E$458="","",IF(ISNUMBER(INDEX('Checks'!$F$4:$F$503,_calc!$E$458)),TEXT(INDEX('Checks'!$F$4:$F$503,_calc!$E$458),"yyyy-mm-dd"),""))</f>
        <v/>
      </c>
      <c r="E456" s="43">
        <f>IF(_calc!$E$458="","","High")</f>
        <v/>
      </c>
      <c r="F456" s="43">
        <f>IF(_calc!$E$458="","",TRIM(IF(LEN(IF(LEN(INDEX('Checks'!$B$4:$B$503,_calc!$E$458))=0,"",INDEX('Checks'!$B$4:$B$503,_calc!$E$458)))=0,"","Role: "&amp;IF(LEN(INDEX('Checks'!$B$4:$B$503,_calc!$E$458))=0,"",INDEX('Checks'!$B$4:$B$503,_calc!$E$458))&amp;". ")&amp;IF(LEN(IF(LEN(INDEX('Checks'!$D$4:$D$503,_calc!$E$458))=0,"",INDEX('Checks'!$D$4:$D$503,_calc!$E$458)))=0,"","Check type: "&amp;IF(LEN(INDEX('Checks'!$D$4:$D$503,_calc!$E$458))=0,"",INDEX('Checks'!$D$4:$D$503,_calc!$E$458))&amp;". ")&amp;IF(LEN(IF(LEN(INDEX('Checks'!$E$4:$E$503,_calc!$E$458))=0,"",INDEX('Checks'!$E$4:$E$503,_calc!$E$458)))=0,"","Evidence: "&amp;IF(LEN(INDEX('Checks'!$E$4:$E$503,_calc!$E$458))=0,"",INDEX('Checks'!$E$4:$E$503,_calc!$E$458))&amp;". ")&amp;IF(LEN(IF(LEN(INDEX('Checks'!$G$4:$G$503,_calc!$E$458))=0,"",INDEX('Checks'!$G$4:$G$503,_calc!$E$458)))=0,"","Checked by: "&amp;IF(LEN(INDEX('Checks'!$G$4:$G$503,_calc!$E$458))=0,"",INDEX('Checks'!$G$4:$G$503,_calc!$E$458))&amp;". ")&amp;IF(LEN(IF(LEN(INDEX('Checks'!$Q$4:$Q$503,_calc!$E$458))=0,"",INDEX('Checks'!$Q$4:$Q$503,_calc!$E$458)))=0,"",IF(LEN(INDEX('Checks'!$Q$4:$Q$503,_calc!$E$458))=0,"",INDEX('Checks'!$Q$4:$Q$503,_calc!$E$458)))))</f>
        <v/>
      </c>
      <c r="G456" s="43">
        <f>IF(_calc!$E$458="","",IF(LEN(INDEX('Checks'!$P$4:$P$503,_calc!$E$458))=0,"",INDEX('Checks'!$P$4:$P$503,_calc!$E$458)))</f>
        <v/>
      </c>
      <c r="K456" s="43">
        <f>IF(_calc!$E$458="","",IF(LEN(INDEX('Checks'!$O$4:$O$503,_calc!$E$458))=0,"",INDEX('Checks'!$O$4:$O$503,_calc!$E$458)))</f>
        <v/>
      </c>
    </row>
    <row r="457">
      <c r="A457" s="43">
        <f>IF(_calc!$E$459="","","Right to work follow-up – "&amp;IF(LEN(INDEX('Checks'!$A$4:$A$503,_calc!$E$459))=0,"",INDEX('Checks'!$A$4:$A$503,_calc!$E$459)))</f>
        <v/>
      </c>
      <c r="B457" s="43">
        <f>IF(_calc!$E$459="","",IF(ISNUMBER(INDEX('Checks'!$H$4:$H$503,_calc!$E$459)),TEXT(INDEX('Checks'!$H$4:$H$503,_calc!$E$459),"yyyy-mm-dd"),""))</f>
        <v/>
      </c>
      <c r="C457" s="43">
        <f>IF(_calc!$E$459="","","Right to work")</f>
        <v/>
      </c>
      <c r="D457" s="43">
        <f>IF(_calc!$E$459="","",IF(ISNUMBER(INDEX('Checks'!$F$4:$F$503,_calc!$E$459)),TEXT(INDEX('Checks'!$F$4:$F$503,_calc!$E$459),"yyyy-mm-dd"),""))</f>
        <v/>
      </c>
      <c r="E457" s="43">
        <f>IF(_calc!$E$459="","","High")</f>
        <v/>
      </c>
      <c r="F457" s="43">
        <f>IF(_calc!$E$459="","",TRIM(IF(LEN(IF(LEN(INDEX('Checks'!$B$4:$B$503,_calc!$E$459))=0,"",INDEX('Checks'!$B$4:$B$503,_calc!$E$459)))=0,"","Role: "&amp;IF(LEN(INDEX('Checks'!$B$4:$B$503,_calc!$E$459))=0,"",INDEX('Checks'!$B$4:$B$503,_calc!$E$459))&amp;". ")&amp;IF(LEN(IF(LEN(INDEX('Checks'!$D$4:$D$503,_calc!$E$459))=0,"",INDEX('Checks'!$D$4:$D$503,_calc!$E$459)))=0,"","Check type: "&amp;IF(LEN(INDEX('Checks'!$D$4:$D$503,_calc!$E$459))=0,"",INDEX('Checks'!$D$4:$D$503,_calc!$E$459))&amp;". ")&amp;IF(LEN(IF(LEN(INDEX('Checks'!$E$4:$E$503,_calc!$E$459))=0,"",INDEX('Checks'!$E$4:$E$503,_calc!$E$459)))=0,"","Evidence: "&amp;IF(LEN(INDEX('Checks'!$E$4:$E$503,_calc!$E$459))=0,"",INDEX('Checks'!$E$4:$E$503,_calc!$E$459))&amp;". ")&amp;IF(LEN(IF(LEN(INDEX('Checks'!$G$4:$G$503,_calc!$E$459))=0,"",INDEX('Checks'!$G$4:$G$503,_calc!$E$459)))=0,"","Checked by: "&amp;IF(LEN(INDEX('Checks'!$G$4:$G$503,_calc!$E$459))=0,"",INDEX('Checks'!$G$4:$G$503,_calc!$E$459))&amp;". ")&amp;IF(LEN(IF(LEN(INDEX('Checks'!$Q$4:$Q$503,_calc!$E$459))=0,"",INDEX('Checks'!$Q$4:$Q$503,_calc!$E$459)))=0,"",IF(LEN(INDEX('Checks'!$Q$4:$Q$503,_calc!$E$459))=0,"",INDEX('Checks'!$Q$4:$Q$503,_calc!$E$459)))))</f>
        <v/>
      </c>
      <c r="G457" s="43">
        <f>IF(_calc!$E$459="","",IF(LEN(INDEX('Checks'!$P$4:$P$503,_calc!$E$459))=0,"",INDEX('Checks'!$P$4:$P$503,_calc!$E$459)))</f>
        <v/>
      </c>
      <c r="K457" s="43">
        <f>IF(_calc!$E$459="","",IF(LEN(INDEX('Checks'!$O$4:$O$503,_calc!$E$459))=0,"",INDEX('Checks'!$O$4:$O$503,_calc!$E$459)))</f>
        <v/>
      </c>
    </row>
    <row r="458">
      <c r="A458" s="43">
        <f>IF(_calc!$E$460="","","Right to work follow-up – "&amp;IF(LEN(INDEX('Checks'!$A$4:$A$503,_calc!$E$460))=0,"",INDEX('Checks'!$A$4:$A$503,_calc!$E$460)))</f>
        <v/>
      </c>
      <c r="B458" s="43">
        <f>IF(_calc!$E$460="","",IF(ISNUMBER(INDEX('Checks'!$H$4:$H$503,_calc!$E$460)),TEXT(INDEX('Checks'!$H$4:$H$503,_calc!$E$460),"yyyy-mm-dd"),""))</f>
        <v/>
      </c>
      <c r="C458" s="43">
        <f>IF(_calc!$E$460="","","Right to work")</f>
        <v/>
      </c>
      <c r="D458" s="43">
        <f>IF(_calc!$E$460="","",IF(ISNUMBER(INDEX('Checks'!$F$4:$F$503,_calc!$E$460)),TEXT(INDEX('Checks'!$F$4:$F$503,_calc!$E$460),"yyyy-mm-dd"),""))</f>
        <v/>
      </c>
      <c r="E458" s="43">
        <f>IF(_calc!$E$460="","","High")</f>
        <v/>
      </c>
      <c r="F458" s="43">
        <f>IF(_calc!$E$460="","",TRIM(IF(LEN(IF(LEN(INDEX('Checks'!$B$4:$B$503,_calc!$E$460))=0,"",INDEX('Checks'!$B$4:$B$503,_calc!$E$460)))=0,"","Role: "&amp;IF(LEN(INDEX('Checks'!$B$4:$B$503,_calc!$E$460))=0,"",INDEX('Checks'!$B$4:$B$503,_calc!$E$460))&amp;". ")&amp;IF(LEN(IF(LEN(INDEX('Checks'!$D$4:$D$503,_calc!$E$460))=0,"",INDEX('Checks'!$D$4:$D$503,_calc!$E$460)))=0,"","Check type: "&amp;IF(LEN(INDEX('Checks'!$D$4:$D$503,_calc!$E$460))=0,"",INDEX('Checks'!$D$4:$D$503,_calc!$E$460))&amp;". ")&amp;IF(LEN(IF(LEN(INDEX('Checks'!$E$4:$E$503,_calc!$E$460))=0,"",INDEX('Checks'!$E$4:$E$503,_calc!$E$460)))=0,"","Evidence: "&amp;IF(LEN(INDEX('Checks'!$E$4:$E$503,_calc!$E$460))=0,"",INDEX('Checks'!$E$4:$E$503,_calc!$E$460))&amp;". ")&amp;IF(LEN(IF(LEN(INDEX('Checks'!$G$4:$G$503,_calc!$E$460))=0,"",INDEX('Checks'!$G$4:$G$503,_calc!$E$460)))=0,"","Checked by: "&amp;IF(LEN(INDEX('Checks'!$G$4:$G$503,_calc!$E$460))=0,"",INDEX('Checks'!$G$4:$G$503,_calc!$E$460))&amp;". ")&amp;IF(LEN(IF(LEN(INDEX('Checks'!$Q$4:$Q$503,_calc!$E$460))=0,"",INDEX('Checks'!$Q$4:$Q$503,_calc!$E$460)))=0,"",IF(LEN(INDEX('Checks'!$Q$4:$Q$503,_calc!$E$460))=0,"",INDEX('Checks'!$Q$4:$Q$503,_calc!$E$460)))))</f>
        <v/>
      </c>
      <c r="G458" s="43">
        <f>IF(_calc!$E$460="","",IF(LEN(INDEX('Checks'!$P$4:$P$503,_calc!$E$460))=0,"",INDEX('Checks'!$P$4:$P$503,_calc!$E$460)))</f>
        <v/>
      </c>
      <c r="K458" s="43">
        <f>IF(_calc!$E$460="","",IF(LEN(INDEX('Checks'!$O$4:$O$503,_calc!$E$460))=0,"",INDEX('Checks'!$O$4:$O$503,_calc!$E$460)))</f>
        <v/>
      </c>
    </row>
    <row r="459">
      <c r="A459" s="43">
        <f>IF(_calc!$E$461="","","Right to work follow-up – "&amp;IF(LEN(INDEX('Checks'!$A$4:$A$503,_calc!$E$461))=0,"",INDEX('Checks'!$A$4:$A$503,_calc!$E$461)))</f>
        <v/>
      </c>
      <c r="B459" s="43">
        <f>IF(_calc!$E$461="","",IF(ISNUMBER(INDEX('Checks'!$H$4:$H$503,_calc!$E$461)),TEXT(INDEX('Checks'!$H$4:$H$503,_calc!$E$461),"yyyy-mm-dd"),""))</f>
        <v/>
      </c>
      <c r="C459" s="43">
        <f>IF(_calc!$E$461="","","Right to work")</f>
        <v/>
      </c>
      <c r="D459" s="43">
        <f>IF(_calc!$E$461="","",IF(ISNUMBER(INDEX('Checks'!$F$4:$F$503,_calc!$E$461)),TEXT(INDEX('Checks'!$F$4:$F$503,_calc!$E$461),"yyyy-mm-dd"),""))</f>
        <v/>
      </c>
      <c r="E459" s="43">
        <f>IF(_calc!$E$461="","","High")</f>
        <v/>
      </c>
      <c r="F459" s="43">
        <f>IF(_calc!$E$461="","",TRIM(IF(LEN(IF(LEN(INDEX('Checks'!$B$4:$B$503,_calc!$E$461))=0,"",INDEX('Checks'!$B$4:$B$503,_calc!$E$461)))=0,"","Role: "&amp;IF(LEN(INDEX('Checks'!$B$4:$B$503,_calc!$E$461))=0,"",INDEX('Checks'!$B$4:$B$503,_calc!$E$461))&amp;". ")&amp;IF(LEN(IF(LEN(INDEX('Checks'!$D$4:$D$503,_calc!$E$461))=0,"",INDEX('Checks'!$D$4:$D$503,_calc!$E$461)))=0,"","Check type: "&amp;IF(LEN(INDEX('Checks'!$D$4:$D$503,_calc!$E$461))=0,"",INDEX('Checks'!$D$4:$D$503,_calc!$E$461))&amp;". ")&amp;IF(LEN(IF(LEN(INDEX('Checks'!$E$4:$E$503,_calc!$E$461))=0,"",INDEX('Checks'!$E$4:$E$503,_calc!$E$461)))=0,"","Evidence: "&amp;IF(LEN(INDEX('Checks'!$E$4:$E$503,_calc!$E$461))=0,"",INDEX('Checks'!$E$4:$E$503,_calc!$E$461))&amp;". ")&amp;IF(LEN(IF(LEN(INDEX('Checks'!$G$4:$G$503,_calc!$E$461))=0,"",INDEX('Checks'!$G$4:$G$503,_calc!$E$461)))=0,"","Checked by: "&amp;IF(LEN(INDEX('Checks'!$G$4:$G$503,_calc!$E$461))=0,"",INDEX('Checks'!$G$4:$G$503,_calc!$E$461))&amp;". ")&amp;IF(LEN(IF(LEN(INDEX('Checks'!$Q$4:$Q$503,_calc!$E$461))=0,"",INDEX('Checks'!$Q$4:$Q$503,_calc!$E$461)))=0,"",IF(LEN(INDEX('Checks'!$Q$4:$Q$503,_calc!$E$461))=0,"",INDEX('Checks'!$Q$4:$Q$503,_calc!$E$461)))))</f>
        <v/>
      </c>
      <c r="G459" s="43">
        <f>IF(_calc!$E$461="","",IF(LEN(INDEX('Checks'!$P$4:$P$503,_calc!$E$461))=0,"",INDEX('Checks'!$P$4:$P$503,_calc!$E$461)))</f>
        <v/>
      </c>
      <c r="K459" s="43">
        <f>IF(_calc!$E$461="","",IF(LEN(INDEX('Checks'!$O$4:$O$503,_calc!$E$461))=0,"",INDEX('Checks'!$O$4:$O$503,_calc!$E$461)))</f>
        <v/>
      </c>
    </row>
    <row r="460">
      <c r="A460" s="43">
        <f>IF(_calc!$E$462="","","Right to work follow-up – "&amp;IF(LEN(INDEX('Checks'!$A$4:$A$503,_calc!$E$462))=0,"",INDEX('Checks'!$A$4:$A$503,_calc!$E$462)))</f>
        <v/>
      </c>
      <c r="B460" s="43">
        <f>IF(_calc!$E$462="","",IF(ISNUMBER(INDEX('Checks'!$H$4:$H$503,_calc!$E$462)),TEXT(INDEX('Checks'!$H$4:$H$503,_calc!$E$462),"yyyy-mm-dd"),""))</f>
        <v/>
      </c>
      <c r="C460" s="43">
        <f>IF(_calc!$E$462="","","Right to work")</f>
        <v/>
      </c>
      <c r="D460" s="43">
        <f>IF(_calc!$E$462="","",IF(ISNUMBER(INDEX('Checks'!$F$4:$F$503,_calc!$E$462)),TEXT(INDEX('Checks'!$F$4:$F$503,_calc!$E$462),"yyyy-mm-dd"),""))</f>
        <v/>
      </c>
      <c r="E460" s="43">
        <f>IF(_calc!$E$462="","","High")</f>
        <v/>
      </c>
      <c r="F460" s="43">
        <f>IF(_calc!$E$462="","",TRIM(IF(LEN(IF(LEN(INDEX('Checks'!$B$4:$B$503,_calc!$E$462))=0,"",INDEX('Checks'!$B$4:$B$503,_calc!$E$462)))=0,"","Role: "&amp;IF(LEN(INDEX('Checks'!$B$4:$B$503,_calc!$E$462))=0,"",INDEX('Checks'!$B$4:$B$503,_calc!$E$462))&amp;". ")&amp;IF(LEN(IF(LEN(INDEX('Checks'!$D$4:$D$503,_calc!$E$462))=0,"",INDEX('Checks'!$D$4:$D$503,_calc!$E$462)))=0,"","Check type: "&amp;IF(LEN(INDEX('Checks'!$D$4:$D$503,_calc!$E$462))=0,"",INDEX('Checks'!$D$4:$D$503,_calc!$E$462))&amp;". ")&amp;IF(LEN(IF(LEN(INDEX('Checks'!$E$4:$E$503,_calc!$E$462))=0,"",INDEX('Checks'!$E$4:$E$503,_calc!$E$462)))=0,"","Evidence: "&amp;IF(LEN(INDEX('Checks'!$E$4:$E$503,_calc!$E$462))=0,"",INDEX('Checks'!$E$4:$E$503,_calc!$E$462))&amp;". ")&amp;IF(LEN(IF(LEN(INDEX('Checks'!$G$4:$G$503,_calc!$E$462))=0,"",INDEX('Checks'!$G$4:$G$503,_calc!$E$462)))=0,"","Checked by: "&amp;IF(LEN(INDEX('Checks'!$G$4:$G$503,_calc!$E$462))=0,"",INDEX('Checks'!$G$4:$G$503,_calc!$E$462))&amp;". ")&amp;IF(LEN(IF(LEN(INDEX('Checks'!$Q$4:$Q$503,_calc!$E$462))=0,"",INDEX('Checks'!$Q$4:$Q$503,_calc!$E$462)))=0,"",IF(LEN(INDEX('Checks'!$Q$4:$Q$503,_calc!$E$462))=0,"",INDEX('Checks'!$Q$4:$Q$503,_calc!$E$462)))))</f>
        <v/>
      </c>
      <c r="G460" s="43">
        <f>IF(_calc!$E$462="","",IF(LEN(INDEX('Checks'!$P$4:$P$503,_calc!$E$462))=0,"",INDEX('Checks'!$P$4:$P$503,_calc!$E$462)))</f>
        <v/>
      </c>
      <c r="K460" s="43">
        <f>IF(_calc!$E$462="","",IF(LEN(INDEX('Checks'!$O$4:$O$503,_calc!$E$462))=0,"",INDEX('Checks'!$O$4:$O$503,_calc!$E$462)))</f>
        <v/>
      </c>
    </row>
    <row r="461">
      <c r="A461" s="43">
        <f>IF(_calc!$E$463="","","Right to work follow-up – "&amp;IF(LEN(INDEX('Checks'!$A$4:$A$503,_calc!$E$463))=0,"",INDEX('Checks'!$A$4:$A$503,_calc!$E$463)))</f>
        <v/>
      </c>
      <c r="B461" s="43">
        <f>IF(_calc!$E$463="","",IF(ISNUMBER(INDEX('Checks'!$H$4:$H$503,_calc!$E$463)),TEXT(INDEX('Checks'!$H$4:$H$503,_calc!$E$463),"yyyy-mm-dd"),""))</f>
        <v/>
      </c>
      <c r="C461" s="43">
        <f>IF(_calc!$E$463="","","Right to work")</f>
        <v/>
      </c>
      <c r="D461" s="43">
        <f>IF(_calc!$E$463="","",IF(ISNUMBER(INDEX('Checks'!$F$4:$F$503,_calc!$E$463)),TEXT(INDEX('Checks'!$F$4:$F$503,_calc!$E$463),"yyyy-mm-dd"),""))</f>
        <v/>
      </c>
      <c r="E461" s="43">
        <f>IF(_calc!$E$463="","","High")</f>
        <v/>
      </c>
      <c r="F461" s="43">
        <f>IF(_calc!$E$463="","",TRIM(IF(LEN(IF(LEN(INDEX('Checks'!$B$4:$B$503,_calc!$E$463))=0,"",INDEX('Checks'!$B$4:$B$503,_calc!$E$463)))=0,"","Role: "&amp;IF(LEN(INDEX('Checks'!$B$4:$B$503,_calc!$E$463))=0,"",INDEX('Checks'!$B$4:$B$503,_calc!$E$463))&amp;". ")&amp;IF(LEN(IF(LEN(INDEX('Checks'!$D$4:$D$503,_calc!$E$463))=0,"",INDEX('Checks'!$D$4:$D$503,_calc!$E$463)))=0,"","Check type: "&amp;IF(LEN(INDEX('Checks'!$D$4:$D$503,_calc!$E$463))=0,"",INDEX('Checks'!$D$4:$D$503,_calc!$E$463))&amp;". ")&amp;IF(LEN(IF(LEN(INDEX('Checks'!$E$4:$E$503,_calc!$E$463))=0,"",INDEX('Checks'!$E$4:$E$503,_calc!$E$463)))=0,"","Evidence: "&amp;IF(LEN(INDEX('Checks'!$E$4:$E$503,_calc!$E$463))=0,"",INDEX('Checks'!$E$4:$E$503,_calc!$E$463))&amp;". ")&amp;IF(LEN(IF(LEN(INDEX('Checks'!$G$4:$G$503,_calc!$E$463))=0,"",INDEX('Checks'!$G$4:$G$503,_calc!$E$463)))=0,"","Checked by: "&amp;IF(LEN(INDEX('Checks'!$G$4:$G$503,_calc!$E$463))=0,"",INDEX('Checks'!$G$4:$G$503,_calc!$E$463))&amp;". ")&amp;IF(LEN(IF(LEN(INDEX('Checks'!$Q$4:$Q$503,_calc!$E$463))=0,"",INDEX('Checks'!$Q$4:$Q$503,_calc!$E$463)))=0,"",IF(LEN(INDEX('Checks'!$Q$4:$Q$503,_calc!$E$463))=0,"",INDEX('Checks'!$Q$4:$Q$503,_calc!$E$463)))))</f>
        <v/>
      </c>
      <c r="G461" s="43">
        <f>IF(_calc!$E$463="","",IF(LEN(INDEX('Checks'!$P$4:$P$503,_calc!$E$463))=0,"",INDEX('Checks'!$P$4:$P$503,_calc!$E$463)))</f>
        <v/>
      </c>
      <c r="K461" s="43">
        <f>IF(_calc!$E$463="","",IF(LEN(INDEX('Checks'!$O$4:$O$503,_calc!$E$463))=0,"",INDEX('Checks'!$O$4:$O$503,_calc!$E$463)))</f>
        <v/>
      </c>
    </row>
    <row r="462">
      <c r="A462" s="43">
        <f>IF(_calc!$E$464="","","Right to work follow-up – "&amp;IF(LEN(INDEX('Checks'!$A$4:$A$503,_calc!$E$464))=0,"",INDEX('Checks'!$A$4:$A$503,_calc!$E$464)))</f>
        <v/>
      </c>
      <c r="B462" s="43">
        <f>IF(_calc!$E$464="","",IF(ISNUMBER(INDEX('Checks'!$H$4:$H$503,_calc!$E$464)),TEXT(INDEX('Checks'!$H$4:$H$503,_calc!$E$464),"yyyy-mm-dd"),""))</f>
        <v/>
      </c>
      <c r="C462" s="43">
        <f>IF(_calc!$E$464="","","Right to work")</f>
        <v/>
      </c>
      <c r="D462" s="43">
        <f>IF(_calc!$E$464="","",IF(ISNUMBER(INDEX('Checks'!$F$4:$F$503,_calc!$E$464)),TEXT(INDEX('Checks'!$F$4:$F$503,_calc!$E$464),"yyyy-mm-dd"),""))</f>
        <v/>
      </c>
      <c r="E462" s="43">
        <f>IF(_calc!$E$464="","","High")</f>
        <v/>
      </c>
      <c r="F462" s="43">
        <f>IF(_calc!$E$464="","",TRIM(IF(LEN(IF(LEN(INDEX('Checks'!$B$4:$B$503,_calc!$E$464))=0,"",INDEX('Checks'!$B$4:$B$503,_calc!$E$464)))=0,"","Role: "&amp;IF(LEN(INDEX('Checks'!$B$4:$B$503,_calc!$E$464))=0,"",INDEX('Checks'!$B$4:$B$503,_calc!$E$464))&amp;". ")&amp;IF(LEN(IF(LEN(INDEX('Checks'!$D$4:$D$503,_calc!$E$464))=0,"",INDEX('Checks'!$D$4:$D$503,_calc!$E$464)))=0,"","Check type: "&amp;IF(LEN(INDEX('Checks'!$D$4:$D$503,_calc!$E$464))=0,"",INDEX('Checks'!$D$4:$D$503,_calc!$E$464))&amp;". ")&amp;IF(LEN(IF(LEN(INDEX('Checks'!$E$4:$E$503,_calc!$E$464))=0,"",INDEX('Checks'!$E$4:$E$503,_calc!$E$464)))=0,"","Evidence: "&amp;IF(LEN(INDEX('Checks'!$E$4:$E$503,_calc!$E$464))=0,"",INDEX('Checks'!$E$4:$E$503,_calc!$E$464))&amp;". ")&amp;IF(LEN(IF(LEN(INDEX('Checks'!$G$4:$G$503,_calc!$E$464))=0,"",INDEX('Checks'!$G$4:$G$503,_calc!$E$464)))=0,"","Checked by: "&amp;IF(LEN(INDEX('Checks'!$G$4:$G$503,_calc!$E$464))=0,"",INDEX('Checks'!$G$4:$G$503,_calc!$E$464))&amp;". ")&amp;IF(LEN(IF(LEN(INDEX('Checks'!$Q$4:$Q$503,_calc!$E$464))=0,"",INDEX('Checks'!$Q$4:$Q$503,_calc!$E$464)))=0,"",IF(LEN(INDEX('Checks'!$Q$4:$Q$503,_calc!$E$464))=0,"",INDEX('Checks'!$Q$4:$Q$503,_calc!$E$464)))))</f>
        <v/>
      </c>
      <c r="G462" s="43">
        <f>IF(_calc!$E$464="","",IF(LEN(INDEX('Checks'!$P$4:$P$503,_calc!$E$464))=0,"",INDEX('Checks'!$P$4:$P$503,_calc!$E$464)))</f>
        <v/>
      </c>
      <c r="K462" s="43">
        <f>IF(_calc!$E$464="","",IF(LEN(INDEX('Checks'!$O$4:$O$503,_calc!$E$464))=0,"",INDEX('Checks'!$O$4:$O$503,_calc!$E$464)))</f>
        <v/>
      </c>
    </row>
    <row r="463">
      <c r="A463" s="43">
        <f>IF(_calc!$E$465="","","Right to work follow-up – "&amp;IF(LEN(INDEX('Checks'!$A$4:$A$503,_calc!$E$465))=0,"",INDEX('Checks'!$A$4:$A$503,_calc!$E$465)))</f>
        <v/>
      </c>
      <c r="B463" s="43">
        <f>IF(_calc!$E$465="","",IF(ISNUMBER(INDEX('Checks'!$H$4:$H$503,_calc!$E$465)),TEXT(INDEX('Checks'!$H$4:$H$503,_calc!$E$465),"yyyy-mm-dd"),""))</f>
        <v/>
      </c>
      <c r="C463" s="43">
        <f>IF(_calc!$E$465="","","Right to work")</f>
        <v/>
      </c>
      <c r="D463" s="43">
        <f>IF(_calc!$E$465="","",IF(ISNUMBER(INDEX('Checks'!$F$4:$F$503,_calc!$E$465)),TEXT(INDEX('Checks'!$F$4:$F$503,_calc!$E$465),"yyyy-mm-dd"),""))</f>
        <v/>
      </c>
      <c r="E463" s="43">
        <f>IF(_calc!$E$465="","","High")</f>
        <v/>
      </c>
      <c r="F463" s="43">
        <f>IF(_calc!$E$465="","",TRIM(IF(LEN(IF(LEN(INDEX('Checks'!$B$4:$B$503,_calc!$E$465))=0,"",INDEX('Checks'!$B$4:$B$503,_calc!$E$465)))=0,"","Role: "&amp;IF(LEN(INDEX('Checks'!$B$4:$B$503,_calc!$E$465))=0,"",INDEX('Checks'!$B$4:$B$503,_calc!$E$465))&amp;". ")&amp;IF(LEN(IF(LEN(INDEX('Checks'!$D$4:$D$503,_calc!$E$465))=0,"",INDEX('Checks'!$D$4:$D$503,_calc!$E$465)))=0,"","Check type: "&amp;IF(LEN(INDEX('Checks'!$D$4:$D$503,_calc!$E$465))=0,"",INDEX('Checks'!$D$4:$D$503,_calc!$E$465))&amp;". ")&amp;IF(LEN(IF(LEN(INDEX('Checks'!$E$4:$E$503,_calc!$E$465))=0,"",INDEX('Checks'!$E$4:$E$503,_calc!$E$465)))=0,"","Evidence: "&amp;IF(LEN(INDEX('Checks'!$E$4:$E$503,_calc!$E$465))=0,"",INDEX('Checks'!$E$4:$E$503,_calc!$E$465))&amp;". ")&amp;IF(LEN(IF(LEN(INDEX('Checks'!$G$4:$G$503,_calc!$E$465))=0,"",INDEX('Checks'!$G$4:$G$503,_calc!$E$465)))=0,"","Checked by: "&amp;IF(LEN(INDEX('Checks'!$G$4:$G$503,_calc!$E$465))=0,"",INDEX('Checks'!$G$4:$G$503,_calc!$E$465))&amp;". ")&amp;IF(LEN(IF(LEN(INDEX('Checks'!$Q$4:$Q$503,_calc!$E$465))=0,"",INDEX('Checks'!$Q$4:$Q$503,_calc!$E$465)))=0,"",IF(LEN(INDEX('Checks'!$Q$4:$Q$503,_calc!$E$465))=0,"",INDEX('Checks'!$Q$4:$Q$503,_calc!$E$465)))))</f>
        <v/>
      </c>
      <c r="G463" s="43">
        <f>IF(_calc!$E$465="","",IF(LEN(INDEX('Checks'!$P$4:$P$503,_calc!$E$465))=0,"",INDEX('Checks'!$P$4:$P$503,_calc!$E$465)))</f>
        <v/>
      </c>
      <c r="K463" s="43">
        <f>IF(_calc!$E$465="","",IF(LEN(INDEX('Checks'!$O$4:$O$503,_calc!$E$465))=0,"",INDEX('Checks'!$O$4:$O$503,_calc!$E$465)))</f>
        <v/>
      </c>
    </row>
    <row r="464">
      <c r="A464" s="43">
        <f>IF(_calc!$E$466="","","Right to work follow-up – "&amp;IF(LEN(INDEX('Checks'!$A$4:$A$503,_calc!$E$466))=0,"",INDEX('Checks'!$A$4:$A$503,_calc!$E$466)))</f>
        <v/>
      </c>
      <c r="B464" s="43">
        <f>IF(_calc!$E$466="","",IF(ISNUMBER(INDEX('Checks'!$H$4:$H$503,_calc!$E$466)),TEXT(INDEX('Checks'!$H$4:$H$503,_calc!$E$466),"yyyy-mm-dd"),""))</f>
        <v/>
      </c>
      <c r="C464" s="43">
        <f>IF(_calc!$E$466="","","Right to work")</f>
        <v/>
      </c>
      <c r="D464" s="43">
        <f>IF(_calc!$E$466="","",IF(ISNUMBER(INDEX('Checks'!$F$4:$F$503,_calc!$E$466)),TEXT(INDEX('Checks'!$F$4:$F$503,_calc!$E$466),"yyyy-mm-dd"),""))</f>
        <v/>
      </c>
      <c r="E464" s="43">
        <f>IF(_calc!$E$466="","","High")</f>
        <v/>
      </c>
      <c r="F464" s="43">
        <f>IF(_calc!$E$466="","",TRIM(IF(LEN(IF(LEN(INDEX('Checks'!$B$4:$B$503,_calc!$E$466))=0,"",INDEX('Checks'!$B$4:$B$503,_calc!$E$466)))=0,"","Role: "&amp;IF(LEN(INDEX('Checks'!$B$4:$B$503,_calc!$E$466))=0,"",INDEX('Checks'!$B$4:$B$503,_calc!$E$466))&amp;". ")&amp;IF(LEN(IF(LEN(INDEX('Checks'!$D$4:$D$503,_calc!$E$466))=0,"",INDEX('Checks'!$D$4:$D$503,_calc!$E$466)))=0,"","Check type: "&amp;IF(LEN(INDEX('Checks'!$D$4:$D$503,_calc!$E$466))=0,"",INDEX('Checks'!$D$4:$D$503,_calc!$E$466))&amp;". ")&amp;IF(LEN(IF(LEN(INDEX('Checks'!$E$4:$E$503,_calc!$E$466))=0,"",INDEX('Checks'!$E$4:$E$503,_calc!$E$466)))=0,"","Evidence: "&amp;IF(LEN(INDEX('Checks'!$E$4:$E$503,_calc!$E$466))=0,"",INDEX('Checks'!$E$4:$E$503,_calc!$E$466))&amp;". ")&amp;IF(LEN(IF(LEN(INDEX('Checks'!$G$4:$G$503,_calc!$E$466))=0,"",INDEX('Checks'!$G$4:$G$503,_calc!$E$466)))=0,"","Checked by: "&amp;IF(LEN(INDEX('Checks'!$G$4:$G$503,_calc!$E$466))=0,"",INDEX('Checks'!$G$4:$G$503,_calc!$E$466))&amp;". ")&amp;IF(LEN(IF(LEN(INDEX('Checks'!$Q$4:$Q$503,_calc!$E$466))=0,"",INDEX('Checks'!$Q$4:$Q$503,_calc!$E$466)))=0,"",IF(LEN(INDEX('Checks'!$Q$4:$Q$503,_calc!$E$466))=0,"",INDEX('Checks'!$Q$4:$Q$503,_calc!$E$466)))))</f>
        <v/>
      </c>
      <c r="G464" s="43">
        <f>IF(_calc!$E$466="","",IF(LEN(INDEX('Checks'!$P$4:$P$503,_calc!$E$466))=0,"",INDEX('Checks'!$P$4:$P$503,_calc!$E$466)))</f>
        <v/>
      </c>
      <c r="K464" s="43">
        <f>IF(_calc!$E$466="","",IF(LEN(INDEX('Checks'!$O$4:$O$503,_calc!$E$466))=0,"",INDEX('Checks'!$O$4:$O$503,_calc!$E$466)))</f>
        <v/>
      </c>
    </row>
    <row r="465">
      <c r="A465" s="43">
        <f>IF(_calc!$E$467="","","Right to work follow-up – "&amp;IF(LEN(INDEX('Checks'!$A$4:$A$503,_calc!$E$467))=0,"",INDEX('Checks'!$A$4:$A$503,_calc!$E$467)))</f>
        <v/>
      </c>
      <c r="B465" s="43">
        <f>IF(_calc!$E$467="","",IF(ISNUMBER(INDEX('Checks'!$H$4:$H$503,_calc!$E$467)),TEXT(INDEX('Checks'!$H$4:$H$503,_calc!$E$467),"yyyy-mm-dd"),""))</f>
        <v/>
      </c>
      <c r="C465" s="43">
        <f>IF(_calc!$E$467="","","Right to work")</f>
        <v/>
      </c>
      <c r="D465" s="43">
        <f>IF(_calc!$E$467="","",IF(ISNUMBER(INDEX('Checks'!$F$4:$F$503,_calc!$E$467)),TEXT(INDEX('Checks'!$F$4:$F$503,_calc!$E$467),"yyyy-mm-dd"),""))</f>
        <v/>
      </c>
      <c r="E465" s="43">
        <f>IF(_calc!$E$467="","","High")</f>
        <v/>
      </c>
      <c r="F465" s="43">
        <f>IF(_calc!$E$467="","",TRIM(IF(LEN(IF(LEN(INDEX('Checks'!$B$4:$B$503,_calc!$E$467))=0,"",INDEX('Checks'!$B$4:$B$503,_calc!$E$467)))=0,"","Role: "&amp;IF(LEN(INDEX('Checks'!$B$4:$B$503,_calc!$E$467))=0,"",INDEX('Checks'!$B$4:$B$503,_calc!$E$467))&amp;". ")&amp;IF(LEN(IF(LEN(INDEX('Checks'!$D$4:$D$503,_calc!$E$467))=0,"",INDEX('Checks'!$D$4:$D$503,_calc!$E$467)))=0,"","Check type: "&amp;IF(LEN(INDEX('Checks'!$D$4:$D$503,_calc!$E$467))=0,"",INDEX('Checks'!$D$4:$D$503,_calc!$E$467))&amp;". ")&amp;IF(LEN(IF(LEN(INDEX('Checks'!$E$4:$E$503,_calc!$E$467))=0,"",INDEX('Checks'!$E$4:$E$503,_calc!$E$467)))=0,"","Evidence: "&amp;IF(LEN(INDEX('Checks'!$E$4:$E$503,_calc!$E$467))=0,"",INDEX('Checks'!$E$4:$E$503,_calc!$E$467))&amp;". ")&amp;IF(LEN(IF(LEN(INDEX('Checks'!$G$4:$G$503,_calc!$E$467))=0,"",INDEX('Checks'!$G$4:$G$503,_calc!$E$467)))=0,"","Checked by: "&amp;IF(LEN(INDEX('Checks'!$G$4:$G$503,_calc!$E$467))=0,"",INDEX('Checks'!$G$4:$G$503,_calc!$E$467))&amp;". ")&amp;IF(LEN(IF(LEN(INDEX('Checks'!$Q$4:$Q$503,_calc!$E$467))=0,"",INDEX('Checks'!$Q$4:$Q$503,_calc!$E$467)))=0,"",IF(LEN(INDEX('Checks'!$Q$4:$Q$503,_calc!$E$467))=0,"",INDEX('Checks'!$Q$4:$Q$503,_calc!$E$467)))))</f>
        <v/>
      </c>
      <c r="G465" s="43">
        <f>IF(_calc!$E$467="","",IF(LEN(INDEX('Checks'!$P$4:$P$503,_calc!$E$467))=0,"",INDEX('Checks'!$P$4:$P$503,_calc!$E$467)))</f>
        <v/>
      </c>
      <c r="K465" s="43">
        <f>IF(_calc!$E$467="","",IF(LEN(INDEX('Checks'!$O$4:$O$503,_calc!$E$467))=0,"",INDEX('Checks'!$O$4:$O$503,_calc!$E$467)))</f>
        <v/>
      </c>
    </row>
    <row r="466">
      <c r="A466" s="43">
        <f>IF(_calc!$E$468="","","Right to work follow-up – "&amp;IF(LEN(INDEX('Checks'!$A$4:$A$503,_calc!$E$468))=0,"",INDEX('Checks'!$A$4:$A$503,_calc!$E$468)))</f>
        <v/>
      </c>
      <c r="B466" s="43">
        <f>IF(_calc!$E$468="","",IF(ISNUMBER(INDEX('Checks'!$H$4:$H$503,_calc!$E$468)),TEXT(INDEX('Checks'!$H$4:$H$503,_calc!$E$468),"yyyy-mm-dd"),""))</f>
        <v/>
      </c>
      <c r="C466" s="43">
        <f>IF(_calc!$E$468="","","Right to work")</f>
        <v/>
      </c>
      <c r="D466" s="43">
        <f>IF(_calc!$E$468="","",IF(ISNUMBER(INDEX('Checks'!$F$4:$F$503,_calc!$E$468)),TEXT(INDEX('Checks'!$F$4:$F$503,_calc!$E$468),"yyyy-mm-dd"),""))</f>
        <v/>
      </c>
      <c r="E466" s="43">
        <f>IF(_calc!$E$468="","","High")</f>
        <v/>
      </c>
      <c r="F466" s="43">
        <f>IF(_calc!$E$468="","",TRIM(IF(LEN(IF(LEN(INDEX('Checks'!$B$4:$B$503,_calc!$E$468))=0,"",INDEX('Checks'!$B$4:$B$503,_calc!$E$468)))=0,"","Role: "&amp;IF(LEN(INDEX('Checks'!$B$4:$B$503,_calc!$E$468))=0,"",INDEX('Checks'!$B$4:$B$503,_calc!$E$468))&amp;". ")&amp;IF(LEN(IF(LEN(INDEX('Checks'!$D$4:$D$503,_calc!$E$468))=0,"",INDEX('Checks'!$D$4:$D$503,_calc!$E$468)))=0,"","Check type: "&amp;IF(LEN(INDEX('Checks'!$D$4:$D$503,_calc!$E$468))=0,"",INDEX('Checks'!$D$4:$D$503,_calc!$E$468))&amp;". ")&amp;IF(LEN(IF(LEN(INDEX('Checks'!$E$4:$E$503,_calc!$E$468))=0,"",INDEX('Checks'!$E$4:$E$503,_calc!$E$468)))=0,"","Evidence: "&amp;IF(LEN(INDEX('Checks'!$E$4:$E$503,_calc!$E$468))=0,"",INDEX('Checks'!$E$4:$E$503,_calc!$E$468))&amp;". ")&amp;IF(LEN(IF(LEN(INDEX('Checks'!$G$4:$G$503,_calc!$E$468))=0,"",INDEX('Checks'!$G$4:$G$503,_calc!$E$468)))=0,"","Checked by: "&amp;IF(LEN(INDEX('Checks'!$G$4:$G$503,_calc!$E$468))=0,"",INDEX('Checks'!$G$4:$G$503,_calc!$E$468))&amp;". ")&amp;IF(LEN(IF(LEN(INDEX('Checks'!$Q$4:$Q$503,_calc!$E$468))=0,"",INDEX('Checks'!$Q$4:$Q$503,_calc!$E$468)))=0,"",IF(LEN(INDEX('Checks'!$Q$4:$Q$503,_calc!$E$468))=0,"",INDEX('Checks'!$Q$4:$Q$503,_calc!$E$468)))))</f>
        <v/>
      </c>
      <c r="G466" s="43">
        <f>IF(_calc!$E$468="","",IF(LEN(INDEX('Checks'!$P$4:$P$503,_calc!$E$468))=0,"",INDEX('Checks'!$P$4:$P$503,_calc!$E$468)))</f>
        <v/>
      </c>
      <c r="K466" s="43">
        <f>IF(_calc!$E$468="","",IF(LEN(INDEX('Checks'!$O$4:$O$503,_calc!$E$468))=0,"",INDEX('Checks'!$O$4:$O$503,_calc!$E$468)))</f>
        <v/>
      </c>
    </row>
    <row r="467">
      <c r="A467" s="43">
        <f>IF(_calc!$E$469="","","Right to work follow-up – "&amp;IF(LEN(INDEX('Checks'!$A$4:$A$503,_calc!$E$469))=0,"",INDEX('Checks'!$A$4:$A$503,_calc!$E$469)))</f>
        <v/>
      </c>
      <c r="B467" s="43">
        <f>IF(_calc!$E$469="","",IF(ISNUMBER(INDEX('Checks'!$H$4:$H$503,_calc!$E$469)),TEXT(INDEX('Checks'!$H$4:$H$503,_calc!$E$469),"yyyy-mm-dd"),""))</f>
        <v/>
      </c>
      <c r="C467" s="43">
        <f>IF(_calc!$E$469="","","Right to work")</f>
        <v/>
      </c>
      <c r="D467" s="43">
        <f>IF(_calc!$E$469="","",IF(ISNUMBER(INDEX('Checks'!$F$4:$F$503,_calc!$E$469)),TEXT(INDEX('Checks'!$F$4:$F$503,_calc!$E$469),"yyyy-mm-dd"),""))</f>
        <v/>
      </c>
      <c r="E467" s="43">
        <f>IF(_calc!$E$469="","","High")</f>
        <v/>
      </c>
      <c r="F467" s="43">
        <f>IF(_calc!$E$469="","",TRIM(IF(LEN(IF(LEN(INDEX('Checks'!$B$4:$B$503,_calc!$E$469))=0,"",INDEX('Checks'!$B$4:$B$503,_calc!$E$469)))=0,"","Role: "&amp;IF(LEN(INDEX('Checks'!$B$4:$B$503,_calc!$E$469))=0,"",INDEX('Checks'!$B$4:$B$503,_calc!$E$469))&amp;". ")&amp;IF(LEN(IF(LEN(INDEX('Checks'!$D$4:$D$503,_calc!$E$469))=0,"",INDEX('Checks'!$D$4:$D$503,_calc!$E$469)))=0,"","Check type: "&amp;IF(LEN(INDEX('Checks'!$D$4:$D$503,_calc!$E$469))=0,"",INDEX('Checks'!$D$4:$D$503,_calc!$E$469))&amp;". ")&amp;IF(LEN(IF(LEN(INDEX('Checks'!$E$4:$E$503,_calc!$E$469))=0,"",INDEX('Checks'!$E$4:$E$503,_calc!$E$469)))=0,"","Evidence: "&amp;IF(LEN(INDEX('Checks'!$E$4:$E$503,_calc!$E$469))=0,"",INDEX('Checks'!$E$4:$E$503,_calc!$E$469))&amp;". ")&amp;IF(LEN(IF(LEN(INDEX('Checks'!$G$4:$G$503,_calc!$E$469))=0,"",INDEX('Checks'!$G$4:$G$503,_calc!$E$469)))=0,"","Checked by: "&amp;IF(LEN(INDEX('Checks'!$G$4:$G$503,_calc!$E$469))=0,"",INDEX('Checks'!$G$4:$G$503,_calc!$E$469))&amp;". ")&amp;IF(LEN(IF(LEN(INDEX('Checks'!$Q$4:$Q$503,_calc!$E$469))=0,"",INDEX('Checks'!$Q$4:$Q$503,_calc!$E$469)))=0,"",IF(LEN(INDEX('Checks'!$Q$4:$Q$503,_calc!$E$469))=0,"",INDEX('Checks'!$Q$4:$Q$503,_calc!$E$469)))))</f>
        <v/>
      </c>
      <c r="G467" s="43">
        <f>IF(_calc!$E$469="","",IF(LEN(INDEX('Checks'!$P$4:$P$503,_calc!$E$469))=0,"",INDEX('Checks'!$P$4:$P$503,_calc!$E$469)))</f>
        <v/>
      </c>
      <c r="K467" s="43">
        <f>IF(_calc!$E$469="","",IF(LEN(INDEX('Checks'!$O$4:$O$503,_calc!$E$469))=0,"",INDEX('Checks'!$O$4:$O$503,_calc!$E$469)))</f>
        <v/>
      </c>
    </row>
    <row r="468">
      <c r="A468" s="43">
        <f>IF(_calc!$E$470="","","Right to work follow-up – "&amp;IF(LEN(INDEX('Checks'!$A$4:$A$503,_calc!$E$470))=0,"",INDEX('Checks'!$A$4:$A$503,_calc!$E$470)))</f>
        <v/>
      </c>
      <c r="B468" s="43">
        <f>IF(_calc!$E$470="","",IF(ISNUMBER(INDEX('Checks'!$H$4:$H$503,_calc!$E$470)),TEXT(INDEX('Checks'!$H$4:$H$503,_calc!$E$470),"yyyy-mm-dd"),""))</f>
        <v/>
      </c>
      <c r="C468" s="43">
        <f>IF(_calc!$E$470="","","Right to work")</f>
        <v/>
      </c>
      <c r="D468" s="43">
        <f>IF(_calc!$E$470="","",IF(ISNUMBER(INDEX('Checks'!$F$4:$F$503,_calc!$E$470)),TEXT(INDEX('Checks'!$F$4:$F$503,_calc!$E$470),"yyyy-mm-dd"),""))</f>
        <v/>
      </c>
      <c r="E468" s="43">
        <f>IF(_calc!$E$470="","","High")</f>
        <v/>
      </c>
      <c r="F468" s="43">
        <f>IF(_calc!$E$470="","",TRIM(IF(LEN(IF(LEN(INDEX('Checks'!$B$4:$B$503,_calc!$E$470))=0,"",INDEX('Checks'!$B$4:$B$503,_calc!$E$470)))=0,"","Role: "&amp;IF(LEN(INDEX('Checks'!$B$4:$B$503,_calc!$E$470))=0,"",INDEX('Checks'!$B$4:$B$503,_calc!$E$470))&amp;". ")&amp;IF(LEN(IF(LEN(INDEX('Checks'!$D$4:$D$503,_calc!$E$470))=0,"",INDEX('Checks'!$D$4:$D$503,_calc!$E$470)))=0,"","Check type: "&amp;IF(LEN(INDEX('Checks'!$D$4:$D$503,_calc!$E$470))=0,"",INDEX('Checks'!$D$4:$D$503,_calc!$E$470))&amp;". ")&amp;IF(LEN(IF(LEN(INDEX('Checks'!$E$4:$E$503,_calc!$E$470))=0,"",INDEX('Checks'!$E$4:$E$503,_calc!$E$470)))=0,"","Evidence: "&amp;IF(LEN(INDEX('Checks'!$E$4:$E$503,_calc!$E$470))=0,"",INDEX('Checks'!$E$4:$E$503,_calc!$E$470))&amp;". ")&amp;IF(LEN(IF(LEN(INDEX('Checks'!$G$4:$G$503,_calc!$E$470))=0,"",INDEX('Checks'!$G$4:$G$503,_calc!$E$470)))=0,"","Checked by: "&amp;IF(LEN(INDEX('Checks'!$G$4:$G$503,_calc!$E$470))=0,"",INDEX('Checks'!$G$4:$G$503,_calc!$E$470))&amp;". ")&amp;IF(LEN(IF(LEN(INDEX('Checks'!$Q$4:$Q$503,_calc!$E$470))=0,"",INDEX('Checks'!$Q$4:$Q$503,_calc!$E$470)))=0,"",IF(LEN(INDEX('Checks'!$Q$4:$Q$503,_calc!$E$470))=0,"",INDEX('Checks'!$Q$4:$Q$503,_calc!$E$470)))))</f>
        <v/>
      </c>
      <c r="G468" s="43">
        <f>IF(_calc!$E$470="","",IF(LEN(INDEX('Checks'!$P$4:$P$503,_calc!$E$470))=0,"",INDEX('Checks'!$P$4:$P$503,_calc!$E$470)))</f>
        <v/>
      </c>
      <c r="K468" s="43">
        <f>IF(_calc!$E$470="","",IF(LEN(INDEX('Checks'!$O$4:$O$503,_calc!$E$470))=0,"",INDEX('Checks'!$O$4:$O$503,_calc!$E$470)))</f>
        <v/>
      </c>
    </row>
    <row r="469">
      <c r="A469" s="43">
        <f>IF(_calc!$E$471="","","Right to work follow-up – "&amp;IF(LEN(INDEX('Checks'!$A$4:$A$503,_calc!$E$471))=0,"",INDEX('Checks'!$A$4:$A$503,_calc!$E$471)))</f>
        <v/>
      </c>
      <c r="B469" s="43">
        <f>IF(_calc!$E$471="","",IF(ISNUMBER(INDEX('Checks'!$H$4:$H$503,_calc!$E$471)),TEXT(INDEX('Checks'!$H$4:$H$503,_calc!$E$471),"yyyy-mm-dd"),""))</f>
        <v/>
      </c>
      <c r="C469" s="43">
        <f>IF(_calc!$E$471="","","Right to work")</f>
        <v/>
      </c>
      <c r="D469" s="43">
        <f>IF(_calc!$E$471="","",IF(ISNUMBER(INDEX('Checks'!$F$4:$F$503,_calc!$E$471)),TEXT(INDEX('Checks'!$F$4:$F$503,_calc!$E$471),"yyyy-mm-dd"),""))</f>
        <v/>
      </c>
      <c r="E469" s="43">
        <f>IF(_calc!$E$471="","","High")</f>
        <v/>
      </c>
      <c r="F469" s="43">
        <f>IF(_calc!$E$471="","",TRIM(IF(LEN(IF(LEN(INDEX('Checks'!$B$4:$B$503,_calc!$E$471))=0,"",INDEX('Checks'!$B$4:$B$503,_calc!$E$471)))=0,"","Role: "&amp;IF(LEN(INDEX('Checks'!$B$4:$B$503,_calc!$E$471))=0,"",INDEX('Checks'!$B$4:$B$503,_calc!$E$471))&amp;". ")&amp;IF(LEN(IF(LEN(INDEX('Checks'!$D$4:$D$503,_calc!$E$471))=0,"",INDEX('Checks'!$D$4:$D$503,_calc!$E$471)))=0,"","Check type: "&amp;IF(LEN(INDEX('Checks'!$D$4:$D$503,_calc!$E$471))=0,"",INDEX('Checks'!$D$4:$D$503,_calc!$E$471))&amp;". ")&amp;IF(LEN(IF(LEN(INDEX('Checks'!$E$4:$E$503,_calc!$E$471))=0,"",INDEX('Checks'!$E$4:$E$503,_calc!$E$471)))=0,"","Evidence: "&amp;IF(LEN(INDEX('Checks'!$E$4:$E$503,_calc!$E$471))=0,"",INDEX('Checks'!$E$4:$E$503,_calc!$E$471))&amp;". ")&amp;IF(LEN(IF(LEN(INDEX('Checks'!$G$4:$G$503,_calc!$E$471))=0,"",INDEX('Checks'!$G$4:$G$503,_calc!$E$471)))=0,"","Checked by: "&amp;IF(LEN(INDEX('Checks'!$G$4:$G$503,_calc!$E$471))=0,"",INDEX('Checks'!$G$4:$G$503,_calc!$E$471))&amp;". ")&amp;IF(LEN(IF(LEN(INDEX('Checks'!$Q$4:$Q$503,_calc!$E$471))=0,"",INDEX('Checks'!$Q$4:$Q$503,_calc!$E$471)))=0,"",IF(LEN(INDEX('Checks'!$Q$4:$Q$503,_calc!$E$471))=0,"",INDEX('Checks'!$Q$4:$Q$503,_calc!$E$471)))))</f>
        <v/>
      </c>
      <c r="G469" s="43">
        <f>IF(_calc!$E$471="","",IF(LEN(INDEX('Checks'!$P$4:$P$503,_calc!$E$471))=0,"",INDEX('Checks'!$P$4:$P$503,_calc!$E$471)))</f>
        <v/>
      </c>
      <c r="K469" s="43">
        <f>IF(_calc!$E$471="","",IF(LEN(INDEX('Checks'!$O$4:$O$503,_calc!$E$471))=0,"",INDEX('Checks'!$O$4:$O$503,_calc!$E$471)))</f>
        <v/>
      </c>
    </row>
    <row r="470">
      <c r="A470" s="43">
        <f>IF(_calc!$E$472="","","Right to work follow-up – "&amp;IF(LEN(INDEX('Checks'!$A$4:$A$503,_calc!$E$472))=0,"",INDEX('Checks'!$A$4:$A$503,_calc!$E$472)))</f>
        <v/>
      </c>
      <c r="B470" s="43">
        <f>IF(_calc!$E$472="","",IF(ISNUMBER(INDEX('Checks'!$H$4:$H$503,_calc!$E$472)),TEXT(INDEX('Checks'!$H$4:$H$503,_calc!$E$472),"yyyy-mm-dd"),""))</f>
        <v/>
      </c>
      <c r="C470" s="43">
        <f>IF(_calc!$E$472="","","Right to work")</f>
        <v/>
      </c>
      <c r="D470" s="43">
        <f>IF(_calc!$E$472="","",IF(ISNUMBER(INDEX('Checks'!$F$4:$F$503,_calc!$E$472)),TEXT(INDEX('Checks'!$F$4:$F$503,_calc!$E$472),"yyyy-mm-dd"),""))</f>
        <v/>
      </c>
      <c r="E470" s="43">
        <f>IF(_calc!$E$472="","","High")</f>
        <v/>
      </c>
      <c r="F470" s="43">
        <f>IF(_calc!$E$472="","",TRIM(IF(LEN(IF(LEN(INDEX('Checks'!$B$4:$B$503,_calc!$E$472))=0,"",INDEX('Checks'!$B$4:$B$503,_calc!$E$472)))=0,"","Role: "&amp;IF(LEN(INDEX('Checks'!$B$4:$B$503,_calc!$E$472))=0,"",INDEX('Checks'!$B$4:$B$503,_calc!$E$472))&amp;". ")&amp;IF(LEN(IF(LEN(INDEX('Checks'!$D$4:$D$503,_calc!$E$472))=0,"",INDEX('Checks'!$D$4:$D$503,_calc!$E$472)))=0,"","Check type: "&amp;IF(LEN(INDEX('Checks'!$D$4:$D$503,_calc!$E$472))=0,"",INDEX('Checks'!$D$4:$D$503,_calc!$E$472))&amp;". ")&amp;IF(LEN(IF(LEN(INDEX('Checks'!$E$4:$E$503,_calc!$E$472))=0,"",INDEX('Checks'!$E$4:$E$503,_calc!$E$472)))=0,"","Evidence: "&amp;IF(LEN(INDEX('Checks'!$E$4:$E$503,_calc!$E$472))=0,"",INDEX('Checks'!$E$4:$E$503,_calc!$E$472))&amp;". ")&amp;IF(LEN(IF(LEN(INDEX('Checks'!$G$4:$G$503,_calc!$E$472))=0,"",INDEX('Checks'!$G$4:$G$503,_calc!$E$472)))=0,"","Checked by: "&amp;IF(LEN(INDEX('Checks'!$G$4:$G$503,_calc!$E$472))=0,"",INDEX('Checks'!$G$4:$G$503,_calc!$E$472))&amp;". ")&amp;IF(LEN(IF(LEN(INDEX('Checks'!$Q$4:$Q$503,_calc!$E$472))=0,"",INDEX('Checks'!$Q$4:$Q$503,_calc!$E$472)))=0,"",IF(LEN(INDEX('Checks'!$Q$4:$Q$503,_calc!$E$472))=0,"",INDEX('Checks'!$Q$4:$Q$503,_calc!$E$472)))))</f>
        <v/>
      </c>
      <c r="G470" s="43">
        <f>IF(_calc!$E$472="","",IF(LEN(INDEX('Checks'!$P$4:$P$503,_calc!$E$472))=0,"",INDEX('Checks'!$P$4:$P$503,_calc!$E$472)))</f>
        <v/>
      </c>
      <c r="K470" s="43">
        <f>IF(_calc!$E$472="","",IF(LEN(INDEX('Checks'!$O$4:$O$503,_calc!$E$472))=0,"",INDEX('Checks'!$O$4:$O$503,_calc!$E$472)))</f>
        <v/>
      </c>
    </row>
    <row r="471">
      <c r="A471" s="43">
        <f>IF(_calc!$E$473="","","Right to work follow-up – "&amp;IF(LEN(INDEX('Checks'!$A$4:$A$503,_calc!$E$473))=0,"",INDEX('Checks'!$A$4:$A$503,_calc!$E$473)))</f>
        <v/>
      </c>
      <c r="B471" s="43">
        <f>IF(_calc!$E$473="","",IF(ISNUMBER(INDEX('Checks'!$H$4:$H$503,_calc!$E$473)),TEXT(INDEX('Checks'!$H$4:$H$503,_calc!$E$473),"yyyy-mm-dd"),""))</f>
        <v/>
      </c>
      <c r="C471" s="43">
        <f>IF(_calc!$E$473="","","Right to work")</f>
        <v/>
      </c>
      <c r="D471" s="43">
        <f>IF(_calc!$E$473="","",IF(ISNUMBER(INDEX('Checks'!$F$4:$F$503,_calc!$E$473)),TEXT(INDEX('Checks'!$F$4:$F$503,_calc!$E$473),"yyyy-mm-dd"),""))</f>
        <v/>
      </c>
      <c r="E471" s="43">
        <f>IF(_calc!$E$473="","","High")</f>
        <v/>
      </c>
      <c r="F471" s="43">
        <f>IF(_calc!$E$473="","",TRIM(IF(LEN(IF(LEN(INDEX('Checks'!$B$4:$B$503,_calc!$E$473))=0,"",INDEX('Checks'!$B$4:$B$503,_calc!$E$473)))=0,"","Role: "&amp;IF(LEN(INDEX('Checks'!$B$4:$B$503,_calc!$E$473))=0,"",INDEX('Checks'!$B$4:$B$503,_calc!$E$473))&amp;". ")&amp;IF(LEN(IF(LEN(INDEX('Checks'!$D$4:$D$503,_calc!$E$473))=0,"",INDEX('Checks'!$D$4:$D$503,_calc!$E$473)))=0,"","Check type: "&amp;IF(LEN(INDEX('Checks'!$D$4:$D$503,_calc!$E$473))=0,"",INDEX('Checks'!$D$4:$D$503,_calc!$E$473))&amp;". ")&amp;IF(LEN(IF(LEN(INDEX('Checks'!$E$4:$E$503,_calc!$E$473))=0,"",INDEX('Checks'!$E$4:$E$503,_calc!$E$473)))=0,"","Evidence: "&amp;IF(LEN(INDEX('Checks'!$E$4:$E$503,_calc!$E$473))=0,"",INDEX('Checks'!$E$4:$E$503,_calc!$E$473))&amp;". ")&amp;IF(LEN(IF(LEN(INDEX('Checks'!$G$4:$G$503,_calc!$E$473))=0,"",INDEX('Checks'!$G$4:$G$503,_calc!$E$473)))=0,"","Checked by: "&amp;IF(LEN(INDEX('Checks'!$G$4:$G$503,_calc!$E$473))=0,"",INDEX('Checks'!$G$4:$G$503,_calc!$E$473))&amp;". ")&amp;IF(LEN(IF(LEN(INDEX('Checks'!$Q$4:$Q$503,_calc!$E$473))=0,"",INDEX('Checks'!$Q$4:$Q$503,_calc!$E$473)))=0,"",IF(LEN(INDEX('Checks'!$Q$4:$Q$503,_calc!$E$473))=0,"",INDEX('Checks'!$Q$4:$Q$503,_calc!$E$473)))))</f>
        <v/>
      </c>
      <c r="G471" s="43">
        <f>IF(_calc!$E$473="","",IF(LEN(INDEX('Checks'!$P$4:$P$503,_calc!$E$473))=0,"",INDEX('Checks'!$P$4:$P$503,_calc!$E$473)))</f>
        <v/>
      </c>
      <c r="K471" s="43">
        <f>IF(_calc!$E$473="","",IF(LEN(INDEX('Checks'!$O$4:$O$503,_calc!$E$473))=0,"",INDEX('Checks'!$O$4:$O$503,_calc!$E$473)))</f>
        <v/>
      </c>
    </row>
    <row r="472">
      <c r="A472" s="43">
        <f>IF(_calc!$E$474="","","Right to work follow-up – "&amp;IF(LEN(INDEX('Checks'!$A$4:$A$503,_calc!$E$474))=0,"",INDEX('Checks'!$A$4:$A$503,_calc!$E$474)))</f>
        <v/>
      </c>
      <c r="B472" s="43">
        <f>IF(_calc!$E$474="","",IF(ISNUMBER(INDEX('Checks'!$H$4:$H$503,_calc!$E$474)),TEXT(INDEX('Checks'!$H$4:$H$503,_calc!$E$474),"yyyy-mm-dd"),""))</f>
        <v/>
      </c>
      <c r="C472" s="43">
        <f>IF(_calc!$E$474="","","Right to work")</f>
        <v/>
      </c>
      <c r="D472" s="43">
        <f>IF(_calc!$E$474="","",IF(ISNUMBER(INDEX('Checks'!$F$4:$F$503,_calc!$E$474)),TEXT(INDEX('Checks'!$F$4:$F$503,_calc!$E$474),"yyyy-mm-dd"),""))</f>
        <v/>
      </c>
      <c r="E472" s="43">
        <f>IF(_calc!$E$474="","","High")</f>
        <v/>
      </c>
      <c r="F472" s="43">
        <f>IF(_calc!$E$474="","",TRIM(IF(LEN(IF(LEN(INDEX('Checks'!$B$4:$B$503,_calc!$E$474))=0,"",INDEX('Checks'!$B$4:$B$503,_calc!$E$474)))=0,"","Role: "&amp;IF(LEN(INDEX('Checks'!$B$4:$B$503,_calc!$E$474))=0,"",INDEX('Checks'!$B$4:$B$503,_calc!$E$474))&amp;". ")&amp;IF(LEN(IF(LEN(INDEX('Checks'!$D$4:$D$503,_calc!$E$474))=0,"",INDEX('Checks'!$D$4:$D$503,_calc!$E$474)))=0,"","Check type: "&amp;IF(LEN(INDEX('Checks'!$D$4:$D$503,_calc!$E$474))=0,"",INDEX('Checks'!$D$4:$D$503,_calc!$E$474))&amp;". ")&amp;IF(LEN(IF(LEN(INDEX('Checks'!$E$4:$E$503,_calc!$E$474))=0,"",INDEX('Checks'!$E$4:$E$503,_calc!$E$474)))=0,"","Evidence: "&amp;IF(LEN(INDEX('Checks'!$E$4:$E$503,_calc!$E$474))=0,"",INDEX('Checks'!$E$4:$E$503,_calc!$E$474))&amp;". ")&amp;IF(LEN(IF(LEN(INDEX('Checks'!$G$4:$G$503,_calc!$E$474))=0,"",INDEX('Checks'!$G$4:$G$503,_calc!$E$474)))=0,"","Checked by: "&amp;IF(LEN(INDEX('Checks'!$G$4:$G$503,_calc!$E$474))=0,"",INDEX('Checks'!$G$4:$G$503,_calc!$E$474))&amp;". ")&amp;IF(LEN(IF(LEN(INDEX('Checks'!$Q$4:$Q$503,_calc!$E$474))=0,"",INDEX('Checks'!$Q$4:$Q$503,_calc!$E$474)))=0,"",IF(LEN(INDEX('Checks'!$Q$4:$Q$503,_calc!$E$474))=0,"",INDEX('Checks'!$Q$4:$Q$503,_calc!$E$474)))))</f>
        <v/>
      </c>
      <c r="G472" s="43">
        <f>IF(_calc!$E$474="","",IF(LEN(INDEX('Checks'!$P$4:$P$503,_calc!$E$474))=0,"",INDEX('Checks'!$P$4:$P$503,_calc!$E$474)))</f>
        <v/>
      </c>
      <c r="K472" s="43">
        <f>IF(_calc!$E$474="","",IF(LEN(INDEX('Checks'!$O$4:$O$503,_calc!$E$474))=0,"",INDEX('Checks'!$O$4:$O$503,_calc!$E$474)))</f>
        <v/>
      </c>
    </row>
    <row r="473">
      <c r="A473" s="43">
        <f>IF(_calc!$E$475="","","Right to work follow-up – "&amp;IF(LEN(INDEX('Checks'!$A$4:$A$503,_calc!$E$475))=0,"",INDEX('Checks'!$A$4:$A$503,_calc!$E$475)))</f>
        <v/>
      </c>
      <c r="B473" s="43">
        <f>IF(_calc!$E$475="","",IF(ISNUMBER(INDEX('Checks'!$H$4:$H$503,_calc!$E$475)),TEXT(INDEX('Checks'!$H$4:$H$503,_calc!$E$475),"yyyy-mm-dd"),""))</f>
        <v/>
      </c>
      <c r="C473" s="43">
        <f>IF(_calc!$E$475="","","Right to work")</f>
        <v/>
      </c>
      <c r="D473" s="43">
        <f>IF(_calc!$E$475="","",IF(ISNUMBER(INDEX('Checks'!$F$4:$F$503,_calc!$E$475)),TEXT(INDEX('Checks'!$F$4:$F$503,_calc!$E$475),"yyyy-mm-dd"),""))</f>
        <v/>
      </c>
      <c r="E473" s="43">
        <f>IF(_calc!$E$475="","","High")</f>
        <v/>
      </c>
      <c r="F473" s="43">
        <f>IF(_calc!$E$475="","",TRIM(IF(LEN(IF(LEN(INDEX('Checks'!$B$4:$B$503,_calc!$E$475))=0,"",INDEX('Checks'!$B$4:$B$503,_calc!$E$475)))=0,"","Role: "&amp;IF(LEN(INDEX('Checks'!$B$4:$B$503,_calc!$E$475))=0,"",INDEX('Checks'!$B$4:$B$503,_calc!$E$475))&amp;". ")&amp;IF(LEN(IF(LEN(INDEX('Checks'!$D$4:$D$503,_calc!$E$475))=0,"",INDEX('Checks'!$D$4:$D$503,_calc!$E$475)))=0,"","Check type: "&amp;IF(LEN(INDEX('Checks'!$D$4:$D$503,_calc!$E$475))=0,"",INDEX('Checks'!$D$4:$D$503,_calc!$E$475))&amp;". ")&amp;IF(LEN(IF(LEN(INDEX('Checks'!$E$4:$E$503,_calc!$E$475))=0,"",INDEX('Checks'!$E$4:$E$503,_calc!$E$475)))=0,"","Evidence: "&amp;IF(LEN(INDEX('Checks'!$E$4:$E$503,_calc!$E$475))=0,"",INDEX('Checks'!$E$4:$E$503,_calc!$E$475))&amp;". ")&amp;IF(LEN(IF(LEN(INDEX('Checks'!$G$4:$G$503,_calc!$E$475))=0,"",INDEX('Checks'!$G$4:$G$503,_calc!$E$475)))=0,"","Checked by: "&amp;IF(LEN(INDEX('Checks'!$G$4:$G$503,_calc!$E$475))=0,"",INDEX('Checks'!$G$4:$G$503,_calc!$E$475))&amp;". ")&amp;IF(LEN(IF(LEN(INDEX('Checks'!$Q$4:$Q$503,_calc!$E$475))=0,"",INDEX('Checks'!$Q$4:$Q$503,_calc!$E$475)))=0,"",IF(LEN(INDEX('Checks'!$Q$4:$Q$503,_calc!$E$475))=0,"",INDEX('Checks'!$Q$4:$Q$503,_calc!$E$475)))))</f>
        <v/>
      </c>
      <c r="G473" s="43">
        <f>IF(_calc!$E$475="","",IF(LEN(INDEX('Checks'!$P$4:$P$503,_calc!$E$475))=0,"",INDEX('Checks'!$P$4:$P$503,_calc!$E$475)))</f>
        <v/>
      </c>
      <c r="K473" s="43">
        <f>IF(_calc!$E$475="","",IF(LEN(INDEX('Checks'!$O$4:$O$503,_calc!$E$475))=0,"",INDEX('Checks'!$O$4:$O$503,_calc!$E$475)))</f>
        <v/>
      </c>
    </row>
    <row r="474">
      <c r="A474" s="43">
        <f>IF(_calc!$E$476="","","Right to work follow-up – "&amp;IF(LEN(INDEX('Checks'!$A$4:$A$503,_calc!$E$476))=0,"",INDEX('Checks'!$A$4:$A$503,_calc!$E$476)))</f>
        <v/>
      </c>
      <c r="B474" s="43">
        <f>IF(_calc!$E$476="","",IF(ISNUMBER(INDEX('Checks'!$H$4:$H$503,_calc!$E$476)),TEXT(INDEX('Checks'!$H$4:$H$503,_calc!$E$476),"yyyy-mm-dd"),""))</f>
        <v/>
      </c>
      <c r="C474" s="43">
        <f>IF(_calc!$E$476="","","Right to work")</f>
        <v/>
      </c>
      <c r="D474" s="43">
        <f>IF(_calc!$E$476="","",IF(ISNUMBER(INDEX('Checks'!$F$4:$F$503,_calc!$E$476)),TEXT(INDEX('Checks'!$F$4:$F$503,_calc!$E$476),"yyyy-mm-dd"),""))</f>
        <v/>
      </c>
      <c r="E474" s="43">
        <f>IF(_calc!$E$476="","","High")</f>
        <v/>
      </c>
      <c r="F474" s="43">
        <f>IF(_calc!$E$476="","",TRIM(IF(LEN(IF(LEN(INDEX('Checks'!$B$4:$B$503,_calc!$E$476))=0,"",INDEX('Checks'!$B$4:$B$503,_calc!$E$476)))=0,"","Role: "&amp;IF(LEN(INDEX('Checks'!$B$4:$B$503,_calc!$E$476))=0,"",INDEX('Checks'!$B$4:$B$503,_calc!$E$476))&amp;". ")&amp;IF(LEN(IF(LEN(INDEX('Checks'!$D$4:$D$503,_calc!$E$476))=0,"",INDEX('Checks'!$D$4:$D$503,_calc!$E$476)))=0,"","Check type: "&amp;IF(LEN(INDEX('Checks'!$D$4:$D$503,_calc!$E$476))=0,"",INDEX('Checks'!$D$4:$D$503,_calc!$E$476))&amp;". ")&amp;IF(LEN(IF(LEN(INDEX('Checks'!$E$4:$E$503,_calc!$E$476))=0,"",INDEX('Checks'!$E$4:$E$503,_calc!$E$476)))=0,"","Evidence: "&amp;IF(LEN(INDEX('Checks'!$E$4:$E$503,_calc!$E$476))=0,"",INDEX('Checks'!$E$4:$E$503,_calc!$E$476))&amp;". ")&amp;IF(LEN(IF(LEN(INDEX('Checks'!$G$4:$G$503,_calc!$E$476))=0,"",INDEX('Checks'!$G$4:$G$503,_calc!$E$476)))=0,"","Checked by: "&amp;IF(LEN(INDEX('Checks'!$G$4:$G$503,_calc!$E$476))=0,"",INDEX('Checks'!$G$4:$G$503,_calc!$E$476))&amp;". ")&amp;IF(LEN(IF(LEN(INDEX('Checks'!$Q$4:$Q$503,_calc!$E$476))=0,"",INDEX('Checks'!$Q$4:$Q$503,_calc!$E$476)))=0,"",IF(LEN(INDEX('Checks'!$Q$4:$Q$503,_calc!$E$476))=0,"",INDEX('Checks'!$Q$4:$Q$503,_calc!$E$476)))))</f>
        <v/>
      </c>
      <c r="G474" s="43">
        <f>IF(_calc!$E$476="","",IF(LEN(INDEX('Checks'!$P$4:$P$503,_calc!$E$476))=0,"",INDEX('Checks'!$P$4:$P$503,_calc!$E$476)))</f>
        <v/>
      </c>
      <c r="K474" s="43">
        <f>IF(_calc!$E$476="","",IF(LEN(INDEX('Checks'!$O$4:$O$503,_calc!$E$476))=0,"",INDEX('Checks'!$O$4:$O$503,_calc!$E$476)))</f>
        <v/>
      </c>
    </row>
    <row r="475">
      <c r="A475" s="43">
        <f>IF(_calc!$E$477="","","Right to work follow-up – "&amp;IF(LEN(INDEX('Checks'!$A$4:$A$503,_calc!$E$477))=0,"",INDEX('Checks'!$A$4:$A$503,_calc!$E$477)))</f>
        <v/>
      </c>
      <c r="B475" s="43">
        <f>IF(_calc!$E$477="","",IF(ISNUMBER(INDEX('Checks'!$H$4:$H$503,_calc!$E$477)),TEXT(INDEX('Checks'!$H$4:$H$503,_calc!$E$477),"yyyy-mm-dd"),""))</f>
        <v/>
      </c>
      <c r="C475" s="43">
        <f>IF(_calc!$E$477="","","Right to work")</f>
        <v/>
      </c>
      <c r="D475" s="43">
        <f>IF(_calc!$E$477="","",IF(ISNUMBER(INDEX('Checks'!$F$4:$F$503,_calc!$E$477)),TEXT(INDEX('Checks'!$F$4:$F$503,_calc!$E$477),"yyyy-mm-dd"),""))</f>
        <v/>
      </c>
      <c r="E475" s="43">
        <f>IF(_calc!$E$477="","","High")</f>
        <v/>
      </c>
      <c r="F475" s="43">
        <f>IF(_calc!$E$477="","",TRIM(IF(LEN(IF(LEN(INDEX('Checks'!$B$4:$B$503,_calc!$E$477))=0,"",INDEX('Checks'!$B$4:$B$503,_calc!$E$477)))=0,"","Role: "&amp;IF(LEN(INDEX('Checks'!$B$4:$B$503,_calc!$E$477))=0,"",INDEX('Checks'!$B$4:$B$503,_calc!$E$477))&amp;". ")&amp;IF(LEN(IF(LEN(INDEX('Checks'!$D$4:$D$503,_calc!$E$477))=0,"",INDEX('Checks'!$D$4:$D$503,_calc!$E$477)))=0,"","Check type: "&amp;IF(LEN(INDEX('Checks'!$D$4:$D$503,_calc!$E$477))=0,"",INDEX('Checks'!$D$4:$D$503,_calc!$E$477))&amp;". ")&amp;IF(LEN(IF(LEN(INDEX('Checks'!$E$4:$E$503,_calc!$E$477))=0,"",INDEX('Checks'!$E$4:$E$503,_calc!$E$477)))=0,"","Evidence: "&amp;IF(LEN(INDEX('Checks'!$E$4:$E$503,_calc!$E$477))=0,"",INDEX('Checks'!$E$4:$E$503,_calc!$E$477))&amp;". ")&amp;IF(LEN(IF(LEN(INDEX('Checks'!$G$4:$G$503,_calc!$E$477))=0,"",INDEX('Checks'!$G$4:$G$503,_calc!$E$477)))=0,"","Checked by: "&amp;IF(LEN(INDEX('Checks'!$G$4:$G$503,_calc!$E$477))=0,"",INDEX('Checks'!$G$4:$G$503,_calc!$E$477))&amp;". ")&amp;IF(LEN(IF(LEN(INDEX('Checks'!$Q$4:$Q$503,_calc!$E$477))=0,"",INDEX('Checks'!$Q$4:$Q$503,_calc!$E$477)))=0,"",IF(LEN(INDEX('Checks'!$Q$4:$Q$503,_calc!$E$477))=0,"",INDEX('Checks'!$Q$4:$Q$503,_calc!$E$477)))))</f>
        <v/>
      </c>
      <c r="G475" s="43">
        <f>IF(_calc!$E$477="","",IF(LEN(INDEX('Checks'!$P$4:$P$503,_calc!$E$477))=0,"",INDEX('Checks'!$P$4:$P$503,_calc!$E$477)))</f>
        <v/>
      </c>
      <c r="K475" s="43">
        <f>IF(_calc!$E$477="","",IF(LEN(INDEX('Checks'!$O$4:$O$503,_calc!$E$477))=0,"",INDEX('Checks'!$O$4:$O$503,_calc!$E$477)))</f>
        <v/>
      </c>
    </row>
    <row r="476">
      <c r="A476" s="43">
        <f>IF(_calc!$E$478="","","Right to work follow-up – "&amp;IF(LEN(INDEX('Checks'!$A$4:$A$503,_calc!$E$478))=0,"",INDEX('Checks'!$A$4:$A$503,_calc!$E$478)))</f>
        <v/>
      </c>
      <c r="B476" s="43">
        <f>IF(_calc!$E$478="","",IF(ISNUMBER(INDEX('Checks'!$H$4:$H$503,_calc!$E$478)),TEXT(INDEX('Checks'!$H$4:$H$503,_calc!$E$478),"yyyy-mm-dd"),""))</f>
        <v/>
      </c>
      <c r="C476" s="43">
        <f>IF(_calc!$E$478="","","Right to work")</f>
        <v/>
      </c>
      <c r="D476" s="43">
        <f>IF(_calc!$E$478="","",IF(ISNUMBER(INDEX('Checks'!$F$4:$F$503,_calc!$E$478)),TEXT(INDEX('Checks'!$F$4:$F$503,_calc!$E$478),"yyyy-mm-dd"),""))</f>
        <v/>
      </c>
      <c r="E476" s="43">
        <f>IF(_calc!$E$478="","","High")</f>
        <v/>
      </c>
      <c r="F476" s="43">
        <f>IF(_calc!$E$478="","",TRIM(IF(LEN(IF(LEN(INDEX('Checks'!$B$4:$B$503,_calc!$E$478))=0,"",INDEX('Checks'!$B$4:$B$503,_calc!$E$478)))=0,"","Role: "&amp;IF(LEN(INDEX('Checks'!$B$4:$B$503,_calc!$E$478))=0,"",INDEX('Checks'!$B$4:$B$503,_calc!$E$478))&amp;". ")&amp;IF(LEN(IF(LEN(INDEX('Checks'!$D$4:$D$503,_calc!$E$478))=0,"",INDEX('Checks'!$D$4:$D$503,_calc!$E$478)))=0,"","Check type: "&amp;IF(LEN(INDEX('Checks'!$D$4:$D$503,_calc!$E$478))=0,"",INDEX('Checks'!$D$4:$D$503,_calc!$E$478))&amp;". ")&amp;IF(LEN(IF(LEN(INDEX('Checks'!$E$4:$E$503,_calc!$E$478))=0,"",INDEX('Checks'!$E$4:$E$503,_calc!$E$478)))=0,"","Evidence: "&amp;IF(LEN(INDEX('Checks'!$E$4:$E$503,_calc!$E$478))=0,"",INDEX('Checks'!$E$4:$E$503,_calc!$E$478))&amp;". ")&amp;IF(LEN(IF(LEN(INDEX('Checks'!$G$4:$G$503,_calc!$E$478))=0,"",INDEX('Checks'!$G$4:$G$503,_calc!$E$478)))=0,"","Checked by: "&amp;IF(LEN(INDEX('Checks'!$G$4:$G$503,_calc!$E$478))=0,"",INDEX('Checks'!$G$4:$G$503,_calc!$E$478))&amp;". ")&amp;IF(LEN(IF(LEN(INDEX('Checks'!$Q$4:$Q$503,_calc!$E$478))=0,"",INDEX('Checks'!$Q$4:$Q$503,_calc!$E$478)))=0,"",IF(LEN(INDEX('Checks'!$Q$4:$Q$503,_calc!$E$478))=0,"",INDEX('Checks'!$Q$4:$Q$503,_calc!$E$478)))))</f>
        <v/>
      </c>
      <c r="G476" s="43">
        <f>IF(_calc!$E$478="","",IF(LEN(INDEX('Checks'!$P$4:$P$503,_calc!$E$478))=0,"",INDEX('Checks'!$P$4:$P$503,_calc!$E$478)))</f>
        <v/>
      </c>
      <c r="K476" s="43">
        <f>IF(_calc!$E$478="","",IF(LEN(INDEX('Checks'!$O$4:$O$503,_calc!$E$478))=0,"",INDEX('Checks'!$O$4:$O$503,_calc!$E$478)))</f>
        <v/>
      </c>
    </row>
    <row r="477">
      <c r="A477" s="43">
        <f>IF(_calc!$E$479="","","Right to work follow-up – "&amp;IF(LEN(INDEX('Checks'!$A$4:$A$503,_calc!$E$479))=0,"",INDEX('Checks'!$A$4:$A$503,_calc!$E$479)))</f>
        <v/>
      </c>
      <c r="B477" s="43">
        <f>IF(_calc!$E$479="","",IF(ISNUMBER(INDEX('Checks'!$H$4:$H$503,_calc!$E$479)),TEXT(INDEX('Checks'!$H$4:$H$503,_calc!$E$479),"yyyy-mm-dd"),""))</f>
        <v/>
      </c>
      <c r="C477" s="43">
        <f>IF(_calc!$E$479="","","Right to work")</f>
        <v/>
      </c>
      <c r="D477" s="43">
        <f>IF(_calc!$E$479="","",IF(ISNUMBER(INDEX('Checks'!$F$4:$F$503,_calc!$E$479)),TEXT(INDEX('Checks'!$F$4:$F$503,_calc!$E$479),"yyyy-mm-dd"),""))</f>
        <v/>
      </c>
      <c r="E477" s="43">
        <f>IF(_calc!$E$479="","","High")</f>
        <v/>
      </c>
      <c r="F477" s="43">
        <f>IF(_calc!$E$479="","",TRIM(IF(LEN(IF(LEN(INDEX('Checks'!$B$4:$B$503,_calc!$E$479))=0,"",INDEX('Checks'!$B$4:$B$503,_calc!$E$479)))=0,"","Role: "&amp;IF(LEN(INDEX('Checks'!$B$4:$B$503,_calc!$E$479))=0,"",INDEX('Checks'!$B$4:$B$503,_calc!$E$479))&amp;". ")&amp;IF(LEN(IF(LEN(INDEX('Checks'!$D$4:$D$503,_calc!$E$479))=0,"",INDEX('Checks'!$D$4:$D$503,_calc!$E$479)))=0,"","Check type: "&amp;IF(LEN(INDEX('Checks'!$D$4:$D$503,_calc!$E$479))=0,"",INDEX('Checks'!$D$4:$D$503,_calc!$E$479))&amp;". ")&amp;IF(LEN(IF(LEN(INDEX('Checks'!$E$4:$E$503,_calc!$E$479))=0,"",INDEX('Checks'!$E$4:$E$503,_calc!$E$479)))=0,"","Evidence: "&amp;IF(LEN(INDEX('Checks'!$E$4:$E$503,_calc!$E$479))=0,"",INDEX('Checks'!$E$4:$E$503,_calc!$E$479))&amp;". ")&amp;IF(LEN(IF(LEN(INDEX('Checks'!$G$4:$G$503,_calc!$E$479))=0,"",INDEX('Checks'!$G$4:$G$503,_calc!$E$479)))=0,"","Checked by: "&amp;IF(LEN(INDEX('Checks'!$G$4:$G$503,_calc!$E$479))=0,"",INDEX('Checks'!$G$4:$G$503,_calc!$E$479))&amp;". ")&amp;IF(LEN(IF(LEN(INDEX('Checks'!$Q$4:$Q$503,_calc!$E$479))=0,"",INDEX('Checks'!$Q$4:$Q$503,_calc!$E$479)))=0,"",IF(LEN(INDEX('Checks'!$Q$4:$Q$503,_calc!$E$479))=0,"",INDEX('Checks'!$Q$4:$Q$503,_calc!$E$479)))))</f>
        <v/>
      </c>
      <c r="G477" s="43">
        <f>IF(_calc!$E$479="","",IF(LEN(INDEX('Checks'!$P$4:$P$503,_calc!$E$479))=0,"",INDEX('Checks'!$P$4:$P$503,_calc!$E$479)))</f>
        <v/>
      </c>
      <c r="K477" s="43">
        <f>IF(_calc!$E$479="","",IF(LEN(INDEX('Checks'!$O$4:$O$503,_calc!$E$479))=0,"",INDEX('Checks'!$O$4:$O$503,_calc!$E$479)))</f>
        <v/>
      </c>
    </row>
    <row r="478">
      <c r="A478" s="43">
        <f>IF(_calc!$E$480="","","Right to work follow-up – "&amp;IF(LEN(INDEX('Checks'!$A$4:$A$503,_calc!$E$480))=0,"",INDEX('Checks'!$A$4:$A$503,_calc!$E$480)))</f>
        <v/>
      </c>
      <c r="B478" s="43">
        <f>IF(_calc!$E$480="","",IF(ISNUMBER(INDEX('Checks'!$H$4:$H$503,_calc!$E$480)),TEXT(INDEX('Checks'!$H$4:$H$503,_calc!$E$480),"yyyy-mm-dd"),""))</f>
        <v/>
      </c>
      <c r="C478" s="43">
        <f>IF(_calc!$E$480="","","Right to work")</f>
        <v/>
      </c>
      <c r="D478" s="43">
        <f>IF(_calc!$E$480="","",IF(ISNUMBER(INDEX('Checks'!$F$4:$F$503,_calc!$E$480)),TEXT(INDEX('Checks'!$F$4:$F$503,_calc!$E$480),"yyyy-mm-dd"),""))</f>
        <v/>
      </c>
      <c r="E478" s="43">
        <f>IF(_calc!$E$480="","","High")</f>
        <v/>
      </c>
      <c r="F478" s="43">
        <f>IF(_calc!$E$480="","",TRIM(IF(LEN(IF(LEN(INDEX('Checks'!$B$4:$B$503,_calc!$E$480))=0,"",INDEX('Checks'!$B$4:$B$503,_calc!$E$480)))=0,"","Role: "&amp;IF(LEN(INDEX('Checks'!$B$4:$B$503,_calc!$E$480))=0,"",INDEX('Checks'!$B$4:$B$503,_calc!$E$480))&amp;". ")&amp;IF(LEN(IF(LEN(INDEX('Checks'!$D$4:$D$503,_calc!$E$480))=0,"",INDEX('Checks'!$D$4:$D$503,_calc!$E$480)))=0,"","Check type: "&amp;IF(LEN(INDEX('Checks'!$D$4:$D$503,_calc!$E$480))=0,"",INDEX('Checks'!$D$4:$D$503,_calc!$E$480))&amp;". ")&amp;IF(LEN(IF(LEN(INDEX('Checks'!$E$4:$E$503,_calc!$E$480))=0,"",INDEX('Checks'!$E$4:$E$503,_calc!$E$480)))=0,"","Evidence: "&amp;IF(LEN(INDEX('Checks'!$E$4:$E$503,_calc!$E$480))=0,"",INDEX('Checks'!$E$4:$E$503,_calc!$E$480))&amp;". ")&amp;IF(LEN(IF(LEN(INDEX('Checks'!$G$4:$G$503,_calc!$E$480))=0,"",INDEX('Checks'!$G$4:$G$503,_calc!$E$480)))=0,"","Checked by: "&amp;IF(LEN(INDEX('Checks'!$G$4:$G$503,_calc!$E$480))=0,"",INDEX('Checks'!$G$4:$G$503,_calc!$E$480))&amp;". ")&amp;IF(LEN(IF(LEN(INDEX('Checks'!$Q$4:$Q$503,_calc!$E$480))=0,"",INDEX('Checks'!$Q$4:$Q$503,_calc!$E$480)))=0,"",IF(LEN(INDEX('Checks'!$Q$4:$Q$503,_calc!$E$480))=0,"",INDEX('Checks'!$Q$4:$Q$503,_calc!$E$480)))))</f>
        <v/>
      </c>
      <c r="G478" s="43">
        <f>IF(_calc!$E$480="","",IF(LEN(INDEX('Checks'!$P$4:$P$503,_calc!$E$480))=0,"",INDEX('Checks'!$P$4:$P$503,_calc!$E$480)))</f>
        <v/>
      </c>
      <c r="K478" s="43">
        <f>IF(_calc!$E$480="","",IF(LEN(INDEX('Checks'!$O$4:$O$503,_calc!$E$480))=0,"",INDEX('Checks'!$O$4:$O$503,_calc!$E$480)))</f>
        <v/>
      </c>
    </row>
    <row r="479">
      <c r="A479" s="43">
        <f>IF(_calc!$E$481="","","Right to work follow-up – "&amp;IF(LEN(INDEX('Checks'!$A$4:$A$503,_calc!$E$481))=0,"",INDEX('Checks'!$A$4:$A$503,_calc!$E$481)))</f>
        <v/>
      </c>
      <c r="B479" s="43">
        <f>IF(_calc!$E$481="","",IF(ISNUMBER(INDEX('Checks'!$H$4:$H$503,_calc!$E$481)),TEXT(INDEX('Checks'!$H$4:$H$503,_calc!$E$481),"yyyy-mm-dd"),""))</f>
        <v/>
      </c>
      <c r="C479" s="43">
        <f>IF(_calc!$E$481="","","Right to work")</f>
        <v/>
      </c>
      <c r="D479" s="43">
        <f>IF(_calc!$E$481="","",IF(ISNUMBER(INDEX('Checks'!$F$4:$F$503,_calc!$E$481)),TEXT(INDEX('Checks'!$F$4:$F$503,_calc!$E$481),"yyyy-mm-dd"),""))</f>
        <v/>
      </c>
      <c r="E479" s="43">
        <f>IF(_calc!$E$481="","","High")</f>
        <v/>
      </c>
      <c r="F479" s="43">
        <f>IF(_calc!$E$481="","",TRIM(IF(LEN(IF(LEN(INDEX('Checks'!$B$4:$B$503,_calc!$E$481))=0,"",INDEX('Checks'!$B$4:$B$503,_calc!$E$481)))=0,"","Role: "&amp;IF(LEN(INDEX('Checks'!$B$4:$B$503,_calc!$E$481))=0,"",INDEX('Checks'!$B$4:$B$503,_calc!$E$481))&amp;". ")&amp;IF(LEN(IF(LEN(INDEX('Checks'!$D$4:$D$503,_calc!$E$481))=0,"",INDEX('Checks'!$D$4:$D$503,_calc!$E$481)))=0,"","Check type: "&amp;IF(LEN(INDEX('Checks'!$D$4:$D$503,_calc!$E$481))=0,"",INDEX('Checks'!$D$4:$D$503,_calc!$E$481))&amp;". ")&amp;IF(LEN(IF(LEN(INDEX('Checks'!$E$4:$E$503,_calc!$E$481))=0,"",INDEX('Checks'!$E$4:$E$503,_calc!$E$481)))=0,"","Evidence: "&amp;IF(LEN(INDEX('Checks'!$E$4:$E$503,_calc!$E$481))=0,"",INDEX('Checks'!$E$4:$E$503,_calc!$E$481))&amp;". ")&amp;IF(LEN(IF(LEN(INDEX('Checks'!$G$4:$G$503,_calc!$E$481))=0,"",INDEX('Checks'!$G$4:$G$503,_calc!$E$481)))=0,"","Checked by: "&amp;IF(LEN(INDEX('Checks'!$G$4:$G$503,_calc!$E$481))=0,"",INDEX('Checks'!$G$4:$G$503,_calc!$E$481))&amp;". ")&amp;IF(LEN(IF(LEN(INDEX('Checks'!$Q$4:$Q$503,_calc!$E$481))=0,"",INDEX('Checks'!$Q$4:$Q$503,_calc!$E$481)))=0,"",IF(LEN(INDEX('Checks'!$Q$4:$Q$503,_calc!$E$481))=0,"",INDEX('Checks'!$Q$4:$Q$503,_calc!$E$481)))))</f>
        <v/>
      </c>
      <c r="G479" s="43">
        <f>IF(_calc!$E$481="","",IF(LEN(INDEX('Checks'!$P$4:$P$503,_calc!$E$481))=0,"",INDEX('Checks'!$P$4:$P$503,_calc!$E$481)))</f>
        <v/>
      </c>
      <c r="K479" s="43">
        <f>IF(_calc!$E$481="","",IF(LEN(INDEX('Checks'!$O$4:$O$503,_calc!$E$481))=0,"",INDEX('Checks'!$O$4:$O$503,_calc!$E$481)))</f>
        <v/>
      </c>
    </row>
    <row r="480">
      <c r="A480" s="43">
        <f>IF(_calc!$E$482="","","Right to work follow-up – "&amp;IF(LEN(INDEX('Checks'!$A$4:$A$503,_calc!$E$482))=0,"",INDEX('Checks'!$A$4:$A$503,_calc!$E$482)))</f>
        <v/>
      </c>
      <c r="B480" s="43">
        <f>IF(_calc!$E$482="","",IF(ISNUMBER(INDEX('Checks'!$H$4:$H$503,_calc!$E$482)),TEXT(INDEX('Checks'!$H$4:$H$503,_calc!$E$482),"yyyy-mm-dd"),""))</f>
        <v/>
      </c>
      <c r="C480" s="43">
        <f>IF(_calc!$E$482="","","Right to work")</f>
        <v/>
      </c>
      <c r="D480" s="43">
        <f>IF(_calc!$E$482="","",IF(ISNUMBER(INDEX('Checks'!$F$4:$F$503,_calc!$E$482)),TEXT(INDEX('Checks'!$F$4:$F$503,_calc!$E$482),"yyyy-mm-dd"),""))</f>
        <v/>
      </c>
      <c r="E480" s="43">
        <f>IF(_calc!$E$482="","","High")</f>
        <v/>
      </c>
      <c r="F480" s="43">
        <f>IF(_calc!$E$482="","",TRIM(IF(LEN(IF(LEN(INDEX('Checks'!$B$4:$B$503,_calc!$E$482))=0,"",INDEX('Checks'!$B$4:$B$503,_calc!$E$482)))=0,"","Role: "&amp;IF(LEN(INDEX('Checks'!$B$4:$B$503,_calc!$E$482))=0,"",INDEX('Checks'!$B$4:$B$503,_calc!$E$482))&amp;". ")&amp;IF(LEN(IF(LEN(INDEX('Checks'!$D$4:$D$503,_calc!$E$482))=0,"",INDEX('Checks'!$D$4:$D$503,_calc!$E$482)))=0,"","Check type: "&amp;IF(LEN(INDEX('Checks'!$D$4:$D$503,_calc!$E$482))=0,"",INDEX('Checks'!$D$4:$D$503,_calc!$E$482))&amp;". ")&amp;IF(LEN(IF(LEN(INDEX('Checks'!$E$4:$E$503,_calc!$E$482))=0,"",INDEX('Checks'!$E$4:$E$503,_calc!$E$482)))=0,"","Evidence: "&amp;IF(LEN(INDEX('Checks'!$E$4:$E$503,_calc!$E$482))=0,"",INDEX('Checks'!$E$4:$E$503,_calc!$E$482))&amp;". ")&amp;IF(LEN(IF(LEN(INDEX('Checks'!$G$4:$G$503,_calc!$E$482))=0,"",INDEX('Checks'!$G$4:$G$503,_calc!$E$482)))=0,"","Checked by: "&amp;IF(LEN(INDEX('Checks'!$G$4:$G$503,_calc!$E$482))=0,"",INDEX('Checks'!$G$4:$G$503,_calc!$E$482))&amp;". ")&amp;IF(LEN(IF(LEN(INDEX('Checks'!$Q$4:$Q$503,_calc!$E$482))=0,"",INDEX('Checks'!$Q$4:$Q$503,_calc!$E$482)))=0,"",IF(LEN(INDEX('Checks'!$Q$4:$Q$503,_calc!$E$482))=0,"",INDEX('Checks'!$Q$4:$Q$503,_calc!$E$482)))))</f>
        <v/>
      </c>
      <c r="G480" s="43">
        <f>IF(_calc!$E$482="","",IF(LEN(INDEX('Checks'!$P$4:$P$503,_calc!$E$482))=0,"",INDEX('Checks'!$P$4:$P$503,_calc!$E$482)))</f>
        <v/>
      </c>
      <c r="K480" s="43">
        <f>IF(_calc!$E$482="","",IF(LEN(INDEX('Checks'!$O$4:$O$503,_calc!$E$482))=0,"",INDEX('Checks'!$O$4:$O$503,_calc!$E$482)))</f>
        <v/>
      </c>
    </row>
    <row r="481">
      <c r="A481" s="43">
        <f>IF(_calc!$E$483="","","Right to work follow-up – "&amp;IF(LEN(INDEX('Checks'!$A$4:$A$503,_calc!$E$483))=0,"",INDEX('Checks'!$A$4:$A$503,_calc!$E$483)))</f>
        <v/>
      </c>
      <c r="B481" s="43">
        <f>IF(_calc!$E$483="","",IF(ISNUMBER(INDEX('Checks'!$H$4:$H$503,_calc!$E$483)),TEXT(INDEX('Checks'!$H$4:$H$503,_calc!$E$483),"yyyy-mm-dd"),""))</f>
        <v/>
      </c>
      <c r="C481" s="43">
        <f>IF(_calc!$E$483="","","Right to work")</f>
        <v/>
      </c>
      <c r="D481" s="43">
        <f>IF(_calc!$E$483="","",IF(ISNUMBER(INDEX('Checks'!$F$4:$F$503,_calc!$E$483)),TEXT(INDEX('Checks'!$F$4:$F$503,_calc!$E$483),"yyyy-mm-dd"),""))</f>
        <v/>
      </c>
      <c r="E481" s="43">
        <f>IF(_calc!$E$483="","","High")</f>
        <v/>
      </c>
      <c r="F481" s="43">
        <f>IF(_calc!$E$483="","",TRIM(IF(LEN(IF(LEN(INDEX('Checks'!$B$4:$B$503,_calc!$E$483))=0,"",INDEX('Checks'!$B$4:$B$503,_calc!$E$483)))=0,"","Role: "&amp;IF(LEN(INDEX('Checks'!$B$4:$B$503,_calc!$E$483))=0,"",INDEX('Checks'!$B$4:$B$503,_calc!$E$483))&amp;". ")&amp;IF(LEN(IF(LEN(INDEX('Checks'!$D$4:$D$503,_calc!$E$483))=0,"",INDEX('Checks'!$D$4:$D$503,_calc!$E$483)))=0,"","Check type: "&amp;IF(LEN(INDEX('Checks'!$D$4:$D$503,_calc!$E$483))=0,"",INDEX('Checks'!$D$4:$D$503,_calc!$E$483))&amp;". ")&amp;IF(LEN(IF(LEN(INDEX('Checks'!$E$4:$E$503,_calc!$E$483))=0,"",INDEX('Checks'!$E$4:$E$503,_calc!$E$483)))=0,"","Evidence: "&amp;IF(LEN(INDEX('Checks'!$E$4:$E$503,_calc!$E$483))=0,"",INDEX('Checks'!$E$4:$E$503,_calc!$E$483))&amp;". ")&amp;IF(LEN(IF(LEN(INDEX('Checks'!$G$4:$G$503,_calc!$E$483))=0,"",INDEX('Checks'!$G$4:$G$503,_calc!$E$483)))=0,"","Checked by: "&amp;IF(LEN(INDEX('Checks'!$G$4:$G$503,_calc!$E$483))=0,"",INDEX('Checks'!$G$4:$G$503,_calc!$E$483))&amp;". ")&amp;IF(LEN(IF(LEN(INDEX('Checks'!$Q$4:$Q$503,_calc!$E$483))=0,"",INDEX('Checks'!$Q$4:$Q$503,_calc!$E$483)))=0,"",IF(LEN(INDEX('Checks'!$Q$4:$Q$503,_calc!$E$483))=0,"",INDEX('Checks'!$Q$4:$Q$503,_calc!$E$483)))))</f>
        <v/>
      </c>
      <c r="G481" s="43">
        <f>IF(_calc!$E$483="","",IF(LEN(INDEX('Checks'!$P$4:$P$503,_calc!$E$483))=0,"",INDEX('Checks'!$P$4:$P$503,_calc!$E$483)))</f>
        <v/>
      </c>
      <c r="K481" s="43">
        <f>IF(_calc!$E$483="","",IF(LEN(INDEX('Checks'!$O$4:$O$503,_calc!$E$483))=0,"",INDEX('Checks'!$O$4:$O$503,_calc!$E$483)))</f>
        <v/>
      </c>
    </row>
    <row r="482">
      <c r="A482" s="43">
        <f>IF(_calc!$E$484="","","Right to work follow-up – "&amp;IF(LEN(INDEX('Checks'!$A$4:$A$503,_calc!$E$484))=0,"",INDEX('Checks'!$A$4:$A$503,_calc!$E$484)))</f>
        <v/>
      </c>
      <c r="B482" s="43">
        <f>IF(_calc!$E$484="","",IF(ISNUMBER(INDEX('Checks'!$H$4:$H$503,_calc!$E$484)),TEXT(INDEX('Checks'!$H$4:$H$503,_calc!$E$484),"yyyy-mm-dd"),""))</f>
        <v/>
      </c>
      <c r="C482" s="43">
        <f>IF(_calc!$E$484="","","Right to work")</f>
        <v/>
      </c>
      <c r="D482" s="43">
        <f>IF(_calc!$E$484="","",IF(ISNUMBER(INDEX('Checks'!$F$4:$F$503,_calc!$E$484)),TEXT(INDEX('Checks'!$F$4:$F$503,_calc!$E$484),"yyyy-mm-dd"),""))</f>
        <v/>
      </c>
      <c r="E482" s="43">
        <f>IF(_calc!$E$484="","","High")</f>
        <v/>
      </c>
      <c r="F482" s="43">
        <f>IF(_calc!$E$484="","",TRIM(IF(LEN(IF(LEN(INDEX('Checks'!$B$4:$B$503,_calc!$E$484))=0,"",INDEX('Checks'!$B$4:$B$503,_calc!$E$484)))=0,"","Role: "&amp;IF(LEN(INDEX('Checks'!$B$4:$B$503,_calc!$E$484))=0,"",INDEX('Checks'!$B$4:$B$503,_calc!$E$484))&amp;". ")&amp;IF(LEN(IF(LEN(INDEX('Checks'!$D$4:$D$503,_calc!$E$484))=0,"",INDEX('Checks'!$D$4:$D$503,_calc!$E$484)))=0,"","Check type: "&amp;IF(LEN(INDEX('Checks'!$D$4:$D$503,_calc!$E$484))=0,"",INDEX('Checks'!$D$4:$D$503,_calc!$E$484))&amp;". ")&amp;IF(LEN(IF(LEN(INDEX('Checks'!$E$4:$E$503,_calc!$E$484))=0,"",INDEX('Checks'!$E$4:$E$503,_calc!$E$484)))=0,"","Evidence: "&amp;IF(LEN(INDEX('Checks'!$E$4:$E$503,_calc!$E$484))=0,"",INDEX('Checks'!$E$4:$E$503,_calc!$E$484))&amp;". ")&amp;IF(LEN(IF(LEN(INDEX('Checks'!$G$4:$G$503,_calc!$E$484))=0,"",INDEX('Checks'!$G$4:$G$503,_calc!$E$484)))=0,"","Checked by: "&amp;IF(LEN(INDEX('Checks'!$G$4:$G$503,_calc!$E$484))=0,"",INDEX('Checks'!$G$4:$G$503,_calc!$E$484))&amp;". ")&amp;IF(LEN(IF(LEN(INDEX('Checks'!$Q$4:$Q$503,_calc!$E$484))=0,"",INDEX('Checks'!$Q$4:$Q$503,_calc!$E$484)))=0,"",IF(LEN(INDEX('Checks'!$Q$4:$Q$503,_calc!$E$484))=0,"",INDEX('Checks'!$Q$4:$Q$503,_calc!$E$484)))))</f>
        <v/>
      </c>
      <c r="G482" s="43">
        <f>IF(_calc!$E$484="","",IF(LEN(INDEX('Checks'!$P$4:$P$503,_calc!$E$484))=0,"",INDEX('Checks'!$P$4:$P$503,_calc!$E$484)))</f>
        <v/>
      </c>
      <c r="K482" s="43">
        <f>IF(_calc!$E$484="","",IF(LEN(INDEX('Checks'!$O$4:$O$503,_calc!$E$484))=0,"",INDEX('Checks'!$O$4:$O$503,_calc!$E$484)))</f>
        <v/>
      </c>
    </row>
    <row r="483">
      <c r="A483" s="43">
        <f>IF(_calc!$E$485="","","Right to work follow-up – "&amp;IF(LEN(INDEX('Checks'!$A$4:$A$503,_calc!$E$485))=0,"",INDEX('Checks'!$A$4:$A$503,_calc!$E$485)))</f>
        <v/>
      </c>
      <c r="B483" s="43">
        <f>IF(_calc!$E$485="","",IF(ISNUMBER(INDEX('Checks'!$H$4:$H$503,_calc!$E$485)),TEXT(INDEX('Checks'!$H$4:$H$503,_calc!$E$485),"yyyy-mm-dd"),""))</f>
        <v/>
      </c>
      <c r="C483" s="43">
        <f>IF(_calc!$E$485="","","Right to work")</f>
        <v/>
      </c>
      <c r="D483" s="43">
        <f>IF(_calc!$E$485="","",IF(ISNUMBER(INDEX('Checks'!$F$4:$F$503,_calc!$E$485)),TEXT(INDEX('Checks'!$F$4:$F$503,_calc!$E$485),"yyyy-mm-dd"),""))</f>
        <v/>
      </c>
      <c r="E483" s="43">
        <f>IF(_calc!$E$485="","","High")</f>
        <v/>
      </c>
      <c r="F483" s="43">
        <f>IF(_calc!$E$485="","",TRIM(IF(LEN(IF(LEN(INDEX('Checks'!$B$4:$B$503,_calc!$E$485))=0,"",INDEX('Checks'!$B$4:$B$503,_calc!$E$485)))=0,"","Role: "&amp;IF(LEN(INDEX('Checks'!$B$4:$B$503,_calc!$E$485))=0,"",INDEX('Checks'!$B$4:$B$503,_calc!$E$485))&amp;". ")&amp;IF(LEN(IF(LEN(INDEX('Checks'!$D$4:$D$503,_calc!$E$485))=0,"",INDEX('Checks'!$D$4:$D$503,_calc!$E$485)))=0,"","Check type: "&amp;IF(LEN(INDEX('Checks'!$D$4:$D$503,_calc!$E$485))=0,"",INDEX('Checks'!$D$4:$D$503,_calc!$E$485))&amp;". ")&amp;IF(LEN(IF(LEN(INDEX('Checks'!$E$4:$E$503,_calc!$E$485))=0,"",INDEX('Checks'!$E$4:$E$503,_calc!$E$485)))=0,"","Evidence: "&amp;IF(LEN(INDEX('Checks'!$E$4:$E$503,_calc!$E$485))=0,"",INDEX('Checks'!$E$4:$E$503,_calc!$E$485))&amp;". ")&amp;IF(LEN(IF(LEN(INDEX('Checks'!$G$4:$G$503,_calc!$E$485))=0,"",INDEX('Checks'!$G$4:$G$503,_calc!$E$485)))=0,"","Checked by: "&amp;IF(LEN(INDEX('Checks'!$G$4:$G$503,_calc!$E$485))=0,"",INDEX('Checks'!$G$4:$G$503,_calc!$E$485))&amp;". ")&amp;IF(LEN(IF(LEN(INDEX('Checks'!$Q$4:$Q$503,_calc!$E$485))=0,"",INDEX('Checks'!$Q$4:$Q$503,_calc!$E$485)))=0,"",IF(LEN(INDEX('Checks'!$Q$4:$Q$503,_calc!$E$485))=0,"",INDEX('Checks'!$Q$4:$Q$503,_calc!$E$485)))))</f>
        <v/>
      </c>
      <c r="G483" s="43">
        <f>IF(_calc!$E$485="","",IF(LEN(INDEX('Checks'!$P$4:$P$503,_calc!$E$485))=0,"",INDEX('Checks'!$P$4:$P$503,_calc!$E$485)))</f>
        <v/>
      </c>
      <c r="K483" s="43">
        <f>IF(_calc!$E$485="","",IF(LEN(INDEX('Checks'!$O$4:$O$503,_calc!$E$485))=0,"",INDEX('Checks'!$O$4:$O$503,_calc!$E$485)))</f>
        <v/>
      </c>
    </row>
    <row r="484">
      <c r="A484" s="43">
        <f>IF(_calc!$E$486="","","Right to work follow-up – "&amp;IF(LEN(INDEX('Checks'!$A$4:$A$503,_calc!$E$486))=0,"",INDEX('Checks'!$A$4:$A$503,_calc!$E$486)))</f>
        <v/>
      </c>
      <c r="B484" s="43">
        <f>IF(_calc!$E$486="","",IF(ISNUMBER(INDEX('Checks'!$H$4:$H$503,_calc!$E$486)),TEXT(INDEX('Checks'!$H$4:$H$503,_calc!$E$486),"yyyy-mm-dd"),""))</f>
        <v/>
      </c>
      <c r="C484" s="43">
        <f>IF(_calc!$E$486="","","Right to work")</f>
        <v/>
      </c>
      <c r="D484" s="43">
        <f>IF(_calc!$E$486="","",IF(ISNUMBER(INDEX('Checks'!$F$4:$F$503,_calc!$E$486)),TEXT(INDEX('Checks'!$F$4:$F$503,_calc!$E$486),"yyyy-mm-dd"),""))</f>
        <v/>
      </c>
      <c r="E484" s="43">
        <f>IF(_calc!$E$486="","","High")</f>
        <v/>
      </c>
      <c r="F484" s="43">
        <f>IF(_calc!$E$486="","",TRIM(IF(LEN(IF(LEN(INDEX('Checks'!$B$4:$B$503,_calc!$E$486))=0,"",INDEX('Checks'!$B$4:$B$503,_calc!$E$486)))=0,"","Role: "&amp;IF(LEN(INDEX('Checks'!$B$4:$B$503,_calc!$E$486))=0,"",INDEX('Checks'!$B$4:$B$503,_calc!$E$486))&amp;". ")&amp;IF(LEN(IF(LEN(INDEX('Checks'!$D$4:$D$503,_calc!$E$486))=0,"",INDEX('Checks'!$D$4:$D$503,_calc!$E$486)))=0,"","Check type: "&amp;IF(LEN(INDEX('Checks'!$D$4:$D$503,_calc!$E$486))=0,"",INDEX('Checks'!$D$4:$D$503,_calc!$E$486))&amp;". ")&amp;IF(LEN(IF(LEN(INDEX('Checks'!$E$4:$E$503,_calc!$E$486))=0,"",INDEX('Checks'!$E$4:$E$503,_calc!$E$486)))=0,"","Evidence: "&amp;IF(LEN(INDEX('Checks'!$E$4:$E$503,_calc!$E$486))=0,"",INDEX('Checks'!$E$4:$E$503,_calc!$E$486))&amp;". ")&amp;IF(LEN(IF(LEN(INDEX('Checks'!$G$4:$G$503,_calc!$E$486))=0,"",INDEX('Checks'!$G$4:$G$503,_calc!$E$486)))=0,"","Checked by: "&amp;IF(LEN(INDEX('Checks'!$G$4:$G$503,_calc!$E$486))=0,"",INDEX('Checks'!$G$4:$G$503,_calc!$E$486))&amp;". ")&amp;IF(LEN(IF(LEN(INDEX('Checks'!$Q$4:$Q$503,_calc!$E$486))=0,"",INDEX('Checks'!$Q$4:$Q$503,_calc!$E$486)))=0,"",IF(LEN(INDEX('Checks'!$Q$4:$Q$503,_calc!$E$486))=0,"",INDEX('Checks'!$Q$4:$Q$503,_calc!$E$486)))))</f>
        <v/>
      </c>
      <c r="G484" s="43">
        <f>IF(_calc!$E$486="","",IF(LEN(INDEX('Checks'!$P$4:$P$503,_calc!$E$486))=0,"",INDEX('Checks'!$P$4:$P$503,_calc!$E$486)))</f>
        <v/>
      </c>
      <c r="K484" s="43">
        <f>IF(_calc!$E$486="","",IF(LEN(INDEX('Checks'!$O$4:$O$503,_calc!$E$486))=0,"",INDEX('Checks'!$O$4:$O$503,_calc!$E$486)))</f>
        <v/>
      </c>
    </row>
    <row r="485">
      <c r="A485" s="43">
        <f>IF(_calc!$E$487="","","Right to work follow-up – "&amp;IF(LEN(INDEX('Checks'!$A$4:$A$503,_calc!$E$487))=0,"",INDEX('Checks'!$A$4:$A$503,_calc!$E$487)))</f>
        <v/>
      </c>
      <c r="B485" s="43">
        <f>IF(_calc!$E$487="","",IF(ISNUMBER(INDEX('Checks'!$H$4:$H$503,_calc!$E$487)),TEXT(INDEX('Checks'!$H$4:$H$503,_calc!$E$487),"yyyy-mm-dd"),""))</f>
        <v/>
      </c>
      <c r="C485" s="43">
        <f>IF(_calc!$E$487="","","Right to work")</f>
        <v/>
      </c>
      <c r="D485" s="43">
        <f>IF(_calc!$E$487="","",IF(ISNUMBER(INDEX('Checks'!$F$4:$F$503,_calc!$E$487)),TEXT(INDEX('Checks'!$F$4:$F$503,_calc!$E$487),"yyyy-mm-dd"),""))</f>
        <v/>
      </c>
      <c r="E485" s="43">
        <f>IF(_calc!$E$487="","","High")</f>
        <v/>
      </c>
      <c r="F485" s="43">
        <f>IF(_calc!$E$487="","",TRIM(IF(LEN(IF(LEN(INDEX('Checks'!$B$4:$B$503,_calc!$E$487))=0,"",INDEX('Checks'!$B$4:$B$503,_calc!$E$487)))=0,"","Role: "&amp;IF(LEN(INDEX('Checks'!$B$4:$B$503,_calc!$E$487))=0,"",INDEX('Checks'!$B$4:$B$503,_calc!$E$487))&amp;". ")&amp;IF(LEN(IF(LEN(INDEX('Checks'!$D$4:$D$503,_calc!$E$487))=0,"",INDEX('Checks'!$D$4:$D$503,_calc!$E$487)))=0,"","Check type: "&amp;IF(LEN(INDEX('Checks'!$D$4:$D$503,_calc!$E$487))=0,"",INDEX('Checks'!$D$4:$D$503,_calc!$E$487))&amp;". ")&amp;IF(LEN(IF(LEN(INDEX('Checks'!$E$4:$E$503,_calc!$E$487))=0,"",INDEX('Checks'!$E$4:$E$503,_calc!$E$487)))=0,"","Evidence: "&amp;IF(LEN(INDEX('Checks'!$E$4:$E$503,_calc!$E$487))=0,"",INDEX('Checks'!$E$4:$E$503,_calc!$E$487))&amp;". ")&amp;IF(LEN(IF(LEN(INDEX('Checks'!$G$4:$G$503,_calc!$E$487))=0,"",INDEX('Checks'!$G$4:$G$503,_calc!$E$487)))=0,"","Checked by: "&amp;IF(LEN(INDEX('Checks'!$G$4:$G$503,_calc!$E$487))=0,"",INDEX('Checks'!$G$4:$G$503,_calc!$E$487))&amp;". ")&amp;IF(LEN(IF(LEN(INDEX('Checks'!$Q$4:$Q$503,_calc!$E$487))=0,"",INDEX('Checks'!$Q$4:$Q$503,_calc!$E$487)))=0,"",IF(LEN(INDEX('Checks'!$Q$4:$Q$503,_calc!$E$487))=0,"",INDEX('Checks'!$Q$4:$Q$503,_calc!$E$487)))))</f>
        <v/>
      </c>
      <c r="G485" s="43">
        <f>IF(_calc!$E$487="","",IF(LEN(INDEX('Checks'!$P$4:$P$503,_calc!$E$487))=0,"",INDEX('Checks'!$P$4:$P$503,_calc!$E$487)))</f>
        <v/>
      </c>
      <c r="K485" s="43">
        <f>IF(_calc!$E$487="","",IF(LEN(INDEX('Checks'!$O$4:$O$503,_calc!$E$487))=0,"",INDEX('Checks'!$O$4:$O$503,_calc!$E$487)))</f>
        <v/>
      </c>
    </row>
    <row r="486">
      <c r="A486" s="43">
        <f>IF(_calc!$E$488="","","Right to work follow-up – "&amp;IF(LEN(INDEX('Checks'!$A$4:$A$503,_calc!$E$488))=0,"",INDEX('Checks'!$A$4:$A$503,_calc!$E$488)))</f>
        <v/>
      </c>
      <c r="B486" s="43">
        <f>IF(_calc!$E$488="","",IF(ISNUMBER(INDEX('Checks'!$H$4:$H$503,_calc!$E$488)),TEXT(INDEX('Checks'!$H$4:$H$503,_calc!$E$488),"yyyy-mm-dd"),""))</f>
        <v/>
      </c>
      <c r="C486" s="43">
        <f>IF(_calc!$E$488="","","Right to work")</f>
        <v/>
      </c>
      <c r="D486" s="43">
        <f>IF(_calc!$E$488="","",IF(ISNUMBER(INDEX('Checks'!$F$4:$F$503,_calc!$E$488)),TEXT(INDEX('Checks'!$F$4:$F$503,_calc!$E$488),"yyyy-mm-dd"),""))</f>
        <v/>
      </c>
      <c r="E486" s="43">
        <f>IF(_calc!$E$488="","","High")</f>
        <v/>
      </c>
      <c r="F486" s="43">
        <f>IF(_calc!$E$488="","",TRIM(IF(LEN(IF(LEN(INDEX('Checks'!$B$4:$B$503,_calc!$E$488))=0,"",INDEX('Checks'!$B$4:$B$503,_calc!$E$488)))=0,"","Role: "&amp;IF(LEN(INDEX('Checks'!$B$4:$B$503,_calc!$E$488))=0,"",INDEX('Checks'!$B$4:$B$503,_calc!$E$488))&amp;". ")&amp;IF(LEN(IF(LEN(INDEX('Checks'!$D$4:$D$503,_calc!$E$488))=0,"",INDEX('Checks'!$D$4:$D$503,_calc!$E$488)))=0,"","Check type: "&amp;IF(LEN(INDEX('Checks'!$D$4:$D$503,_calc!$E$488))=0,"",INDEX('Checks'!$D$4:$D$503,_calc!$E$488))&amp;". ")&amp;IF(LEN(IF(LEN(INDEX('Checks'!$E$4:$E$503,_calc!$E$488))=0,"",INDEX('Checks'!$E$4:$E$503,_calc!$E$488)))=0,"","Evidence: "&amp;IF(LEN(INDEX('Checks'!$E$4:$E$503,_calc!$E$488))=0,"",INDEX('Checks'!$E$4:$E$503,_calc!$E$488))&amp;". ")&amp;IF(LEN(IF(LEN(INDEX('Checks'!$G$4:$G$503,_calc!$E$488))=0,"",INDEX('Checks'!$G$4:$G$503,_calc!$E$488)))=0,"","Checked by: "&amp;IF(LEN(INDEX('Checks'!$G$4:$G$503,_calc!$E$488))=0,"",INDEX('Checks'!$G$4:$G$503,_calc!$E$488))&amp;". ")&amp;IF(LEN(IF(LEN(INDEX('Checks'!$Q$4:$Q$503,_calc!$E$488))=0,"",INDEX('Checks'!$Q$4:$Q$503,_calc!$E$488)))=0,"",IF(LEN(INDEX('Checks'!$Q$4:$Q$503,_calc!$E$488))=0,"",INDEX('Checks'!$Q$4:$Q$503,_calc!$E$488)))))</f>
        <v/>
      </c>
      <c r="G486" s="43">
        <f>IF(_calc!$E$488="","",IF(LEN(INDEX('Checks'!$P$4:$P$503,_calc!$E$488))=0,"",INDEX('Checks'!$P$4:$P$503,_calc!$E$488)))</f>
        <v/>
      </c>
      <c r="K486" s="43">
        <f>IF(_calc!$E$488="","",IF(LEN(INDEX('Checks'!$O$4:$O$503,_calc!$E$488))=0,"",INDEX('Checks'!$O$4:$O$503,_calc!$E$488)))</f>
        <v/>
      </c>
    </row>
    <row r="487">
      <c r="A487" s="43">
        <f>IF(_calc!$E$489="","","Right to work follow-up – "&amp;IF(LEN(INDEX('Checks'!$A$4:$A$503,_calc!$E$489))=0,"",INDEX('Checks'!$A$4:$A$503,_calc!$E$489)))</f>
        <v/>
      </c>
      <c r="B487" s="43">
        <f>IF(_calc!$E$489="","",IF(ISNUMBER(INDEX('Checks'!$H$4:$H$503,_calc!$E$489)),TEXT(INDEX('Checks'!$H$4:$H$503,_calc!$E$489),"yyyy-mm-dd"),""))</f>
        <v/>
      </c>
      <c r="C487" s="43">
        <f>IF(_calc!$E$489="","","Right to work")</f>
        <v/>
      </c>
      <c r="D487" s="43">
        <f>IF(_calc!$E$489="","",IF(ISNUMBER(INDEX('Checks'!$F$4:$F$503,_calc!$E$489)),TEXT(INDEX('Checks'!$F$4:$F$503,_calc!$E$489),"yyyy-mm-dd"),""))</f>
        <v/>
      </c>
      <c r="E487" s="43">
        <f>IF(_calc!$E$489="","","High")</f>
        <v/>
      </c>
      <c r="F487" s="43">
        <f>IF(_calc!$E$489="","",TRIM(IF(LEN(IF(LEN(INDEX('Checks'!$B$4:$B$503,_calc!$E$489))=0,"",INDEX('Checks'!$B$4:$B$503,_calc!$E$489)))=0,"","Role: "&amp;IF(LEN(INDEX('Checks'!$B$4:$B$503,_calc!$E$489))=0,"",INDEX('Checks'!$B$4:$B$503,_calc!$E$489))&amp;". ")&amp;IF(LEN(IF(LEN(INDEX('Checks'!$D$4:$D$503,_calc!$E$489))=0,"",INDEX('Checks'!$D$4:$D$503,_calc!$E$489)))=0,"","Check type: "&amp;IF(LEN(INDEX('Checks'!$D$4:$D$503,_calc!$E$489))=0,"",INDEX('Checks'!$D$4:$D$503,_calc!$E$489))&amp;". ")&amp;IF(LEN(IF(LEN(INDEX('Checks'!$E$4:$E$503,_calc!$E$489))=0,"",INDEX('Checks'!$E$4:$E$503,_calc!$E$489)))=0,"","Evidence: "&amp;IF(LEN(INDEX('Checks'!$E$4:$E$503,_calc!$E$489))=0,"",INDEX('Checks'!$E$4:$E$503,_calc!$E$489))&amp;". ")&amp;IF(LEN(IF(LEN(INDEX('Checks'!$G$4:$G$503,_calc!$E$489))=0,"",INDEX('Checks'!$G$4:$G$503,_calc!$E$489)))=0,"","Checked by: "&amp;IF(LEN(INDEX('Checks'!$G$4:$G$503,_calc!$E$489))=0,"",INDEX('Checks'!$G$4:$G$503,_calc!$E$489))&amp;". ")&amp;IF(LEN(IF(LEN(INDEX('Checks'!$Q$4:$Q$503,_calc!$E$489))=0,"",INDEX('Checks'!$Q$4:$Q$503,_calc!$E$489)))=0,"",IF(LEN(INDEX('Checks'!$Q$4:$Q$503,_calc!$E$489))=0,"",INDEX('Checks'!$Q$4:$Q$503,_calc!$E$489)))))</f>
        <v/>
      </c>
      <c r="G487" s="43">
        <f>IF(_calc!$E$489="","",IF(LEN(INDEX('Checks'!$P$4:$P$503,_calc!$E$489))=0,"",INDEX('Checks'!$P$4:$P$503,_calc!$E$489)))</f>
        <v/>
      </c>
      <c r="K487" s="43">
        <f>IF(_calc!$E$489="","",IF(LEN(INDEX('Checks'!$O$4:$O$503,_calc!$E$489))=0,"",INDEX('Checks'!$O$4:$O$503,_calc!$E$489)))</f>
        <v/>
      </c>
    </row>
    <row r="488">
      <c r="A488" s="43">
        <f>IF(_calc!$E$490="","","Right to work follow-up – "&amp;IF(LEN(INDEX('Checks'!$A$4:$A$503,_calc!$E$490))=0,"",INDEX('Checks'!$A$4:$A$503,_calc!$E$490)))</f>
        <v/>
      </c>
      <c r="B488" s="43">
        <f>IF(_calc!$E$490="","",IF(ISNUMBER(INDEX('Checks'!$H$4:$H$503,_calc!$E$490)),TEXT(INDEX('Checks'!$H$4:$H$503,_calc!$E$490),"yyyy-mm-dd"),""))</f>
        <v/>
      </c>
      <c r="C488" s="43">
        <f>IF(_calc!$E$490="","","Right to work")</f>
        <v/>
      </c>
      <c r="D488" s="43">
        <f>IF(_calc!$E$490="","",IF(ISNUMBER(INDEX('Checks'!$F$4:$F$503,_calc!$E$490)),TEXT(INDEX('Checks'!$F$4:$F$503,_calc!$E$490),"yyyy-mm-dd"),""))</f>
        <v/>
      </c>
      <c r="E488" s="43">
        <f>IF(_calc!$E$490="","","High")</f>
        <v/>
      </c>
      <c r="F488" s="43">
        <f>IF(_calc!$E$490="","",TRIM(IF(LEN(IF(LEN(INDEX('Checks'!$B$4:$B$503,_calc!$E$490))=0,"",INDEX('Checks'!$B$4:$B$503,_calc!$E$490)))=0,"","Role: "&amp;IF(LEN(INDEX('Checks'!$B$4:$B$503,_calc!$E$490))=0,"",INDEX('Checks'!$B$4:$B$503,_calc!$E$490))&amp;". ")&amp;IF(LEN(IF(LEN(INDEX('Checks'!$D$4:$D$503,_calc!$E$490))=0,"",INDEX('Checks'!$D$4:$D$503,_calc!$E$490)))=0,"","Check type: "&amp;IF(LEN(INDEX('Checks'!$D$4:$D$503,_calc!$E$490))=0,"",INDEX('Checks'!$D$4:$D$503,_calc!$E$490))&amp;". ")&amp;IF(LEN(IF(LEN(INDEX('Checks'!$E$4:$E$503,_calc!$E$490))=0,"",INDEX('Checks'!$E$4:$E$503,_calc!$E$490)))=0,"","Evidence: "&amp;IF(LEN(INDEX('Checks'!$E$4:$E$503,_calc!$E$490))=0,"",INDEX('Checks'!$E$4:$E$503,_calc!$E$490))&amp;". ")&amp;IF(LEN(IF(LEN(INDEX('Checks'!$G$4:$G$503,_calc!$E$490))=0,"",INDEX('Checks'!$G$4:$G$503,_calc!$E$490)))=0,"","Checked by: "&amp;IF(LEN(INDEX('Checks'!$G$4:$G$503,_calc!$E$490))=0,"",INDEX('Checks'!$G$4:$G$503,_calc!$E$490))&amp;". ")&amp;IF(LEN(IF(LEN(INDEX('Checks'!$Q$4:$Q$503,_calc!$E$490))=0,"",INDEX('Checks'!$Q$4:$Q$503,_calc!$E$490)))=0,"",IF(LEN(INDEX('Checks'!$Q$4:$Q$503,_calc!$E$490))=0,"",INDEX('Checks'!$Q$4:$Q$503,_calc!$E$490)))))</f>
        <v/>
      </c>
      <c r="G488" s="43">
        <f>IF(_calc!$E$490="","",IF(LEN(INDEX('Checks'!$P$4:$P$503,_calc!$E$490))=0,"",INDEX('Checks'!$P$4:$P$503,_calc!$E$490)))</f>
        <v/>
      </c>
      <c r="K488" s="43">
        <f>IF(_calc!$E$490="","",IF(LEN(INDEX('Checks'!$O$4:$O$503,_calc!$E$490))=0,"",INDEX('Checks'!$O$4:$O$503,_calc!$E$490)))</f>
        <v/>
      </c>
    </row>
    <row r="489">
      <c r="A489" s="43">
        <f>IF(_calc!$E$491="","","Right to work follow-up – "&amp;IF(LEN(INDEX('Checks'!$A$4:$A$503,_calc!$E$491))=0,"",INDEX('Checks'!$A$4:$A$503,_calc!$E$491)))</f>
        <v/>
      </c>
      <c r="B489" s="43">
        <f>IF(_calc!$E$491="","",IF(ISNUMBER(INDEX('Checks'!$H$4:$H$503,_calc!$E$491)),TEXT(INDEX('Checks'!$H$4:$H$503,_calc!$E$491),"yyyy-mm-dd"),""))</f>
        <v/>
      </c>
      <c r="C489" s="43">
        <f>IF(_calc!$E$491="","","Right to work")</f>
        <v/>
      </c>
      <c r="D489" s="43">
        <f>IF(_calc!$E$491="","",IF(ISNUMBER(INDEX('Checks'!$F$4:$F$503,_calc!$E$491)),TEXT(INDEX('Checks'!$F$4:$F$503,_calc!$E$491),"yyyy-mm-dd"),""))</f>
        <v/>
      </c>
      <c r="E489" s="43">
        <f>IF(_calc!$E$491="","","High")</f>
        <v/>
      </c>
      <c r="F489" s="43">
        <f>IF(_calc!$E$491="","",TRIM(IF(LEN(IF(LEN(INDEX('Checks'!$B$4:$B$503,_calc!$E$491))=0,"",INDEX('Checks'!$B$4:$B$503,_calc!$E$491)))=0,"","Role: "&amp;IF(LEN(INDEX('Checks'!$B$4:$B$503,_calc!$E$491))=0,"",INDEX('Checks'!$B$4:$B$503,_calc!$E$491))&amp;". ")&amp;IF(LEN(IF(LEN(INDEX('Checks'!$D$4:$D$503,_calc!$E$491))=0,"",INDEX('Checks'!$D$4:$D$503,_calc!$E$491)))=0,"","Check type: "&amp;IF(LEN(INDEX('Checks'!$D$4:$D$503,_calc!$E$491))=0,"",INDEX('Checks'!$D$4:$D$503,_calc!$E$491))&amp;". ")&amp;IF(LEN(IF(LEN(INDEX('Checks'!$E$4:$E$503,_calc!$E$491))=0,"",INDEX('Checks'!$E$4:$E$503,_calc!$E$491)))=0,"","Evidence: "&amp;IF(LEN(INDEX('Checks'!$E$4:$E$503,_calc!$E$491))=0,"",INDEX('Checks'!$E$4:$E$503,_calc!$E$491))&amp;". ")&amp;IF(LEN(IF(LEN(INDEX('Checks'!$G$4:$G$503,_calc!$E$491))=0,"",INDEX('Checks'!$G$4:$G$503,_calc!$E$491)))=0,"","Checked by: "&amp;IF(LEN(INDEX('Checks'!$G$4:$G$503,_calc!$E$491))=0,"",INDEX('Checks'!$G$4:$G$503,_calc!$E$491))&amp;". ")&amp;IF(LEN(IF(LEN(INDEX('Checks'!$Q$4:$Q$503,_calc!$E$491))=0,"",INDEX('Checks'!$Q$4:$Q$503,_calc!$E$491)))=0,"",IF(LEN(INDEX('Checks'!$Q$4:$Q$503,_calc!$E$491))=0,"",INDEX('Checks'!$Q$4:$Q$503,_calc!$E$491)))))</f>
        <v/>
      </c>
      <c r="G489" s="43">
        <f>IF(_calc!$E$491="","",IF(LEN(INDEX('Checks'!$P$4:$P$503,_calc!$E$491))=0,"",INDEX('Checks'!$P$4:$P$503,_calc!$E$491)))</f>
        <v/>
      </c>
      <c r="K489" s="43">
        <f>IF(_calc!$E$491="","",IF(LEN(INDEX('Checks'!$O$4:$O$503,_calc!$E$491))=0,"",INDEX('Checks'!$O$4:$O$503,_calc!$E$491)))</f>
        <v/>
      </c>
    </row>
    <row r="490">
      <c r="A490" s="43">
        <f>IF(_calc!$E$492="","","Right to work follow-up – "&amp;IF(LEN(INDEX('Checks'!$A$4:$A$503,_calc!$E$492))=0,"",INDEX('Checks'!$A$4:$A$503,_calc!$E$492)))</f>
        <v/>
      </c>
      <c r="B490" s="43">
        <f>IF(_calc!$E$492="","",IF(ISNUMBER(INDEX('Checks'!$H$4:$H$503,_calc!$E$492)),TEXT(INDEX('Checks'!$H$4:$H$503,_calc!$E$492),"yyyy-mm-dd"),""))</f>
        <v/>
      </c>
      <c r="C490" s="43">
        <f>IF(_calc!$E$492="","","Right to work")</f>
        <v/>
      </c>
      <c r="D490" s="43">
        <f>IF(_calc!$E$492="","",IF(ISNUMBER(INDEX('Checks'!$F$4:$F$503,_calc!$E$492)),TEXT(INDEX('Checks'!$F$4:$F$503,_calc!$E$492),"yyyy-mm-dd"),""))</f>
        <v/>
      </c>
      <c r="E490" s="43">
        <f>IF(_calc!$E$492="","","High")</f>
        <v/>
      </c>
      <c r="F490" s="43">
        <f>IF(_calc!$E$492="","",TRIM(IF(LEN(IF(LEN(INDEX('Checks'!$B$4:$B$503,_calc!$E$492))=0,"",INDEX('Checks'!$B$4:$B$503,_calc!$E$492)))=0,"","Role: "&amp;IF(LEN(INDEX('Checks'!$B$4:$B$503,_calc!$E$492))=0,"",INDEX('Checks'!$B$4:$B$503,_calc!$E$492))&amp;". ")&amp;IF(LEN(IF(LEN(INDEX('Checks'!$D$4:$D$503,_calc!$E$492))=0,"",INDEX('Checks'!$D$4:$D$503,_calc!$E$492)))=0,"","Check type: "&amp;IF(LEN(INDEX('Checks'!$D$4:$D$503,_calc!$E$492))=0,"",INDEX('Checks'!$D$4:$D$503,_calc!$E$492))&amp;". ")&amp;IF(LEN(IF(LEN(INDEX('Checks'!$E$4:$E$503,_calc!$E$492))=0,"",INDEX('Checks'!$E$4:$E$503,_calc!$E$492)))=0,"","Evidence: "&amp;IF(LEN(INDEX('Checks'!$E$4:$E$503,_calc!$E$492))=0,"",INDEX('Checks'!$E$4:$E$503,_calc!$E$492))&amp;". ")&amp;IF(LEN(IF(LEN(INDEX('Checks'!$G$4:$G$503,_calc!$E$492))=0,"",INDEX('Checks'!$G$4:$G$503,_calc!$E$492)))=0,"","Checked by: "&amp;IF(LEN(INDEX('Checks'!$G$4:$G$503,_calc!$E$492))=0,"",INDEX('Checks'!$G$4:$G$503,_calc!$E$492))&amp;". ")&amp;IF(LEN(IF(LEN(INDEX('Checks'!$Q$4:$Q$503,_calc!$E$492))=0,"",INDEX('Checks'!$Q$4:$Q$503,_calc!$E$492)))=0,"",IF(LEN(INDEX('Checks'!$Q$4:$Q$503,_calc!$E$492))=0,"",INDEX('Checks'!$Q$4:$Q$503,_calc!$E$492)))))</f>
        <v/>
      </c>
      <c r="G490" s="43">
        <f>IF(_calc!$E$492="","",IF(LEN(INDEX('Checks'!$P$4:$P$503,_calc!$E$492))=0,"",INDEX('Checks'!$P$4:$P$503,_calc!$E$492)))</f>
        <v/>
      </c>
      <c r="K490" s="43">
        <f>IF(_calc!$E$492="","",IF(LEN(INDEX('Checks'!$O$4:$O$503,_calc!$E$492))=0,"",INDEX('Checks'!$O$4:$O$503,_calc!$E$492)))</f>
        <v/>
      </c>
    </row>
    <row r="491">
      <c r="A491" s="43">
        <f>IF(_calc!$E$493="","","Right to work follow-up – "&amp;IF(LEN(INDEX('Checks'!$A$4:$A$503,_calc!$E$493))=0,"",INDEX('Checks'!$A$4:$A$503,_calc!$E$493)))</f>
        <v/>
      </c>
      <c r="B491" s="43">
        <f>IF(_calc!$E$493="","",IF(ISNUMBER(INDEX('Checks'!$H$4:$H$503,_calc!$E$493)),TEXT(INDEX('Checks'!$H$4:$H$503,_calc!$E$493),"yyyy-mm-dd"),""))</f>
        <v/>
      </c>
      <c r="C491" s="43">
        <f>IF(_calc!$E$493="","","Right to work")</f>
        <v/>
      </c>
      <c r="D491" s="43">
        <f>IF(_calc!$E$493="","",IF(ISNUMBER(INDEX('Checks'!$F$4:$F$503,_calc!$E$493)),TEXT(INDEX('Checks'!$F$4:$F$503,_calc!$E$493),"yyyy-mm-dd"),""))</f>
        <v/>
      </c>
      <c r="E491" s="43">
        <f>IF(_calc!$E$493="","","High")</f>
        <v/>
      </c>
      <c r="F491" s="43">
        <f>IF(_calc!$E$493="","",TRIM(IF(LEN(IF(LEN(INDEX('Checks'!$B$4:$B$503,_calc!$E$493))=0,"",INDEX('Checks'!$B$4:$B$503,_calc!$E$493)))=0,"","Role: "&amp;IF(LEN(INDEX('Checks'!$B$4:$B$503,_calc!$E$493))=0,"",INDEX('Checks'!$B$4:$B$503,_calc!$E$493))&amp;". ")&amp;IF(LEN(IF(LEN(INDEX('Checks'!$D$4:$D$503,_calc!$E$493))=0,"",INDEX('Checks'!$D$4:$D$503,_calc!$E$493)))=0,"","Check type: "&amp;IF(LEN(INDEX('Checks'!$D$4:$D$503,_calc!$E$493))=0,"",INDEX('Checks'!$D$4:$D$503,_calc!$E$493))&amp;". ")&amp;IF(LEN(IF(LEN(INDEX('Checks'!$E$4:$E$503,_calc!$E$493))=0,"",INDEX('Checks'!$E$4:$E$503,_calc!$E$493)))=0,"","Evidence: "&amp;IF(LEN(INDEX('Checks'!$E$4:$E$503,_calc!$E$493))=0,"",INDEX('Checks'!$E$4:$E$503,_calc!$E$493))&amp;". ")&amp;IF(LEN(IF(LEN(INDEX('Checks'!$G$4:$G$503,_calc!$E$493))=0,"",INDEX('Checks'!$G$4:$G$503,_calc!$E$493)))=0,"","Checked by: "&amp;IF(LEN(INDEX('Checks'!$G$4:$G$503,_calc!$E$493))=0,"",INDEX('Checks'!$G$4:$G$503,_calc!$E$493))&amp;". ")&amp;IF(LEN(IF(LEN(INDEX('Checks'!$Q$4:$Q$503,_calc!$E$493))=0,"",INDEX('Checks'!$Q$4:$Q$503,_calc!$E$493)))=0,"",IF(LEN(INDEX('Checks'!$Q$4:$Q$503,_calc!$E$493))=0,"",INDEX('Checks'!$Q$4:$Q$503,_calc!$E$493)))))</f>
        <v/>
      </c>
      <c r="G491" s="43">
        <f>IF(_calc!$E$493="","",IF(LEN(INDEX('Checks'!$P$4:$P$503,_calc!$E$493))=0,"",INDEX('Checks'!$P$4:$P$503,_calc!$E$493)))</f>
        <v/>
      </c>
      <c r="K491" s="43">
        <f>IF(_calc!$E$493="","",IF(LEN(INDEX('Checks'!$O$4:$O$503,_calc!$E$493))=0,"",INDEX('Checks'!$O$4:$O$503,_calc!$E$493)))</f>
        <v/>
      </c>
    </row>
    <row r="492">
      <c r="A492" s="43">
        <f>IF(_calc!$E$494="","","Right to work follow-up – "&amp;IF(LEN(INDEX('Checks'!$A$4:$A$503,_calc!$E$494))=0,"",INDEX('Checks'!$A$4:$A$503,_calc!$E$494)))</f>
        <v/>
      </c>
      <c r="B492" s="43">
        <f>IF(_calc!$E$494="","",IF(ISNUMBER(INDEX('Checks'!$H$4:$H$503,_calc!$E$494)),TEXT(INDEX('Checks'!$H$4:$H$503,_calc!$E$494),"yyyy-mm-dd"),""))</f>
        <v/>
      </c>
      <c r="C492" s="43">
        <f>IF(_calc!$E$494="","","Right to work")</f>
        <v/>
      </c>
      <c r="D492" s="43">
        <f>IF(_calc!$E$494="","",IF(ISNUMBER(INDEX('Checks'!$F$4:$F$503,_calc!$E$494)),TEXT(INDEX('Checks'!$F$4:$F$503,_calc!$E$494),"yyyy-mm-dd"),""))</f>
        <v/>
      </c>
      <c r="E492" s="43">
        <f>IF(_calc!$E$494="","","High")</f>
        <v/>
      </c>
      <c r="F492" s="43">
        <f>IF(_calc!$E$494="","",TRIM(IF(LEN(IF(LEN(INDEX('Checks'!$B$4:$B$503,_calc!$E$494))=0,"",INDEX('Checks'!$B$4:$B$503,_calc!$E$494)))=0,"","Role: "&amp;IF(LEN(INDEX('Checks'!$B$4:$B$503,_calc!$E$494))=0,"",INDEX('Checks'!$B$4:$B$503,_calc!$E$494))&amp;". ")&amp;IF(LEN(IF(LEN(INDEX('Checks'!$D$4:$D$503,_calc!$E$494))=0,"",INDEX('Checks'!$D$4:$D$503,_calc!$E$494)))=0,"","Check type: "&amp;IF(LEN(INDEX('Checks'!$D$4:$D$503,_calc!$E$494))=0,"",INDEX('Checks'!$D$4:$D$503,_calc!$E$494))&amp;". ")&amp;IF(LEN(IF(LEN(INDEX('Checks'!$E$4:$E$503,_calc!$E$494))=0,"",INDEX('Checks'!$E$4:$E$503,_calc!$E$494)))=0,"","Evidence: "&amp;IF(LEN(INDEX('Checks'!$E$4:$E$503,_calc!$E$494))=0,"",INDEX('Checks'!$E$4:$E$503,_calc!$E$494))&amp;". ")&amp;IF(LEN(IF(LEN(INDEX('Checks'!$G$4:$G$503,_calc!$E$494))=0,"",INDEX('Checks'!$G$4:$G$503,_calc!$E$494)))=0,"","Checked by: "&amp;IF(LEN(INDEX('Checks'!$G$4:$G$503,_calc!$E$494))=0,"",INDEX('Checks'!$G$4:$G$503,_calc!$E$494))&amp;". ")&amp;IF(LEN(IF(LEN(INDEX('Checks'!$Q$4:$Q$503,_calc!$E$494))=0,"",INDEX('Checks'!$Q$4:$Q$503,_calc!$E$494)))=0,"",IF(LEN(INDEX('Checks'!$Q$4:$Q$503,_calc!$E$494))=0,"",INDEX('Checks'!$Q$4:$Q$503,_calc!$E$494)))))</f>
        <v/>
      </c>
      <c r="G492" s="43">
        <f>IF(_calc!$E$494="","",IF(LEN(INDEX('Checks'!$P$4:$P$503,_calc!$E$494))=0,"",INDEX('Checks'!$P$4:$P$503,_calc!$E$494)))</f>
        <v/>
      </c>
      <c r="K492" s="43">
        <f>IF(_calc!$E$494="","",IF(LEN(INDEX('Checks'!$O$4:$O$503,_calc!$E$494))=0,"",INDEX('Checks'!$O$4:$O$503,_calc!$E$494)))</f>
        <v/>
      </c>
    </row>
    <row r="493">
      <c r="A493" s="43">
        <f>IF(_calc!$E$495="","","Right to work follow-up – "&amp;IF(LEN(INDEX('Checks'!$A$4:$A$503,_calc!$E$495))=0,"",INDEX('Checks'!$A$4:$A$503,_calc!$E$495)))</f>
        <v/>
      </c>
      <c r="B493" s="43">
        <f>IF(_calc!$E$495="","",IF(ISNUMBER(INDEX('Checks'!$H$4:$H$503,_calc!$E$495)),TEXT(INDEX('Checks'!$H$4:$H$503,_calc!$E$495),"yyyy-mm-dd"),""))</f>
        <v/>
      </c>
      <c r="C493" s="43">
        <f>IF(_calc!$E$495="","","Right to work")</f>
        <v/>
      </c>
      <c r="D493" s="43">
        <f>IF(_calc!$E$495="","",IF(ISNUMBER(INDEX('Checks'!$F$4:$F$503,_calc!$E$495)),TEXT(INDEX('Checks'!$F$4:$F$503,_calc!$E$495),"yyyy-mm-dd"),""))</f>
        <v/>
      </c>
      <c r="E493" s="43">
        <f>IF(_calc!$E$495="","","High")</f>
        <v/>
      </c>
      <c r="F493" s="43">
        <f>IF(_calc!$E$495="","",TRIM(IF(LEN(IF(LEN(INDEX('Checks'!$B$4:$B$503,_calc!$E$495))=0,"",INDEX('Checks'!$B$4:$B$503,_calc!$E$495)))=0,"","Role: "&amp;IF(LEN(INDEX('Checks'!$B$4:$B$503,_calc!$E$495))=0,"",INDEX('Checks'!$B$4:$B$503,_calc!$E$495))&amp;". ")&amp;IF(LEN(IF(LEN(INDEX('Checks'!$D$4:$D$503,_calc!$E$495))=0,"",INDEX('Checks'!$D$4:$D$503,_calc!$E$495)))=0,"","Check type: "&amp;IF(LEN(INDEX('Checks'!$D$4:$D$503,_calc!$E$495))=0,"",INDEX('Checks'!$D$4:$D$503,_calc!$E$495))&amp;". ")&amp;IF(LEN(IF(LEN(INDEX('Checks'!$E$4:$E$503,_calc!$E$495))=0,"",INDEX('Checks'!$E$4:$E$503,_calc!$E$495)))=0,"","Evidence: "&amp;IF(LEN(INDEX('Checks'!$E$4:$E$503,_calc!$E$495))=0,"",INDEX('Checks'!$E$4:$E$503,_calc!$E$495))&amp;". ")&amp;IF(LEN(IF(LEN(INDEX('Checks'!$G$4:$G$503,_calc!$E$495))=0,"",INDEX('Checks'!$G$4:$G$503,_calc!$E$495)))=0,"","Checked by: "&amp;IF(LEN(INDEX('Checks'!$G$4:$G$503,_calc!$E$495))=0,"",INDEX('Checks'!$G$4:$G$503,_calc!$E$495))&amp;". ")&amp;IF(LEN(IF(LEN(INDEX('Checks'!$Q$4:$Q$503,_calc!$E$495))=0,"",INDEX('Checks'!$Q$4:$Q$503,_calc!$E$495)))=0,"",IF(LEN(INDEX('Checks'!$Q$4:$Q$503,_calc!$E$495))=0,"",INDEX('Checks'!$Q$4:$Q$503,_calc!$E$495)))))</f>
        <v/>
      </c>
      <c r="G493" s="43">
        <f>IF(_calc!$E$495="","",IF(LEN(INDEX('Checks'!$P$4:$P$503,_calc!$E$495))=0,"",INDEX('Checks'!$P$4:$P$503,_calc!$E$495)))</f>
        <v/>
      </c>
      <c r="K493" s="43">
        <f>IF(_calc!$E$495="","",IF(LEN(INDEX('Checks'!$O$4:$O$503,_calc!$E$495))=0,"",INDEX('Checks'!$O$4:$O$503,_calc!$E$495)))</f>
        <v/>
      </c>
    </row>
    <row r="494">
      <c r="A494" s="43">
        <f>IF(_calc!$E$496="","","Right to work follow-up – "&amp;IF(LEN(INDEX('Checks'!$A$4:$A$503,_calc!$E$496))=0,"",INDEX('Checks'!$A$4:$A$503,_calc!$E$496)))</f>
        <v/>
      </c>
      <c r="B494" s="43">
        <f>IF(_calc!$E$496="","",IF(ISNUMBER(INDEX('Checks'!$H$4:$H$503,_calc!$E$496)),TEXT(INDEX('Checks'!$H$4:$H$503,_calc!$E$496),"yyyy-mm-dd"),""))</f>
        <v/>
      </c>
      <c r="C494" s="43">
        <f>IF(_calc!$E$496="","","Right to work")</f>
        <v/>
      </c>
      <c r="D494" s="43">
        <f>IF(_calc!$E$496="","",IF(ISNUMBER(INDEX('Checks'!$F$4:$F$503,_calc!$E$496)),TEXT(INDEX('Checks'!$F$4:$F$503,_calc!$E$496),"yyyy-mm-dd"),""))</f>
        <v/>
      </c>
      <c r="E494" s="43">
        <f>IF(_calc!$E$496="","","High")</f>
        <v/>
      </c>
      <c r="F494" s="43">
        <f>IF(_calc!$E$496="","",TRIM(IF(LEN(IF(LEN(INDEX('Checks'!$B$4:$B$503,_calc!$E$496))=0,"",INDEX('Checks'!$B$4:$B$503,_calc!$E$496)))=0,"","Role: "&amp;IF(LEN(INDEX('Checks'!$B$4:$B$503,_calc!$E$496))=0,"",INDEX('Checks'!$B$4:$B$503,_calc!$E$496))&amp;". ")&amp;IF(LEN(IF(LEN(INDEX('Checks'!$D$4:$D$503,_calc!$E$496))=0,"",INDEX('Checks'!$D$4:$D$503,_calc!$E$496)))=0,"","Check type: "&amp;IF(LEN(INDEX('Checks'!$D$4:$D$503,_calc!$E$496))=0,"",INDEX('Checks'!$D$4:$D$503,_calc!$E$496))&amp;". ")&amp;IF(LEN(IF(LEN(INDEX('Checks'!$E$4:$E$503,_calc!$E$496))=0,"",INDEX('Checks'!$E$4:$E$503,_calc!$E$496)))=0,"","Evidence: "&amp;IF(LEN(INDEX('Checks'!$E$4:$E$503,_calc!$E$496))=0,"",INDEX('Checks'!$E$4:$E$503,_calc!$E$496))&amp;". ")&amp;IF(LEN(IF(LEN(INDEX('Checks'!$G$4:$G$503,_calc!$E$496))=0,"",INDEX('Checks'!$G$4:$G$503,_calc!$E$496)))=0,"","Checked by: "&amp;IF(LEN(INDEX('Checks'!$G$4:$G$503,_calc!$E$496))=0,"",INDEX('Checks'!$G$4:$G$503,_calc!$E$496))&amp;". ")&amp;IF(LEN(IF(LEN(INDEX('Checks'!$Q$4:$Q$503,_calc!$E$496))=0,"",INDEX('Checks'!$Q$4:$Q$503,_calc!$E$496)))=0,"",IF(LEN(INDEX('Checks'!$Q$4:$Q$503,_calc!$E$496))=0,"",INDEX('Checks'!$Q$4:$Q$503,_calc!$E$496)))))</f>
        <v/>
      </c>
      <c r="G494" s="43">
        <f>IF(_calc!$E$496="","",IF(LEN(INDEX('Checks'!$P$4:$P$503,_calc!$E$496))=0,"",INDEX('Checks'!$P$4:$P$503,_calc!$E$496)))</f>
        <v/>
      </c>
      <c r="K494" s="43">
        <f>IF(_calc!$E$496="","",IF(LEN(INDEX('Checks'!$O$4:$O$503,_calc!$E$496))=0,"",INDEX('Checks'!$O$4:$O$503,_calc!$E$496)))</f>
        <v/>
      </c>
    </row>
    <row r="495">
      <c r="A495" s="43">
        <f>IF(_calc!$E$497="","","Right to work follow-up – "&amp;IF(LEN(INDEX('Checks'!$A$4:$A$503,_calc!$E$497))=0,"",INDEX('Checks'!$A$4:$A$503,_calc!$E$497)))</f>
        <v/>
      </c>
      <c r="B495" s="43">
        <f>IF(_calc!$E$497="","",IF(ISNUMBER(INDEX('Checks'!$H$4:$H$503,_calc!$E$497)),TEXT(INDEX('Checks'!$H$4:$H$503,_calc!$E$497),"yyyy-mm-dd"),""))</f>
        <v/>
      </c>
      <c r="C495" s="43">
        <f>IF(_calc!$E$497="","","Right to work")</f>
        <v/>
      </c>
      <c r="D495" s="43">
        <f>IF(_calc!$E$497="","",IF(ISNUMBER(INDEX('Checks'!$F$4:$F$503,_calc!$E$497)),TEXT(INDEX('Checks'!$F$4:$F$503,_calc!$E$497),"yyyy-mm-dd"),""))</f>
        <v/>
      </c>
      <c r="E495" s="43">
        <f>IF(_calc!$E$497="","","High")</f>
        <v/>
      </c>
      <c r="F495" s="43">
        <f>IF(_calc!$E$497="","",TRIM(IF(LEN(IF(LEN(INDEX('Checks'!$B$4:$B$503,_calc!$E$497))=0,"",INDEX('Checks'!$B$4:$B$503,_calc!$E$497)))=0,"","Role: "&amp;IF(LEN(INDEX('Checks'!$B$4:$B$503,_calc!$E$497))=0,"",INDEX('Checks'!$B$4:$B$503,_calc!$E$497))&amp;". ")&amp;IF(LEN(IF(LEN(INDEX('Checks'!$D$4:$D$503,_calc!$E$497))=0,"",INDEX('Checks'!$D$4:$D$503,_calc!$E$497)))=0,"","Check type: "&amp;IF(LEN(INDEX('Checks'!$D$4:$D$503,_calc!$E$497))=0,"",INDEX('Checks'!$D$4:$D$503,_calc!$E$497))&amp;". ")&amp;IF(LEN(IF(LEN(INDEX('Checks'!$E$4:$E$503,_calc!$E$497))=0,"",INDEX('Checks'!$E$4:$E$503,_calc!$E$497)))=0,"","Evidence: "&amp;IF(LEN(INDEX('Checks'!$E$4:$E$503,_calc!$E$497))=0,"",INDEX('Checks'!$E$4:$E$503,_calc!$E$497))&amp;". ")&amp;IF(LEN(IF(LEN(INDEX('Checks'!$G$4:$G$503,_calc!$E$497))=0,"",INDEX('Checks'!$G$4:$G$503,_calc!$E$497)))=0,"","Checked by: "&amp;IF(LEN(INDEX('Checks'!$G$4:$G$503,_calc!$E$497))=0,"",INDEX('Checks'!$G$4:$G$503,_calc!$E$497))&amp;". ")&amp;IF(LEN(IF(LEN(INDEX('Checks'!$Q$4:$Q$503,_calc!$E$497))=0,"",INDEX('Checks'!$Q$4:$Q$503,_calc!$E$497)))=0,"",IF(LEN(INDEX('Checks'!$Q$4:$Q$503,_calc!$E$497))=0,"",INDEX('Checks'!$Q$4:$Q$503,_calc!$E$497)))))</f>
        <v/>
      </c>
      <c r="G495" s="43">
        <f>IF(_calc!$E$497="","",IF(LEN(INDEX('Checks'!$P$4:$P$503,_calc!$E$497))=0,"",INDEX('Checks'!$P$4:$P$503,_calc!$E$497)))</f>
        <v/>
      </c>
      <c r="K495" s="43">
        <f>IF(_calc!$E$497="","",IF(LEN(INDEX('Checks'!$O$4:$O$503,_calc!$E$497))=0,"",INDEX('Checks'!$O$4:$O$503,_calc!$E$497)))</f>
        <v/>
      </c>
    </row>
    <row r="496">
      <c r="A496" s="43">
        <f>IF(_calc!$E$498="","","Right to work follow-up – "&amp;IF(LEN(INDEX('Checks'!$A$4:$A$503,_calc!$E$498))=0,"",INDEX('Checks'!$A$4:$A$503,_calc!$E$498)))</f>
        <v/>
      </c>
      <c r="B496" s="43">
        <f>IF(_calc!$E$498="","",IF(ISNUMBER(INDEX('Checks'!$H$4:$H$503,_calc!$E$498)),TEXT(INDEX('Checks'!$H$4:$H$503,_calc!$E$498),"yyyy-mm-dd"),""))</f>
        <v/>
      </c>
      <c r="C496" s="43">
        <f>IF(_calc!$E$498="","","Right to work")</f>
        <v/>
      </c>
      <c r="D496" s="43">
        <f>IF(_calc!$E$498="","",IF(ISNUMBER(INDEX('Checks'!$F$4:$F$503,_calc!$E$498)),TEXT(INDEX('Checks'!$F$4:$F$503,_calc!$E$498),"yyyy-mm-dd"),""))</f>
        <v/>
      </c>
      <c r="E496" s="43">
        <f>IF(_calc!$E$498="","","High")</f>
        <v/>
      </c>
      <c r="F496" s="43">
        <f>IF(_calc!$E$498="","",TRIM(IF(LEN(IF(LEN(INDEX('Checks'!$B$4:$B$503,_calc!$E$498))=0,"",INDEX('Checks'!$B$4:$B$503,_calc!$E$498)))=0,"","Role: "&amp;IF(LEN(INDEX('Checks'!$B$4:$B$503,_calc!$E$498))=0,"",INDEX('Checks'!$B$4:$B$503,_calc!$E$498))&amp;". ")&amp;IF(LEN(IF(LEN(INDEX('Checks'!$D$4:$D$503,_calc!$E$498))=0,"",INDEX('Checks'!$D$4:$D$503,_calc!$E$498)))=0,"","Check type: "&amp;IF(LEN(INDEX('Checks'!$D$4:$D$503,_calc!$E$498))=0,"",INDEX('Checks'!$D$4:$D$503,_calc!$E$498))&amp;". ")&amp;IF(LEN(IF(LEN(INDEX('Checks'!$E$4:$E$503,_calc!$E$498))=0,"",INDEX('Checks'!$E$4:$E$503,_calc!$E$498)))=0,"","Evidence: "&amp;IF(LEN(INDEX('Checks'!$E$4:$E$503,_calc!$E$498))=0,"",INDEX('Checks'!$E$4:$E$503,_calc!$E$498))&amp;". ")&amp;IF(LEN(IF(LEN(INDEX('Checks'!$G$4:$G$503,_calc!$E$498))=0,"",INDEX('Checks'!$G$4:$G$503,_calc!$E$498)))=0,"","Checked by: "&amp;IF(LEN(INDEX('Checks'!$G$4:$G$503,_calc!$E$498))=0,"",INDEX('Checks'!$G$4:$G$503,_calc!$E$498))&amp;". ")&amp;IF(LEN(IF(LEN(INDEX('Checks'!$Q$4:$Q$503,_calc!$E$498))=0,"",INDEX('Checks'!$Q$4:$Q$503,_calc!$E$498)))=0,"",IF(LEN(INDEX('Checks'!$Q$4:$Q$503,_calc!$E$498))=0,"",INDEX('Checks'!$Q$4:$Q$503,_calc!$E$498)))))</f>
        <v/>
      </c>
      <c r="G496" s="43">
        <f>IF(_calc!$E$498="","",IF(LEN(INDEX('Checks'!$P$4:$P$503,_calc!$E$498))=0,"",INDEX('Checks'!$P$4:$P$503,_calc!$E$498)))</f>
        <v/>
      </c>
      <c r="K496" s="43">
        <f>IF(_calc!$E$498="","",IF(LEN(INDEX('Checks'!$O$4:$O$503,_calc!$E$498))=0,"",INDEX('Checks'!$O$4:$O$503,_calc!$E$498)))</f>
        <v/>
      </c>
    </row>
    <row r="497">
      <c r="A497" s="43">
        <f>IF(_calc!$E$499="","","Right to work follow-up – "&amp;IF(LEN(INDEX('Checks'!$A$4:$A$503,_calc!$E$499))=0,"",INDEX('Checks'!$A$4:$A$503,_calc!$E$499)))</f>
        <v/>
      </c>
      <c r="B497" s="43">
        <f>IF(_calc!$E$499="","",IF(ISNUMBER(INDEX('Checks'!$H$4:$H$503,_calc!$E$499)),TEXT(INDEX('Checks'!$H$4:$H$503,_calc!$E$499),"yyyy-mm-dd"),""))</f>
        <v/>
      </c>
      <c r="C497" s="43">
        <f>IF(_calc!$E$499="","","Right to work")</f>
        <v/>
      </c>
      <c r="D497" s="43">
        <f>IF(_calc!$E$499="","",IF(ISNUMBER(INDEX('Checks'!$F$4:$F$503,_calc!$E$499)),TEXT(INDEX('Checks'!$F$4:$F$503,_calc!$E$499),"yyyy-mm-dd"),""))</f>
        <v/>
      </c>
      <c r="E497" s="43">
        <f>IF(_calc!$E$499="","","High")</f>
        <v/>
      </c>
      <c r="F497" s="43">
        <f>IF(_calc!$E$499="","",TRIM(IF(LEN(IF(LEN(INDEX('Checks'!$B$4:$B$503,_calc!$E$499))=0,"",INDEX('Checks'!$B$4:$B$503,_calc!$E$499)))=0,"","Role: "&amp;IF(LEN(INDEX('Checks'!$B$4:$B$503,_calc!$E$499))=0,"",INDEX('Checks'!$B$4:$B$503,_calc!$E$499))&amp;". ")&amp;IF(LEN(IF(LEN(INDEX('Checks'!$D$4:$D$503,_calc!$E$499))=0,"",INDEX('Checks'!$D$4:$D$503,_calc!$E$499)))=0,"","Check type: "&amp;IF(LEN(INDEX('Checks'!$D$4:$D$503,_calc!$E$499))=0,"",INDEX('Checks'!$D$4:$D$503,_calc!$E$499))&amp;". ")&amp;IF(LEN(IF(LEN(INDEX('Checks'!$E$4:$E$503,_calc!$E$499))=0,"",INDEX('Checks'!$E$4:$E$503,_calc!$E$499)))=0,"","Evidence: "&amp;IF(LEN(INDEX('Checks'!$E$4:$E$503,_calc!$E$499))=0,"",INDEX('Checks'!$E$4:$E$503,_calc!$E$499))&amp;". ")&amp;IF(LEN(IF(LEN(INDEX('Checks'!$G$4:$G$503,_calc!$E$499))=0,"",INDEX('Checks'!$G$4:$G$503,_calc!$E$499)))=0,"","Checked by: "&amp;IF(LEN(INDEX('Checks'!$G$4:$G$503,_calc!$E$499))=0,"",INDEX('Checks'!$G$4:$G$503,_calc!$E$499))&amp;". ")&amp;IF(LEN(IF(LEN(INDEX('Checks'!$Q$4:$Q$503,_calc!$E$499))=0,"",INDEX('Checks'!$Q$4:$Q$503,_calc!$E$499)))=0,"",IF(LEN(INDEX('Checks'!$Q$4:$Q$503,_calc!$E$499))=0,"",INDEX('Checks'!$Q$4:$Q$503,_calc!$E$499)))))</f>
        <v/>
      </c>
      <c r="G497" s="43">
        <f>IF(_calc!$E$499="","",IF(LEN(INDEX('Checks'!$P$4:$P$503,_calc!$E$499))=0,"",INDEX('Checks'!$P$4:$P$503,_calc!$E$499)))</f>
        <v/>
      </c>
      <c r="K497" s="43">
        <f>IF(_calc!$E$499="","",IF(LEN(INDEX('Checks'!$O$4:$O$503,_calc!$E$499))=0,"",INDEX('Checks'!$O$4:$O$503,_calc!$E$499)))</f>
        <v/>
      </c>
    </row>
    <row r="498">
      <c r="A498" s="43">
        <f>IF(_calc!$E$500="","","Right to work follow-up – "&amp;IF(LEN(INDEX('Checks'!$A$4:$A$503,_calc!$E$500))=0,"",INDEX('Checks'!$A$4:$A$503,_calc!$E$500)))</f>
        <v/>
      </c>
      <c r="B498" s="43">
        <f>IF(_calc!$E$500="","",IF(ISNUMBER(INDEX('Checks'!$H$4:$H$503,_calc!$E$500)),TEXT(INDEX('Checks'!$H$4:$H$503,_calc!$E$500),"yyyy-mm-dd"),""))</f>
        <v/>
      </c>
      <c r="C498" s="43">
        <f>IF(_calc!$E$500="","","Right to work")</f>
        <v/>
      </c>
      <c r="D498" s="43">
        <f>IF(_calc!$E$500="","",IF(ISNUMBER(INDEX('Checks'!$F$4:$F$503,_calc!$E$500)),TEXT(INDEX('Checks'!$F$4:$F$503,_calc!$E$500),"yyyy-mm-dd"),""))</f>
        <v/>
      </c>
      <c r="E498" s="43">
        <f>IF(_calc!$E$500="","","High")</f>
        <v/>
      </c>
      <c r="F498" s="43">
        <f>IF(_calc!$E$500="","",TRIM(IF(LEN(IF(LEN(INDEX('Checks'!$B$4:$B$503,_calc!$E$500))=0,"",INDEX('Checks'!$B$4:$B$503,_calc!$E$500)))=0,"","Role: "&amp;IF(LEN(INDEX('Checks'!$B$4:$B$503,_calc!$E$500))=0,"",INDEX('Checks'!$B$4:$B$503,_calc!$E$500))&amp;". ")&amp;IF(LEN(IF(LEN(INDEX('Checks'!$D$4:$D$503,_calc!$E$500))=0,"",INDEX('Checks'!$D$4:$D$503,_calc!$E$500)))=0,"","Check type: "&amp;IF(LEN(INDEX('Checks'!$D$4:$D$503,_calc!$E$500))=0,"",INDEX('Checks'!$D$4:$D$503,_calc!$E$500))&amp;". ")&amp;IF(LEN(IF(LEN(INDEX('Checks'!$E$4:$E$503,_calc!$E$500))=0,"",INDEX('Checks'!$E$4:$E$503,_calc!$E$500)))=0,"","Evidence: "&amp;IF(LEN(INDEX('Checks'!$E$4:$E$503,_calc!$E$500))=0,"",INDEX('Checks'!$E$4:$E$503,_calc!$E$500))&amp;". ")&amp;IF(LEN(IF(LEN(INDEX('Checks'!$G$4:$G$503,_calc!$E$500))=0,"",INDEX('Checks'!$G$4:$G$503,_calc!$E$500)))=0,"","Checked by: "&amp;IF(LEN(INDEX('Checks'!$G$4:$G$503,_calc!$E$500))=0,"",INDEX('Checks'!$G$4:$G$503,_calc!$E$500))&amp;". ")&amp;IF(LEN(IF(LEN(INDEX('Checks'!$Q$4:$Q$503,_calc!$E$500))=0,"",INDEX('Checks'!$Q$4:$Q$503,_calc!$E$500)))=0,"",IF(LEN(INDEX('Checks'!$Q$4:$Q$503,_calc!$E$500))=0,"",INDEX('Checks'!$Q$4:$Q$503,_calc!$E$500)))))</f>
        <v/>
      </c>
      <c r="G498" s="43">
        <f>IF(_calc!$E$500="","",IF(LEN(INDEX('Checks'!$P$4:$P$503,_calc!$E$500))=0,"",INDEX('Checks'!$P$4:$P$503,_calc!$E$500)))</f>
        <v/>
      </c>
      <c r="K498" s="43">
        <f>IF(_calc!$E$500="","",IF(LEN(INDEX('Checks'!$O$4:$O$503,_calc!$E$500))=0,"",INDEX('Checks'!$O$4:$O$503,_calc!$E$500)))</f>
        <v/>
      </c>
    </row>
    <row r="499">
      <c r="A499" s="43">
        <f>IF(_calc!$E$501="","","Right to work follow-up – "&amp;IF(LEN(INDEX('Checks'!$A$4:$A$503,_calc!$E$501))=0,"",INDEX('Checks'!$A$4:$A$503,_calc!$E$501)))</f>
        <v/>
      </c>
      <c r="B499" s="43">
        <f>IF(_calc!$E$501="","",IF(ISNUMBER(INDEX('Checks'!$H$4:$H$503,_calc!$E$501)),TEXT(INDEX('Checks'!$H$4:$H$503,_calc!$E$501),"yyyy-mm-dd"),""))</f>
        <v/>
      </c>
      <c r="C499" s="43">
        <f>IF(_calc!$E$501="","","Right to work")</f>
        <v/>
      </c>
      <c r="D499" s="43">
        <f>IF(_calc!$E$501="","",IF(ISNUMBER(INDEX('Checks'!$F$4:$F$503,_calc!$E$501)),TEXT(INDEX('Checks'!$F$4:$F$503,_calc!$E$501),"yyyy-mm-dd"),""))</f>
        <v/>
      </c>
      <c r="E499" s="43">
        <f>IF(_calc!$E$501="","","High")</f>
        <v/>
      </c>
      <c r="F499" s="43">
        <f>IF(_calc!$E$501="","",TRIM(IF(LEN(IF(LEN(INDEX('Checks'!$B$4:$B$503,_calc!$E$501))=0,"",INDEX('Checks'!$B$4:$B$503,_calc!$E$501)))=0,"","Role: "&amp;IF(LEN(INDEX('Checks'!$B$4:$B$503,_calc!$E$501))=0,"",INDEX('Checks'!$B$4:$B$503,_calc!$E$501))&amp;". ")&amp;IF(LEN(IF(LEN(INDEX('Checks'!$D$4:$D$503,_calc!$E$501))=0,"",INDEX('Checks'!$D$4:$D$503,_calc!$E$501)))=0,"","Check type: "&amp;IF(LEN(INDEX('Checks'!$D$4:$D$503,_calc!$E$501))=0,"",INDEX('Checks'!$D$4:$D$503,_calc!$E$501))&amp;". ")&amp;IF(LEN(IF(LEN(INDEX('Checks'!$E$4:$E$503,_calc!$E$501))=0,"",INDEX('Checks'!$E$4:$E$503,_calc!$E$501)))=0,"","Evidence: "&amp;IF(LEN(INDEX('Checks'!$E$4:$E$503,_calc!$E$501))=0,"",INDEX('Checks'!$E$4:$E$503,_calc!$E$501))&amp;". ")&amp;IF(LEN(IF(LEN(INDEX('Checks'!$G$4:$G$503,_calc!$E$501))=0,"",INDEX('Checks'!$G$4:$G$503,_calc!$E$501)))=0,"","Checked by: "&amp;IF(LEN(INDEX('Checks'!$G$4:$G$503,_calc!$E$501))=0,"",INDEX('Checks'!$G$4:$G$503,_calc!$E$501))&amp;". ")&amp;IF(LEN(IF(LEN(INDEX('Checks'!$Q$4:$Q$503,_calc!$E$501))=0,"",INDEX('Checks'!$Q$4:$Q$503,_calc!$E$501)))=0,"",IF(LEN(INDEX('Checks'!$Q$4:$Q$503,_calc!$E$501))=0,"",INDEX('Checks'!$Q$4:$Q$503,_calc!$E$501)))))</f>
        <v/>
      </c>
      <c r="G499" s="43">
        <f>IF(_calc!$E$501="","",IF(LEN(INDEX('Checks'!$P$4:$P$503,_calc!$E$501))=0,"",INDEX('Checks'!$P$4:$P$503,_calc!$E$501)))</f>
        <v/>
      </c>
      <c r="K499" s="43">
        <f>IF(_calc!$E$501="","",IF(LEN(INDEX('Checks'!$O$4:$O$503,_calc!$E$501))=0,"",INDEX('Checks'!$O$4:$O$503,_calc!$E$501)))</f>
        <v/>
      </c>
    </row>
    <row r="500">
      <c r="A500" s="43">
        <f>IF(_calc!$E$502="","","Right to work follow-up – "&amp;IF(LEN(INDEX('Checks'!$A$4:$A$503,_calc!$E$502))=0,"",INDEX('Checks'!$A$4:$A$503,_calc!$E$502)))</f>
        <v/>
      </c>
      <c r="B500" s="43">
        <f>IF(_calc!$E$502="","",IF(ISNUMBER(INDEX('Checks'!$H$4:$H$503,_calc!$E$502)),TEXT(INDEX('Checks'!$H$4:$H$503,_calc!$E$502),"yyyy-mm-dd"),""))</f>
        <v/>
      </c>
      <c r="C500" s="43">
        <f>IF(_calc!$E$502="","","Right to work")</f>
        <v/>
      </c>
      <c r="D500" s="43">
        <f>IF(_calc!$E$502="","",IF(ISNUMBER(INDEX('Checks'!$F$4:$F$503,_calc!$E$502)),TEXT(INDEX('Checks'!$F$4:$F$503,_calc!$E$502),"yyyy-mm-dd"),""))</f>
        <v/>
      </c>
      <c r="E500" s="43">
        <f>IF(_calc!$E$502="","","High")</f>
        <v/>
      </c>
      <c r="F500" s="43">
        <f>IF(_calc!$E$502="","",TRIM(IF(LEN(IF(LEN(INDEX('Checks'!$B$4:$B$503,_calc!$E$502))=0,"",INDEX('Checks'!$B$4:$B$503,_calc!$E$502)))=0,"","Role: "&amp;IF(LEN(INDEX('Checks'!$B$4:$B$503,_calc!$E$502))=0,"",INDEX('Checks'!$B$4:$B$503,_calc!$E$502))&amp;". ")&amp;IF(LEN(IF(LEN(INDEX('Checks'!$D$4:$D$503,_calc!$E$502))=0,"",INDEX('Checks'!$D$4:$D$503,_calc!$E$502)))=0,"","Check type: "&amp;IF(LEN(INDEX('Checks'!$D$4:$D$503,_calc!$E$502))=0,"",INDEX('Checks'!$D$4:$D$503,_calc!$E$502))&amp;". ")&amp;IF(LEN(IF(LEN(INDEX('Checks'!$E$4:$E$503,_calc!$E$502))=0,"",INDEX('Checks'!$E$4:$E$503,_calc!$E$502)))=0,"","Evidence: "&amp;IF(LEN(INDEX('Checks'!$E$4:$E$503,_calc!$E$502))=0,"",INDEX('Checks'!$E$4:$E$503,_calc!$E$502))&amp;". ")&amp;IF(LEN(IF(LEN(INDEX('Checks'!$G$4:$G$503,_calc!$E$502))=0,"",INDEX('Checks'!$G$4:$G$503,_calc!$E$502)))=0,"","Checked by: "&amp;IF(LEN(INDEX('Checks'!$G$4:$G$503,_calc!$E$502))=0,"",INDEX('Checks'!$G$4:$G$503,_calc!$E$502))&amp;". ")&amp;IF(LEN(IF(LEN(INDEX('Checks'!$Q$4:$Q$503,_calc!$E$502))=0,"",INDEX('Checks'!$Q$4:$Q$503,_calc!$E$502)))=0,"",IF(LEN(INDEX('Checks'!$Q$4:$Q$503,_calc!$E$502))=0,"",INDEX('Checks'!$Q$4:$Q$503,_calc!$E$502)))))</f>
        <v/>
      </c>
      <c r="G500" s="43">
        <f>IF(_calc!$E$502="","",IF(LEN(INDEX('Checks'!$P$4:$P$503,_calc!$E$502))=0,"",INDEX('Checks'!$P$4:$P$503,_calc!$E$502)))</f>
        <v/>
      </c>
      <c r="K500" s="43">
        <f>IF(_calc!$E$502="","",IF(LEN(INDEX('Checks'!$O$4:$O$503,_calc!$E$502))=0,"",INDEX('Checks'!$O$4:$O$503,_calc!$E$502)))</f>
        <v/>
      </c>
    </row>
    <row r="501">
      <c r="A501" s="43">
        <f>IF(_calc!$E$503="","","Right to work follow-up – "&amp;IF(LEN(INDEX('Checks'!$A$4:$A$503,_calc!$E$503))=0,"",INDEX('Checks'!$A$4:$A$503,_calc!$E$503)))</f>
        <v/>
      </c>
      <c r="B501" s="43">
        <f>IF(_calc!$E$503="","",IF(ISNUMBER(INDEX('Checks'!$H$4:$H$503,_calc!$E$503)),TEXT(INDEX('Checks'!$H$4:$H$503,_calc!$E$503),"yyyy-mm-dd"),""))</f>
        <v/>
      </c>
      <c r="C501" s="43">
        <f>IF(_calc!$E$503="","","Right to work")</f>
        <v/>
      </c>
      <c r="D501" s="43">
        <f>IF(_calc!$E$503="","",IF(ISNUMBER(INDEX('Checks'!$F$4:$F$503,_calc!$E$503)),TEXT(INDEX('Checks'!$F$4:$F$503,_calc!$E$503),"yyyy-mm-dd"),""))</f>
        <v/>
      </c>
      <c r="E501" s="43">
        <f>IF(_calc!$E$503="","","High")</f>
        <v/>
      </c>
      <c r="F501" s="43">
        <f>IF(_calc!$E$503="","",TRIM(IF(LEN(IF(LEN(INDEX('Checks'!$B$4:$B$503,_calc!$E$503))=0,"",INDEX('Checks'!$B$4:$B$503,_calc!$E$503)))=0,"","Role: "&amp;IF(LEN(INDEX('Checks'!$B$4:$B$503,_calc!$E$503))=0,"",INDEX('Checks'!$B$4:$B$503,_calc!$E$503))&amp;". ")&amp;IF(LEN(IF(LEN(INDEX('Checks'!$D$4:$D$503,_calc!$E$503))=0,"",INDEX('Checks'!$D$4:$D$503,_calc!$E$503)))=0,"","Check type: "&amp;IF(LEN(INDEX('Checks'!$D$4:$D$503,_calc!$E$503))=0,"",INDEX('Checks'!$D$4:$D$503,_calc!$E$503))&amp;". ")&amp;IF(LEN(IF(LEN(INDEX('Checks'!$E$4:$E$503,_calc!$E$503))=0,"",INDEX('Checks'!$E$4:$E$503,_calc!$E$503)))=0,"","Evidence: "&amp;IF(LEN(INDEX('Checks'!$E$4:$E$503,_calc!$E$503))=0,"",INDEX('Checks'!$E$4:$E$503,_calc!$E$503))&amp;". ")&amp;IF(LEN(IF(LEN(INDEX('Checks'!$G$4:$G$503,_calc!$E$503))=0,"",INDEX('Checks'!$G$4:$G$503,_calc!$E$503)))=0,"","Checked by: "&amp;IF(LEN(INDEX('Checks'!$G$4:$G$503,_calc!$E$503))=0,"",INDEX('Checks'!$G$4:$G$503,_calc!$E$503))&amp;". ")&amp;IF(LEN(IF(LEN(INDEX('Checks'!$Q$4:$Q$503,_calc!$E$503))=0,"",INDEX('Checks'!$Q$4:$Q$503,_calc!$E$503)))=0,"",IF(LEN(INDEX('Checks'!$Q$4:$Q$503,_calc!$E$503))=0,"",INDEX('Checks'!$Q$4:$Q$503,_calc!$E$503)))))</f>
        <v/>
      </c>
      <c r="G501" s="43">
        <f>IF(_calc!$E$503="","",IF(LEN(INDEX('Checks'!$P$4:$P$503,_calc!$E$503))=0,"",INDEX('Checks'!$P$4:$P$503,_calc!$E$503)))</f>
        <v/>
      </c>
      <c r="K501" s="43">
        <f>IF(_calc!$E$503="","",IF(LEN(INDEX('Checks'!$O$4:$O$503,_calc!$E$503))=0,"",INDEX('Checks'!$O$4:$O$503,_calc!$E$503)))</f>
        <v/>
      </c>
    </row>
  </sheetData>
  <printOptions horizontalCentered="0"/>
  <pageMargins left="0.4" right="0.4" top="0.5" bottom="0.6" header="0.5" footer="0.5"/>
  <pageSetup orientation="landscape" paperSize="9" fitToHeight="0" fitToWidth="1"/>
  <headerFooter>
    <oddHeader/>
    <oddFooter>&amp;C&amp;"Arial"&amp;8 expiryedge.com · 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showGridLines="0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3" max="3"/>
    <col width="50" customWidth="1" min="5" max="5"/>
  </cols>
  <sheetData>
    <row r="1">
      <c r="A1" s="13" t="inlineStr">
        <is>
          <t>Check type</t>
        </is>
      </c>
      <c r="C1" s="13" t="inlineStr">
        <is>
          <t>Priority</t>
        </is>
      </c>
      <c r="E1" s="44" t="inlineStr">
        <is>
          <t>About these lists</t>
        </is>
      </c>
    </row>
    <row r="2">
      <c r="A2" s="43" t="inlineStr">
        <is>
          <t>Manual document check</t>
        </is>
      </c>
      <c r="C2" s="43" t="inlineStr">
        <is>
          <t>Low</t>
        </is>
      </c>
      <c r="E2" s="45" t="inlineStr">
        <is>
          <t>These feed the dropdowns. To add an option, insert a row inside a list (above its last item) so the dropdown range grows with it. Priority must stay Low, Medium or High: ExpiryEdge imports those three values.</t>
        </is>
      </c>
    </row>
    <row r="3">
      <c r="A3" s="43" t="inlineStr">
        <is>
          <t>Home Office online check (share code)</t>
        </is>
      </c>
      <c r="C3" s="43" t="inlineStr">
        <is>
          <t>Medium</t>
        </is>
      </c>
    </row>
    <row r="4">
      <c r="A4" s="43" t="inlineStr">
        <is>
          <t>Digital verification service (DVSP)</t>
        </is>
      </c>
      <c r="C4" s="43" t="inlineStr">
        <is>
          <t>High</t>
        </is>
      </c>
    </row>
  </sheetData>
  <printOptions horizontalCentered="0"/>
  <pageMargins left="0.4" right="0.4" top="0.5" bottom="0.6" header="0.5" footer="0.5"/>
  <pageSetup orientation="portrait" paperSize="9" fitToHeight="0" fitToWidth="1"/>
  <headerFooter>
    <oddHeader/>
    <oddFooter>&amp;C&amp;"Arial"&amp;8 expiryedge.com · 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3:E503"/>
  <sheetViews>
    <sheetView tabSelected="0" workbookViewId="0">
      <selection activeCell="A1" sqref="A1"/>
    </sheetView>
  </sheetViews>
  <sheetFormatPr baseColWidth="8" defaultRowHeight="15"/>
  <sheetData>
    <row r="3">
      <c r="A3" t="inlineStr">
        <is>
          <t>next_key</t>
        </is>
      </c>
      <c r="B3" t="inlineStr">
        <is>
          <t>import_seq</t>
        </is>
      </c>
      <c r="C3" t="inlineStr">
        <is>
          <t>kth_key</t>
        </is>
      </c>
      <c r="D3" t="inlineStr">
        <is>
          <t>kth_pos</t>
        </is>
      </c>
      <c r="E3" t="inlineStr">
        <is>
          <t>import_pos</t>
        </is>
      </c>
    </row>
    <row r="4">
      <c r="A4">
        <f>IF(AND(LEN('Checks'!A4)&gt;0,ISNUMBER('Checks'!J4)),'Checks'!J4+1/100000,"")</f>
        <v/>
      </c>
      <c r="B4">
        <f>IF(AND(LEN('Checks'!A4)&gt;0,ISNUMBER('Checks'!H4)),MAX($B$3:B3)+1,"")</f>
        <v/>
      </c>
      <c r="C4">
        <f>IFERROR(SMALL($A$4:$A$503,1),"")</f>
        <v/>
      </c>
      <c r="D4">
        <f>IF(C4="","",MATCH(C4,$A$4:$A$503,0))</f>
        <v/>
      </c>
      <c r="E4">
        <f>IFERROR(MATCH(1,$B$4:$B$503,0),"")</f>
        <v/>
      </c>
    </row>
    <row r="5">
      <c r="A5">
        <f>IF(AND(LEN('Checks'!A5)&gt;0,ISNUMBER('Checks'!J5)),'Checks'!J5+2/100000,"")</f>
        <v/>
      </c>
      <c r="B5">
        <f>IF(AND(LEN('Checks'!A5)&gt;0,ISNUMBER('Checks'!H5)),MAX($B$3:B4)+1,"")</f>
        <v/>
      </c>
      <c r="C5">
        <f>IFERROR(SMALL($A$4:$A$503,2),"")</f>
        <v/>
      </c>
      <c r="D5">
        <f>IF(C5="","",MATCH(C5,$A$4:$A$503,0))</f>
        <v/>
      </c>
      <c r="E5">
        <f>IFERROR(MATCH(2,$B$4:$B$503,0),"")</f>
        <v/>
      </c>
    </row>
    <row r="6">
      <c r="A6">
        <f>IF(AND(LEN('Checks'!A6)&gt;0,ISNUMBER('Checks'!J6)),'Checks'!J6+3/100000,"")</f>
        <v/>
      </c>
      <c r="B6">
        <f>IF(AND(LEN('Checks'!A6)&gt;0,ISNUMBER('Checks'!H6)),MAX($B$3:B5)+1,"")</f>
        <v/>
      </c>
      <c r="C6">
        <f>IFERROR(SMALL($A$4:$A$503,3),"")</f>
        <v/>
      </c>
      <c r="D6">
        <f>IF(C6="","",MATCH(C6,$A$4:$A$503,0))</f>
        <v/>
      </c>
      <c r="E6">
        <f>IFERROR(MATCH(3,$B$4:$B$503,0),"")</f>
        <v/>
      </c>
    </row>
    <row r="7">
      <c r="A7">
        <f>IF(AND(LEN('Checks'!A7)&gt;0,ISNUMBER('Checks'!J7)),'Checks'!J7+4/100000,"")</f>
        <v/>
      </c>
      <c r="B7">
        <f>IF(AND(LEN('Checks'!A7)&gt;0,ISNUMBER('Checks'!H7)),MAX($B$3:B6)+1,"")</f>
        <v/>
      </c>
      <c r="C7">
        <f>IFERROR(SMALL($A$4:$A$503,4),"")</f>
        <v/>
      </c>
      <c r="D7">
        <f>IF(C7="","",MATCH(C7,$A$4:$A$503,0))</f>
        <v/>
      </c>
      <c r="E7">
        <f>IFERROR(MATCH(4,$B$4:$B$503,0),"")</f>
        <v/>
      </c>
    </row>
    <row r="8">
      <c r="A8">
        <f>IF(AND(LEN('Checks'!A8)&gt;0,ISNUMBER('Checks'!J8)),'Checks'!J8+5/100000,"")</f>
        <v/>
      </c>
      <c r="B8">
        <f>IF(AND(LEN('Checks'!A8)&gt;0,ISNUMBER('Checks'!H8)),MAX($B$3:B7)+1,"")</f>
        <v/>
      </c>
      <c r="C8">
        <f>IFERROR(SMALL($A$4:$A$503,5),"")</f>
        <v/>
      </c>
      <c r="D8">
        <f>IF(C8="","",MATCH(C8,$A$4:$A$503,0))</f>
        <v/>
      </c>
      <c r="E8">
        <f>IFERROR(MATCH(5,$B$4:$B$503,0),"")</f>
        <v/>
      </c>
    </row>
    <row r="9">
      <c r="A9">
        <f>IF(AND(LEN('Checks'!A9)&gt;0,ISNUMBER('Checks'!J9)),'Checks'!J9+6/100000,"")</f>
        <v/>
      </c>
      <c r="B9">
        <f>IF(AND(LEN('Checks'!A9)&gt;0,ISNUMBER('Checks'!H9)),MAX($B$3:B8)+1,"")</f>
        <v/>
      </c>
      <c r="C9">
        <f>IFERROR(SMALL($A$4:$A$503,6),"")</f>
        <v/>
      </c>
      <c r="D9">
        <f>IF(C9="","",MATCH(C9,$A$4:$A$503,0))</f>
        <v/>
      </c>
      <c r="E9">
        <f>IFERROR(MATCH(6,$B$4:$B$503,0),"")</f>
        <v/>
      </c>
    </row>
    <row r="10">
      <c r="A10">
        <f>IF(AND(LEN('Checks'!A10)&gt;0,ISNUMBER('Checks'!J10)),'Checks'!J10+7/100000,"")</f>
        <v/>
      </c>
      <c r="B10">
        <f>IF(AND(LEN('Checks'!A10)&gt;0,ISNUMBER('Checks'!H10)),MAX($B$3:B9)+1,"")</f>
        <v/>
      </c>
      <c r="C10">
        <f>IFERROR(SMALL($A$4:$A$503,7),"")</f>
        <v/>
      </c>
      <c r="D10">
        <f>IF(C10="","",MATCH(C10,$A$4:$A$503,0))</f>
        <v/>
      </c>
      <c r="E10">
        <f>IFERROR(MATCH(7,$B$4:$B$503,0),"")</f>
        <v/>
      </c>
    </row>
    <row r="11">
      <c r="A11">
        <f>IF(AND(LEN('Checks'!A11)&gt;0,ISNUMBER('Checks'!J11)),'Checks'!J11+8/100000,"")</f>
        <v/>
      </c>
      <c r="B11">
        <f>IF(AND(LEN('Checks'!A11)&gt;0,ISNUMBER('Checks'!H11)),MAX($B$3:B10)+1,"")</f>
        <v/>
      </c>
      <c r="C11">
        <f>IFERROR(SMALL($A$4:$A$503,8),"")</f>
        <v/>
      </c>
      <c r="D11">
        <f>IF(C11="","",MATCH(C11,$A$4:$A$503,0))</f>
        <v/>
      </c>
      <c r="E11">
        <f>IFERROR(MATCH(8,$B$4:$B$503,0),"")</f>
        <v/>
      </c>
    </row>
    <row r="12">
      <c r="A12">
        <f>IF(AND(LEN('Checks'!A12)&gt;0,ISNUMBER('Checks'!J12)),'Checks'!J12+9/100000,"")</f>
        <v/>
      </c>
      <c r="B12">
        <f>IF(AND(LEN('Checks'!A12)&gt;0,ISNUMBER('Checks'!H12)),MAX($B$3:B11)+1,"")</f>
        <v/>
      </c>
      <c r="C12">
        <f>IFERROR(SMALL($A$4:$A$503,9),"")</f>
        <v/>
      </c>
      <c r="D12">
        <f>IF(C12="","",MATCH(C12,$A$4:$A$503,0))</f>
        <v/>
      </c>
      <c r="E12">
        <f>IFERROR(MATCH(9,$B$4:$B$503,0),"")</f>
        <v/>
      </c>
    </row>
    <row r="13">
      <c r="A13">
        <f>IF(AND(LEN('Checks'!A13)&gt;0,ISNUMBER('Checks'!J13)),'Checks'!J13+10/100000,"")</f>
        <v/>
      </c>
      <c r="B13">
        <f>IF(AND(LEN('Checks'!A13)&gt;0,ISNUMBER('Checks'!H13)),MAX($B$3:B12)+1,"")</f>
        <v/>
      </c>
      <c r="C13">
        <f>IFERROR(SMALL($A$4:$A$503,10),"")</f>
        <v/>
      </c>
      <c r="D13">
        <f>IF(C13="","",MATCH(C13,$A$4:$A$503,0))</f>
        <v/>
      </c>
      <c r="E13">
        <f>IFERROR(MATCH(10,$B$4:$B$503,0),"")</f>
        <v/>
      </c>
    </row>
    <row r="14">
      <c r="A14">
        <f>IF(AND(LEN('Checks'!A14)&gt;0,ISNUMBER('Checks'!J14)),'Checks'!J14+11/100000,"")</f>
        <v/>
      </c>
      <c r="B14">
        <f>IF(AND(LEN('Checks'!A14)&gt;0,ISNUMBER('Checks'!H14)),MAX($B$3:B13)+1,"")</f>
        <v/>
      </c>
      <c r="E14">
        <f>IFERROR(MATCH(11,$B$4:$B$503,0),"")</f>
        <v/>
      </c>
    </row>
    <row r="15">
      <c r="A15">
        <f>IF(AND(LEN('Checks'!A15)&gt;0,ISNUMBER('Checks'!J15)),'Checks'!J15+12/100000,"")</f>
        <v/>
      </c>
      <c r="B15">
        <f>IF(AND(LEN('Checks'!A15)&gt;0,ISNUMBER('Checks'!H15)),MAX($B$3:B14)+1,"")</f>
        <v/>
      </c>
      <c r="E15">
        <f>IFERROR(MATCH(12,$B$4:$B$503,0),"")</f>
        <v/>
      </c>
    </row>
    <row r="16">
      <c r="A16">
        <f>IF(AND(LEN('Checks'!A16)&gt;0,ISNUMBER('Checks'!J16)),'Checks'!J16+13/100000,"")</f>
        <v/>
      </c>
      <c r="B16">
        <f>IF(AND(LEN('Checks'!A16)&gt;0,ISNUMBER('Checks'!H16)),MAX($B$3:B15)+1,"")</f>
        <v/>
      </c>
      <c r="E16">
        <f>IFERROR(MATCH(13,$B$4:$B$503,0),"")</f>
        <v/>
      </c>
    </row>
    <row r="17">
      <c r="A17">
        <f>IF(AND(LEN('Checks'!A17)&gt;0,ISNUMBER('Checks'!J17)),'Checks'!J17+14/100000,"")</f>
        <v/>
      </c>
      <c r="B17">
        <f>IF(AND(LEN('Checks'!A17)&gt;0,ISNUMBER('Checks'!H17)),MAX($B$3:B16)+1,"")</f>
        <v/>
      </c>
      <c r="E17">
        <f>IFERROR(MATCH(14,$B$4:$B$503,0),"")</f>
        <v/>
      </c>
    </row>
    <row r="18">
      <c r="A18">
        <f>IF(AND(LEN('Checks'!A18)&gt;0,ISNUMBER('Checks'!J18)),'Checks'!J18+15/100000,"")</f>
        <v/>
      </c>
      <c r="B18">
        <f>IF(AND(LEN('Checks'!A18)&gt;0,ISNUMBER('Checks'!H18)),MAX($B$3:B17)+1,"")</f>
        <v/>
      </c>
      <c r="E18">
        <f>IFERROR(MATCH(15,$B$4:$B$503,0),"")</f>
        <v/>
      </c>
    </row>
    <row r="19">
      <c r="A19">
        <f>IF(AND(LEN('Checks'!A19)&gt;0,ISNUMBER('Checks'!J19)),'Checks'!J19+16/100000,"")</f>
        <v/>
      </c>
      <c r="B19">
        <f>IF(AND(LEN('Checks'!A19)&gt;0,ISNUMBER('Checks'!H19)),MAX($B$3:B18)+1,"")</f>
        <v/>
      </c>
      <c r="E19">
        <f>IFERROR(MATCH(16,$B$4:$B$503,0),"")</f>
        <v/>
      </c>
    </row>
    <row r="20">
      <c r="A20">
        <f>IF(AND(LEN('Checks'!A20)&gt;0,ISNUMBER('Checks'!J20)),'Checks'!J20+17/100000,"")</f>
        <v/>
      </c>
      <c r="B20">
        <f>IF(AND(LEN('Checks'!A20)&gt;0,ISNUMBER('Checks'!H20)),MAX($B$3:B19)+1,"")</f>
        <v/>
      </c>
      <c r="E20">
        <f>IFERROR(MATCH(17,$B$4:$B$503,0),"")</f>
        <v/>
      </c>
    </row>
    <row r="21">
      <c r="A21">
        <f>IF(AND(LEN('Checks'!A21)&gt;0,ISNUMBER('Checks'!J21)),'Checks'!J21+18/100000,"")</f>
        <v/>
      </c>
      <c r="B21">
        <f>IF(AND(LEN('Checks'!A21)&gt;0,ISNUMBER('Checks'!H21)),MAX($B$3:B20)+1,"")</f>
        <v/>
      </c>
      <c r="E21">
        <f>IFERROR(MATCH(18,$B$4:$B$503,0),"")</f>
        <v/>
      </c>
    </row>
    <row r="22">
      <c r="A22">
        <f>IF(AND(LEN('Checks'!A22)&gt;0,ISNUMBER('Checks'!J22)),'Checks'!J22+19/100000,"")</f>
        <v/>
      </c>
      <c r="B22">
        <f>IF(AND(LEN('Checks'!A22)&gt;0,ISNUMBER('Checks'!H22)),MAX($B$3:B21)+1,"")</f>
        <v/>
      </c>
      <c r="E22">
        <f>IFERROR(MATCH(19,$B$4:$B$503,0),"")</f>
        <v/>
      </c>
    </row>
    <row r="23">
      <c r="A23">
        <f>IF(AND(LEN('Checks'!A23)&gt;0,ISNUMBER('Checks'!J23)),'Checks'!J23+20/100000,"")</f>
        <v/>
      </c>
      <c r="B23">
        <f>IF(AND(LEN('Checks'!A23)&gt;0,ISNUMBER('Checks'!H23)),MAX($B$3:B22)+1,"")</f>
        <v/>
      </c>
      <c r="E23">
        <f>IFERROR(MATCH(20,$B$4:$B$503,0),"")</f>
        <v/>
      </c>
    </row>
    <row r="24">
      <c r="A24">
        <f>IF(AND(LEN('Checks'!A24)&gt;0,ISNUMBER('Checks'!J24)),'Checks'!J24+21/100000,"")</f>
        <v/>
      </c>
      <c r="B24">
        <f>IF(AND(LEN('Checks'!A24)&gt;0,ISNUMBER('Checks'!H24)),MAX($B$3:B23)+1,"")</f>
        <v/>
      </c>
      <c r="E24">
        <f>IFERROR(MATCH(21,$B$4:$B$503,0),"")</f>
        <v/>
      </c>
    </row>
    <row r="25">
      <c r="A25">
        <f>IF(AND(LEN('Checks'!A25)&gt;0,ISNUMBER('Checks'!J25)),'Checks'!J25+22/100000,"")</f>
        <v/>
      </c>
      <c r="B25">
        <f>IF(AND(LEN('Checks'!A25)&gt;0,ISNUMBER('Checks'!H25)),MAX($B$3:B24)+1,"")</f>
        <v/>
      </c>
      <c r="E25">
        <f>IFERROR(MATCH(22,$B$4:$B$503,0),"")</f>
        <v/>
      </c>
    </row>
    <row r="26">
      <c r="A26">
        <f>IF(AND(LEN('Checks'!A26)&gt;0,ISNUMBER('Checks'!J26)),'Checks'!J26+23/100000,"")</f>
        <v/>
      </c>
      <c r="B26">
        <f>IF(AND(LEN('Checks'!A26)&gt;0,ISNUMBER('Checks'!H26)),MAX($B$3:B25)+1,"")</f>
        <v/>
      </c>
      <c r="E26">
        <f>IFERROR(MATCH(23,$B$4:$B$503,0),"")</f>
        <v/>
      </c>
    </row>
    <row r="27">
      <c r="A27">
        <f>IF(AND(LEN('Checks'!A27)&gt;0,ISNUMBER('Checks'!J27)),'Checks'!J27+24/100000,"")</f>
        <v/>
      </c>
      <c r="B27">
        <f>IF(AND(LEN('Checks'!A27)&gt;0,ISNUMBER('Checks'!H27)),MAX($B$3:B26)+1,"")</f>
        <v/>
      </c>
      <c r="E27">
        <f>IFERROR(MATCH(24,$B$4:$B$503,0),"")</f>
        <v/>
      </c>
    </row>
    <row r="28">
      <c r="A28">
        <f>IF(AND(LEN('Checks'!A28)&gt;0,ISNUMBER('Checks'!J28)),'Checks'!J28+25/100000,"")</f>
        <v/>
      </c>
      <c r="B28">
        <f>IF(AND(LEN('Checks'!A28)&gt;0,ISNUMBER('Checks'!H28)),MAX($B$3:B27)+1,"")</f>
        <v/>
      </c>
      <c r="E28">
        <f>IFERROR(MATCH(25,$B$4:$B$503,0),"")</f>
        <v/>
      </c>
    </row>
    <row r="29">
      <c r="A29">
        <f>IF(AND(LEN('Checks'!A29)&gt;0,ISNUMBER('Checks'!J29)),'Checks'!J29+26/100000,"")</f>
        <v/>
      </c>
      <c r="B29">
        <f>IF(AND(LEN('Checks'!A29)&gt;0,ISNUMBER('Checks'!H29)),MAX($B$3:B28)+1,"")</f>
        <v/>
      </c>
      <c r="E29">
        <f>IFERROR(MATCH(26,$B$4:$B$503,0),"")</f>
        <v/>
      </c>
    </row>
    <row r="30">
      <c r="A30">
        <f>IF(AND(LEN('Checks'!A30)&gt;0,ISNUMBER('Checks'!J30)),'Checks'!J30+27/100000,"")</f>
        <v/>
      </c>
      <c r="B30">
        <f>IF(AND(LEN('Checks'!A30)&gt;0,ISNUMBER('Checks'!H30)),MAX($B$3:B29)+1,"")</f>
        <v/>
      </c>
      <c r="E30">
        <f>IFERROR(MATCH(27,$B$4:$B$503,0),"")</f>
        <v/>
      </c>
    </row>
    <row r="31">
      <c r="A31">
        <f>IF(AND(LEN('Checks'!A31)&gt;0,ISNUMBER('Checks'!J31)),'Checks'!J31+28/100000,"")</f>
        <v/>
      </c>
      <c r="B31">
        <f>IF(AND(LEN('Checks'!A31)&gt;0,ISNUMBER('Checks'!H31)),MAX($B$3:B30)+1,"")</f>
        <v/>
      </c>
      <c r="E31">
        <f>IFERROR(MATCH(28,$B$4:$B$503,0),"")</f>
        <v/>
      </c>
    </row>
    <row r="32">
      <c r="A32">
        <f>IF(AND(LEN('Checks'!A32)&gt;0,ISNUMBER('Checks'!J32)),'Checks'!J32+29/100000,"")</f>
        <v/>
      </c>
      <c r="B32">
        <f>IF(AND(LEN('Checks'!A32)&gt;0,ISNUMBER('Checks'!H32)),MAX($B$3:B31)+1,"")</f>
        <v/>
      </c>
      <c r="E32">
        <f>IFERROR(MATCH(29,$B$4:$B$503,0),"")</f>
        <v/>
      </c>
    </row>
    <row r="33">
      <c r="A33">
        <f>IF(AND(LEN('Checks'!A33)&gt;0,ISNUMBER('Checks'!J33)),'Checks'!J33+30/100000,"")</f>
        <v/>
      </c>
      <c r="B33">
        <f>IF(AND(LEN('Checks'!A33)&gt;0,ISNUMBER('Checks'!H33)),MAX($B$3:B32)+1,"")</f>
        <v/>
      </c>
      <c r="E33">
        <f>IFERROR(MATCH(30,$B$4:$B$503,0),"")</f>
        <v/>
      </c>
    </row>
    <row r="34">
      <c r="A34">
        <f>IF(AND(LEN('Checks'!A34)&gt;0,ISNUMBER('Checks'!J34)),'Checks'!J34+31/100000,"")</f>
        <v/>
      </c>
      <c r="B34">
        <f>IF(AND(LEN('Checks'!A34)&gt;0,ISNUMBER('Checks'!H34)),MAX($B$3:B33)+1,"")</f>
        <v/>
      </c>
      <c r="E34">
        <f>IFERROR(MATCH(31,$B$4:$B$503,0),"")</f>
        <v/>
      </c>
    </row>
    <row r="35">
      <c r="A35">
        <f>IF(AND(LEN('Checks'!A35)&gt;0,ISNUMBER('Checks'!J35)),'Checks'!J35+32/100000,"")</f>
        <v/>
      </c>
      <c r="B35">
        <f>IF(AND(LEN('Checks'!A35)&gt;0,ISNUMBER('Checks'!H35)),MAX($B$3:B34)+1,"")</f>
        <v/>
      </c>
      <c r="E35">
        <f>IFERROR(MATCH(32,$B$4:$B$503,0),"")</f>
        <v/>
      </c>
    </row>
    <row r="36">
      <c r="A36">
        <f>IF(AND(LEN('Checks'!A36)&gt;0,ISNUMBER('Checks'!J36)),'Checks'!J36+33/100000,"")</f>
        <v/>
      </c>
      <c r="B36">
        <f>IF(AND(LEN('Checks'!A36)&gt;0,ISNUMBER('Checks'!H36)),MAX($B$3:B35)+1,"")</f>
        <v/>
      </c>
      <c r="E36">
        <f>IFERROR(MATCH(33,$B$4:$B$503,0),"")</f>
        <v/>
      </c>
    </row>
    <row r="37">
      <c r="A37">
        <f>IF(AND(LEN('Checks'!A37)&gt;0,ISNUMBER('Checks'!J37)),'Checks'!J37+34/100000,"")</f>
        <v/>
      </c>
      <c r="B37">
        <f>IF(AND(LEN('Checks'!A37)&gt;0,ISNUMBER('Checks'!H37)),MAX($B$3:B36)+1,"")</f>
        <v/>
      </c>
      <c r="E37">
        <f>IFERROR(MATCH(34,$B$4:$B$503,0),"")</f>
        <v/>
      </c>
    </row>
    <row r="38">
      <c r="A38">
        <f>IF(AND(LEN('Checks'!A38)&gt;0,ISNUMBER('Checks'!J38)),'Checks'!J38+35/100000,"")</f>
        <v/>
      </c>
      <c r="B38">
        <f>IF(AND(LEN('Checks'!A38)&gt;0,ISNUMBER('Checks'!H38)),MAX($B$3:B37)+1,"")</f>
        <v/>
      </c>
      <c r="E38">
        <f>IFERROR(MATCH(35,$B$4:$B$503,0),"")</f>
        <v/>
      </c>
    </row>
    <row r="39">
      <c r="A39">
        <f>IF(AND(LEN('Checks'!A39)&gt;0,ISNUMBER('Checks'!J39)),'Checks'!J39+36/100000,"")</f>
        <v/>
      </c>
      <c r="B39">
        <f>IF(AND(LEN('Checks'!A39)&gt;0,ISNUMBER('Checks'!H39)),MAX($B$3:B38)+1,"")</f>
        <v/>
      </c>
      <c r="E39">
        <f>IFERROR(MATCH(36,$B$4:$B$503,0),"")</f>
        <v/>
      </c>
    </row>
    <row r="40">
      <c r="A40">
        <f>IF(AND(LEN('Checks'!A40)&gt;0,ISNUMBER('Checks'!J40)),'Checks'!J40+37/100000,"")</f>
        <v/>
      </c>
      <c r="B40">
        <f>IF(AND(LEN('Checks'!A40)&gt;0,ISNUMBER('Checks'!H40)),MAX($B$3:B39)+1,"")</f>
        <v/>
      </c>
      <c r="E40">
        <f>IFERROR(MATCH(37,$B$4:$B$503,0),"")</f>
        <v/>
      </c>
    </row>
    <row r="41">
      <c r="A41">
        <f>IF(AND(LEN('Checks'!A41)&gt;0,ISNUMBER('Checks'!J41)),'Checks'!J41+38/100000,"")</f>
        <v/>
      </c>
      <c r="B41">
        <f>IF(AND(LEN('Checks'!A41)&gt;0,ISNUMBER('Checks'!H41)),MAX($B$3:B40)+1,"")</f>
        <v/>
      </c>
      <c r="E41">
        <f>IFERROR(MATCH(38,$B$4:$B$503,0),"")</f>
        <v/>
      </c>
    </row>
    <row r="42">
      <c r="A42">
        <f>IF(AND(LEN('Checks'!A42)&gt;0,ISNUMBER('Checks'!J42)),'Checks'!J42+39/100000,"")</f>
        <v/>
      </c>
      <c r="B42">
        <f>IF(AND(LEN('Checks'!A42)&gt;0,ISNUMBER('Checks'!H42)),MAX($B$3:B41)+1,"")</f>
        <v/>
      </c>
      <c r="E42">
        <f>IFERROR(MATCH(39,$B$4:$B$503,0),"")</f>
        <v/>
      </c>
    </row>
    <row r="43">
      <c r="A43">
        <f>IF(AND(LEN('Checks'!A43)&gt;0,ISNUMBER('Checks'!J43)),'Checks'!J43+40/100000,"")</f>
        <v/>
      </c>
      <c r="B43">
        <f>IF(AND(LEN('Checks'!A43)&gt;0,ISNUMBER('Checks'!H43)),MAX($B$3:B42)+1,"")</f>
        <v/>
      </c>
      <c r="E43">
        <f>IFERROR(MATCH(40,$B$4:$B$503,0),"")</f>
        <v/>
      </c>
    </row>
    <row r="44">
      <c r="A44">
        <f>IF(AND(LEN('Checks'!A44)&gt;0,ISNUMBER('Checks'!J44)),'Checks'!J44+41/100000,"")</f>
        <v/>
      </c>
      <c r="B44">
        <f>IF(AND(LEN('Checks'!A44)&gt;0,ISNUMBER('Checks'!H44)),MAX($B$3:B43)+1,"")</f>
        <v/>
      </c>
      <c r="E44">
        <f>IFERROR(MATCH(41,$B$4:$B$503,0),"")</f>
        <v/>
      </c>
    </row>
    <row r="45">
      <c r="A45">
        <f>IF(AND(LEN('Checks'!A45)&gt;0,ISNUMBER('Checks'!J45)),'Checks'!J45+42/100000,"")</f>
        <v/>
      </c>
      <c r="B45">
        <f>IF(AND(LEN('Checks'!A45)&gt;0,ISNUMBER('Checks'!H45)),MAX($B$3:B44)+1,"")</f>
        <v/>
      </c>
      <c r="E45">
        <f>IFERROR(MATCH(42,$B$4:$B$503,0),"")</f>
        <v/>
      </c>
    </row>
    <row r="46">
      <c r="A46">
        <f>IF(AND(LEN('Checks'!A46)&gt;0,ISNUMBER('Checks'!J46)),'Checks'!J46+43/100000,"")</f>
        <v/>
      </c>
      <c r="B46">
        <f>IF(AND(LEN('Checks'!A46)&gt;0,ISNUMBER('Checks'!H46)),MAX($B$3:B45)+1,"")</f>
        <v/>
      </c>
      <c r="E46">
        <f>IFERROR(MATCH(43,$B$4:$B$503,0),"")</f>
        <v/>
      </c>
    </row>
    <row r="47">
      <c r="A47">
        <f>IF(AND(LEN('Checks'!A47)&gt;0,ISNUMBER('Checks'!J47)),'Checks'!J47+44/100000,"")</f>
        <v/>
      </c>
      <c r="B47">
        <f>IF(AND(LEN('Checks'!A47)&gt;0,ISNUMBER('Checks'!H47)),MAX($B$3:B46)+1,"")</f>
        <v/>
      </c>
      <c r="E47">
        <f>IFERROR(MATCH(44,$B$4:$B$503,0),"")</f>
        <v/>
      </c>
    </row>
    <row r="48">
      <c r="A48">
        <f>IF(AND(LEN('Checks'!A48)&gt;0,ISNUMBER('Checks'!J48)),'Checks'!J48+45/100000,"")</f>
        <v/>
      </c>
      <c r="B48">
        <f>IF(AND(LEN('Checks'!A48)&gt;0,ISNUMBER('Checks'!H48)),MAX($B$3:B47)+1,"")</f>
        <v/>
      </c>
      <c r="E48">
        <f>IFERROR(MATCH(45,$B$4:$B$503,0),"")</f>
        <v/>
      </c>
    </row>
    <row r="49">
      <c r="A49">
        <f>IF(AND(LEN('Checks'!A49)&gt;0,ISNUMBER('Checks'!J49)),'Checks'!J49+46/100000,"")</f>
        <v/>
      </c>
      <c r="B49">
        <f>IF(AND(LEN('Checks'!A49)&gt;0,ISNUMBER('Checks'!H49)),MAX($B$3:B48)+1,"")</f>
        <v/>
      </c>
      <c r="E49">
        <f>IFERROR(MATCH(46,$B$4:$B$503,0),"")</f>
        <v/>
      </c>
    </row>
    <row r="50">
      <c r="A50">
        <f>IF(AND(LEN('Checks'!A50)&gt;0,ISNUMBER('Checks'!J50)),'Checks'!J50+47/100000,"")</f>
        <v/>
      </c>
      <c r="B50">
        <f>IF(AND(LEN('Checks'!A50)&gt;0,ISNUMBER('Checks'!H50)),MAX($B$3:B49)+1,"")</f>
        <v/>
      </c>
      <c r="E50">
        <f>IFERROR(MATCH(47,$B$4:$B$503,0),"")</f>
        <v/>
      </c>
    </row>
    <row r="51">
      <c r="A51">
        <f>IF(AND(LEN('Checks'!A51)&gt;0,ISNUMBER('Checks'!J51)),'Checks'!J51+48/100000,"")</f>
        <v/>
      </c>
      <c r="B51">
        <f>IF(AND(LEN('Checks'!A51)&gt;0,ISNUMBER('Checks'!H51)),MAX($B$3:B50)+1,"")</f>
        <v/>
      </c>
      <c r="E51">
        <f>IFERROR(MATCH(48,$B$4:$B$503,0),"")</f>
        <v/>
      </c>
    </row>
    <row r="52">
      <c r="A52">
        <f>IF(AND(LEN('Checks'!A52)&gt;0,ISNUMBER('Checks'!J52)),'Checks'!J52+49/100000,"")</f>
        <v/>
      </c>
      <c r="B52">
        <f>IF(AND(LEN('Checks'!A52)&gt;0,ISNUMBER('Checks'!H52)),MAX($B$3:B51)+1,"")</f>
        <v/>
      </c>
      <c r="E52">
        <f>IFERROR(MATCH(49,$B$4:$B$503,0),"")</f>
        <v/>
      </c>
    </row>
    <row r="53">
      <c r="A53">
        <f>IF(AND(LEN('Checks'!A53)&gt;0,ISNUMBER('Checks'!J53)),'Checks'!J53+50/100000,"")</f>
        <v/>
      </c>
      <c r="B53">
        <f>IF(AND(LEN('Checks'!A53)&gt;0,ISNUMBER('Checks'!H53)),MAX($B$3:B52)+1,"")</f>
        <v/>
      </c>
      <c r="E53">
        <f>IFERROR(MATCH(50,$B$4:$B$503,0),"")</f>
        <v/>
      </c>
    </row>
    <row r="54">
      <c r="A54">
        <f>IF(AND(LEN('Checks'!A54)&gt;0,ISNUMBER('Checks'!J54)),'Checks'!J54+51/100000,"")</f>
        <v/>
      </c>
      <c r="B54">
        <f>IF(AND(LEN('Checks'!A54)&gt;0,ISNUMBER('Checks'!H54)),MAX($B$3:B53)+1,"")</f>
        <v/>
      </c>
      <c r="E54">
        <f>IFERROR(MATCH(51,$B$4:$B$503,0),"")</f>
        <v/>
      </c>
    </row>
    <row r="55">
      <c r="A55">
        <f>IF(AND(LEN('Checks'!A55)&gt;0,ISNUMBER('Checks'!J55)),'Checks'!J55+52/100000,"")</f>
        <v/>
      </c>
      <c r="B55">
        <f>IF(AND(LEN('Checks'!A55)&gt;0,ISNUMBER('Checks'!H55)),MAX($B$3:B54)+1,"")</f>
        <v/>
      </c>
      <c r="E55">
        <f>IFERROR(MATCH(52,$B$4:$B$503,0),"")</f>
        <v/>
      </c>
    </row>
    <row r="56">
      <c r="A56">
        <f>IF(AND(LEN('Checks'!A56)&gt;0,ISNUMBER('Checks'!J56)),'Checks'!J56+53/100000,"")</f>
        <v/>
      </c>
      <c r="B56">
        <f>IF(AND(LEN('Checks'!A56)&gt;0,ISNUMBER('Checks'!H56)),MAX($B$3:B55)+1,"")</f>
        <v/>
      </c>
      <c r="E56">
        <f>IFERROR(MATCH(53,$B$4:$B$503,0),"")</f>
        <v/>
      </c>
    </row>
    <row r="57">
      <c r="A57">
        <f>IF(AND(LEN('Checks'!A57)&gt;0,ISNUMBER('Checks'!J57)),'Checks'!J57+54/100000,"")</f>
        <v/>
      </c>
      <c r="B57">
        <f>IF(AND(LEN('Checks'!A57)&gt;0,ISNUMBER('Checks'!H57)),MAX($B$3:B56)+1,"")</f>
        <v/>
      </c>
      <c r="E57">
        <f>IFERROR(MATCH(54,$B$4:$B$503,0),"")</f>
        <v/>
      </c>
    </row>
    <row r="58">
      <c r="A58">
        <f>IF(AND(LEN('Checks'!A58)&gt;0,ISNUMBER('Checks'!J58)),'Checks'!J58+55/100000,"")</f>
        <v/>
      </c>
      <c r="B58">
        <f>IF(AND(LEN('Checks'!A58)&gt;0,ISNUMBER('Checks'!H58)),MAX($B$3:B57)+1,"")</f>
        <v/>
      </c>
      <c r="E58">
        <f>IFERROR(MATCH(55,$B$4:$B$503,0),"")</f>
        <v/>
      </c>
    </row>
    <row r="59">
      <c r="A59">
        <f>IF(AND(LEN('Checks'!A59)&gt;0,ISNUMBER('Checks'!J59)),'Checks'!J59+56/100000,"")</f>
        <v/>
      </c>
      <c r="B59">
        <f>IF(AND(LEN('Checks'!A59)&gt;0,ISNUMBER('Checks'!H59)),MAX($B$3:B58)+1,"")</f>
        <v/>
      </c>
      <c r="E59">
        <f>IFERROR(MATCH(56,$B$4:$B$503,0),"")</f>
        <v/>
      </c>
    </row>
    <row r="60">
      <c r="A60">
        <f>IF(AND(LEN('Checks'!A60)&gt;0,ISNUMBER('Checks'!J60)),'Checks'!J60+57/100000,"")</f>
        <v/>
      </c>
      <c r="B60">
        <f>IF(AND(LEN('Checks'!A60)&gt;0,ISNUMBER('Checks'!H60)),MAX($B$3:B59)+1,"")</f>
        <v/>
      </c>
      <c r="E60">
        <f>IFERROR(MATCH(57,$B$4:$B$503,0),"")</f>
        <v/>
      </c>
    </row>
    <row r="61">
      <c r="A61">
        <f>IF(AND(LEN('Checks'!A61)&gt;0,ISNUMBER('Checks'!J61)),'Checks'!J61+58/100000,"")</f>
        <v/>
      </c>
      <c r="B61">
        <f>IF(AND(LEN('Checks'!A61)&gt;0,ISNUMBER('Checks'!H61)),MAX($B$3:B60)+1,"")</f>
        <v/>
      </c>
      <c r="E61">
        <f>IFERROR(MATCH(58,$B$4:$B$503,0),"")</f>
        <v/>
      </c>
    </row>
    <row r="62">
      <c r="A62">
        <f>IF(AND(LEN('Checks'!A62)&gt;0,ISNUMBER('Checks'!J62)),'Checks'!J62+59/100000,"")</f>
        <v/>
      </c>
      <c r="B62">
        <f>IF(AND(LEN('Checks'!A62)&gt;0,ISNUMBER('Checks'!H62)),MAX($B$3:B61)+1,"")</f>
        <v/>
      </c>
      <c r="E62">
        <f>IFERROR(MATCH(59,$B$4:$B$503,0),"")</f>
        <v/>
      </c>
    </row>
    <row r="63">
      <c r="A63">
        <f>IF(AND(LEN('Checks'!A63)&gt;0,ISNUMBER('Checks'!J63)),'Checks'!J63+60/100000,"")</f>
        <v/>
      </c>
      <c r="B63">
        <f>IF(AND(LEN('Checks'!A63)&gt;0,ISNUMBER('Checks'!H63)),MAX($B$3:B62)+1,"")</f>
        <v/>
      </c>
      <c r="E63">
        <f>IFERROR(MATCH(60,$B$4:$B$503,0),"")</f>
        <v/>
      </c>
    </row>
    <row r="64">
      <c r="A64">
        <f>IF(AND(LEN('Checks'!A64)&gt;0,ISNUMBER('Checks'!J64)),'Checks'!J64+61/100000,"")</f>
        <v/>
      </c>
      <c r="B64">
        <f>IF(AND(LEN('Checks'!A64)&gt;0,ISNUMBER('Checks'!H64)),MAX($B$3:B63)+1,"")</f>
        <v/>
      </c>
      <c r="E64">
        <f>IFERROR(MATCH(61,$B$4:$B$503,0),"")</f>
        <v/>
      </c>
    </row>
    <row r="65">
      <c r="A65">
        <f>IF(AND(LEN('Checks'!A65)&gt;0,ISNUMBER('Checks'!J65)),'Checks'!J65+62/100000,"")</f>
        <v/>
      </c>
      <c r="B65">
        <f>IF(AND(LEN('Checks'!A65)&gt;0,ISNUMBER('Checks'!H65)),MAX($B$3:B64)+1,"")</f>
        <v/>
      </c>
      <c r="E65">
        <f>IFERROR(MATCH(62,$B$4:$B$503,0),"")</f>
        <v/>
      </c>
    </row>
    <row r="66">
      <c r="A66">
        <f>IF(AND(LEN('Checks'!A66)&gt;0,ISNUMBER('Checks'!J66)),'Checks'!J66+63/100000,"")</f>
        <v/>
      </c>
      <c r="B66">
        <f>IF(AND(LEN('Checks'!A66)&gt;0,ISNUMBER('Checks'!H66)),MAX($B$3:B65)+1,"")</f>
        <v/>
      </c>
      <c r="E66">
        <f>IFERROR(MATCH(63,$B$4:$B$503,0),"")</f>
        <v/>
      </c>
    </row>
    <row r="67">
      <c r="A67">
        <f>IF(AND(LEN('Checks'!A67)&gt;0,ISNUMBER('Checks'!J67)),'Checks'!J67+64/100000,"")</f>
        <v/>
      </c>
      <c r="B67">
        <f>IF(AND(LEN('Checks'!A67)&gt;0,ISNUMBER('Checks'!H67)),MAX($B$3:B66)+1,"")</f>
        <v/>
      </c>
      <c r="E67">
        <f>IFERROR(MATCH(64,$B$4:$B$503,0),"")</f>
        <v/>
      </c>
    </row>
    <row r="68">
      <c r="A68">
        <f>IF(AND(LEN('Checks'!A68)&gt;0,ISNUMBER('Checks'!J68)),'Checks'!J68+65/100000,"")</f>
        <v/>
      </c>
      <c r="B68">
        <f>IF(AND(LEN('Checks'!A68)&gt;0,ISNUMBER('Checks'!H68)),MAX($B$3:B67)+1,"")</f>
        <v/>
      </c>
      <c r="E68">
        <f>IFERROR(MATCH(65,$B$4:$B$503,0),"")</f>
        <v/>
      </c>
    </row>
    <row r="69">
      <c r="A69">
        <f>IF(AND(LEN('Checks'!A69)&gt;0,ISNUMBER('Checks'!J69)),'Checks'!J69+66/100000,"")</f>
        <v/>
      </c>
      <c r="B69">
        <f>IF(AND(LEN('Checks'!A69)&gt;0,ISNUMBER('Checks'!H69)),MAX($B$3:B68)+1,"")</f>
        <v/>
      </c>
      <c r="E69">
        <f>IFERROR(MATCH(66,$B$4:$B$503,0),"")</f>
        <v/>
      </c>
    </row>
    <row r="70">
      <c r="A70">
        <f>IF(AND(LEN('Checks'!A70)&gt;0,ISNUMBER('Checks'!J70)),'Checks'!J70+67/100000,"")</f>
        <v/>
      </c>
      <c r="B70">
        <f>IF(AND(LEN('Checks'!A70)&gt;0,ISNUMBER('Checks'!H70)),MAX($B$3:B69)+1,"")</f>
        <v/>
      </c>
      <c r="E70">
        <f>IFERROR(MATCH(67,$B$4:$B$503,0),"")</f>
        <v/>
      </c>
    </row>
    <row r="71">
      <c r="A71">
        <f>IF(AND(LEN('Checks'!A71)&gt;0,ISNUMBER('Checks'!J71)),'Checks'!J71+68/100000,"")</f>
        <v/>
      </c>
      <c r="B71">
        <f>IF(AND(LEN('Checks'!A71)&gt;0,ISNUMBER('Checks'!H71)),MAX($B$3:B70)+1,"")</f>
        <v/>
      </c>
      <c r="E71">
        <f>IFERROR(MATCH(68,$B$4:$B$503,0),"")</f>
        <v/>
      </c>
    </row>
    <row r="72">
      <c r="A72">
        <f>IF(AND(LEN('Checks'!A72)&gt;0,ISNUMBER('Checks'!J72)),'Checks'!J72+69/100000,"")</f>
        <v/>
      </c>
      <c r="B72">
        <f>IF(AND(LEN('Checks'!A72)&gt;0,ISNUMBER('Checks'!H72)),MAX($B$3:B71)+1,"")</f>
        <v/>
      </c>
      <c r="E72">
        <f>IFERROR(MATCH(69,$B$4:$B$503,0),"")</f>
        <v/>
      </c>
    </row>
    <row r="73">
      <c r="A73">
        <f>IF(AND(LEN('Checks'!A73)&gt;0,ISNUMBER('Checks'!J73)),'Checks'!J73+70/100000,"")</f>
        <v/>
      </c>
      <c r="B73">
        <f>IF(AND(LEN('Checks'!A73)&gt;0,ISNUMBER('Checks'!H73)),MAX($B$3:B72)+1,"")</f>
        <v/>
      </c>
      <c r="E73">
        <f>IFERROR(MATCH(70,$B$4:$B$503,0),"")</f>
        <v/>
      </c>
    </row>
    <row r="74">
      <c r="A74">
        <f>IF(AND(LEN('Checks'!A74)&gt;0,ISNUMBER('Checks'!J74)),'Checks'!J74+71/100000,"")</f>
        <v/>
      </c>
      <c r="B74">
        <f>IF(AND(LEN('Checks'!A74)&gt;0,ISNUMBER('Checks'!H74)),MAX($B$3:B73)+1,"")</f>
        <v/>
      </c>
      <c r="E74">
        <f>IFERROR(MATCH(71,$B$4:$B$503,0),"")</f>
        <v/>
      </c>
    </row>
    <row r="75">
      <c r="A75">
        <f>IF(AND(LEN('Checks'!A75)&gt;0,ISNUMBER('Checks'!J75)),'Checks'!J75+72/100000,"")</f>
        <v/>
      </c>
      <c r="B75">
        <f>IF(AND(LEN('Checks'!A75)&gt;0,ISNUMBER('Checks'!H75)),MAX($B$3:B74)+1,"")</f>
        <v/>
      </c>
      <c r="E75">
        <f>IFERROR(MATCH(72,$B$4:$B$503,0),"")</f>
        <v/>
      </c>
    </row>
    <row r="76">
      <c r="A76">
        <f>IF(AND(LEN('Checks'!A76)&gt;0,ISNUMBER('Checks'!J76)),'Checks'!J76+73/100000,"")</f>
        <v/>
      </c>
      <c r="B76">
        <f>IF(AND(LEN('Checks'!A76)&gt;0,ISNUMBER('Checks'!H76)),MAX($B$3:B75)+1,"")</f>
        <v/>
      </c>
      <c r="E76">
        <f>IFERROR(MATCH(73,$B$4:$B$503,0),"")</f>
        <v/>
      </c>
    </row>
    <row r="77">
      <c r="A77">
        <f>IF(AND(LEN('Checks'!A77)&gt;0,ISNUMBER('Checks'!J77)),'Checks'!J77+74/100000,"")</f>
        <v/>
      </c>
      <c r="B77">
        <f>IF(AND(LEN('Checks'!A77)&gt;0,ISNUMBER('Checks'!H77)),MAX($B$3:B76)+1,"")</f>
        <v/>
      </c>
      <c r="E77">
        <f>IFERROR(MATCH(74,$B$4:$B$503,0),"")</f>
        <v/>
      </c>
    </row>
    <row r="78">
      <c r="A78">
        <f>IF(AND(LEN('Checks'!A78)&gt;0,ISNUMBER('Checks'!J78)),'Checks'!J78+75/100000,"")</f>
        <v/>
      </c>
      <c r="B78">
        <f>IF(AND(LEN('Checks'!A78)&gt;0,ISNUMBER('Checks'!H78)),MAX($B$3:B77)+1,"")</f>
        <v/>
      </c>
      <c r="E78">
        <f>IFERROR(MATCH(75,$B$4:$B$503,0),"")</f>
        <v/>
      </c>
    </row>
    <row r="79">
      <c r="A79">
        <f>IF(AND(LEN('Checks'!A79)&gt;0,ISNUMBER('Checks'!J79)),'Checks'!J79+76/100000,"")</f>
        <v/>
      </c>
      <c r="B79">
        <f>IF(AND(LEN('Checks'!A79)&gt;0,ISNUMBER('Checks'!H79)),MAX($B$3:B78)+1,"")</f>
        <v/>
      </c>
      <c r="E79">
        <f>IFERROR(MATCH(76,$B$4:$B$503,0),"")</f>
        <v/>
      </c>
    </row>
    <row r="80">
      <c r="A80">
        <f>IF(AND(LEN('Checks'!A80)&gt;0,ISNUMBER('Checks'!J80)),'Checks'!J80+77/100000,"")</f>
        <v/>
      </c>
      <c r="B80">
        <f>IF(AND(LEN('Checks'!A80)&gt;0,ISNUMBER('Checks'!H80)),MAX($B$3:B79)+1,"")</f>
        <v/>
      </c>
      <c r="E80">
        <f>IFERROR(MATCH(77,$B$4:$B$503,0),"")</f>
        <v/>
      </c>
    </row>
    <row r="81">
      <c r="A81">
        <f>IF(AND(LEN('Checks'!A81)&gt;0,ISNUMBER('Checks'!J81)),'Checks'!J81+78/100000,"")</f>
        <v/>
      </c>
      <c r="B81">
        <f>IF(AND(LEN('Checks'!A81)&gt;0,ISNUMBER('Checks'!H81)),MAX($B$3:B80)+1,"")</f>
        <v/>
      </c>
      <c r="E81">
        <f>IFERROR(MATCH(78,$B$4:$B$503,0),"")</f>
        <v/>
      </c>
    </row>
    <row r="82">
      <c r="A82">
        <f>IF(AND(LEN('Checks'!A82)&gt;0,ISNUMBER('Checks'!J82)),'Checks'!J82+79/100000,"")</f>
        <v/>
      </c>
      <c r="B82">
        <f>IF(AND(LEN('Checks'!A82)&gt;0,ISNUMBER('Checks'!H82)),MAX($B$3:B81)+1,"")</f>
        <v/>
      </c>
      <c r="E82">
        <f>IFERROR(MATCH(79,$B$4:$B$503,0),"")</f>
        <v/>
      </c>
    </row>
    <row r="83">
      <c r="A83">
        <f>IF(AND(LEN('Checks'!A83)&gt;0,ISNUMBER('Checks'!J83)),'Checks'!J83+80/100000,"")</f>
        <v/>
      </c>
      <c r="B83">
        <f>IF(AND(LEN('Checks'!A83)&gt;0,ISNUMBER('Checks'!H83)),MAX($B$3:B82)+1,"")</f>
        <v/>
      </c>
      <c r="E83">
        <f>IFERROR(MATCH(80,$B$4:$B$503,0),"")</f>
        <v/>
      </c>
    </row>
    <row r="84">
      <c r="A84">
        <f>IF(AND(LEN('Checks'!A84)&gt;0,ISNUMBER('Checks'!J84)),'Checks'!J84+81/100000,"")</f>
        <v/>
      </c>
      <c r="B84">
        <f>IF(AND(LEN('Checks'!A84)&gt;0,ISNUMBER('Checks'!H84)),MAX($B$3:B83)+1,"")</f>
        <v/>
      </c>
      <c r="E84">
        <f>IFERROR(MATCH(81,$B$4:$B$503,0),"")</f>
        <v/>
      </c>
    </row>
    <row r="85">
      <c r="A85">
        <f>IF(AND(LEN('Checks'!A85)&gt;0,ISNUMBER('Checks'!J85)),'Checks'!J85+82/100000,"")</f>
        <v/>
      </c>
      <c r="B85">
        <f>IF(AND(LEN('Checks'!A85)&gt;0,ISNUMBER('Checks'!H85)),MAX($B$3:B84)+1,"")</f>
        <v/>
      </c>
      <c r="E85">
        <f>IFERROR(MATCH(82,$B$4:$B$503,0),"")</f>
        <v/>
      </c>
    </row>
    <row r="86">
      <c r="A86">
        <f>IF(AND(LEN('Checks'!A86)&gt;0,ISNUMBER('Checks'!J86)),'Checks'!J86+83/100000,"")</f>
        <v/>
      </c>
      <c r="B86">
        <f>IF(AND(LEN('Checks'!A86)&gt;0,ISNUMBER('Checks'!H86)),MAX($B$3:B85)+1,"")</f>
        <v/>
      </c>
      <c r="E86">
        <f>IFERROR(MATCH(83,$B$4:$B$503,0),"")</f>
        <v/>
      </c>
    </row>
    <row r="87">
      <c r="A87">
        <f>IF(AND(LEN('Checks'!A87)&gt;0,ISNUMBER('Checks'!J87)),'Checks'!J87+84/100000,"")</f>
        <v/>
      </c>
      <c r="B87">
        <f>IF(AND(LEN('Checks'!A87)&gt;0,ISNUMBER('Checks'!H87)),MAX($B$3:B86)+1,"")</f>
        <v/>
      </c>
      <c r="E87">
        <f>IFERROR(MATCH(84,$B$4:$B$503,0),"")</f>
        <v/>
      </c>
    </row>
    <row r="88">
      <c r="A88">
        <f>IF(AND(LEN('Checks'!A88)&gt;0,ISNUMBER('Checks'!J88)),'Checks'!J88+85/100000,"")</f>
        <v/>
      </c>
      <c r="B88">
        <f>IF(AND(LEN('Checks'!A88)&gt;0,ISNUMBER('Checks'!H88)),MAX($B$3:B87)+1,"")</f>
        <v/>
      </c>
      <c r="E88">
        <f>IFERROR(MATCH(85,$B$4:$B$503,0),"")</f>
        <v/>
      </c>
    </row>
    <row r="89">
      <c r="A89">
        <f>IF(AND(LEN('Checks'!A89)&gt;0,ISNUMBER('Checks'!J89)),'Checks'!J89+86/100000,"")</f>
        <v/>
      </c>
      <c r="B89">
        <f>IF(AND(LEN('Checks'!A89)&gt;0,ISNUMBER('Checks'!H89)),MAX($B$3:B88)+1,"")</f>
        <v/>
      </c>
      <c r="E89">
        <f>IFERROR(MATCH(86,$B$4:$B$503,0),"")</f>
        <v/>
      </c>
    </row>
    <row r="90">
      <c r="A90">
        <f>IF(AND(LEN('Checks'!A90)&gt;0,ISNUMBER('Checks'!J90)),'Checks'!J90+87/100000,"")</f>
        <v/>
      </c>
      <c r="B90">
        <f>IF(AND(LEN('Checks'!A90)&gt;0,ISNUMBER('Checks'!H90)),MAX($B$3:B89)+1,"")</f>
        <v/>
      </c>
      <c r="E90">
        <f>IFERROR(MATCH(87,$B$4:$B$503,0),"")</f>
        <v/>
      </c>
    </row>
    <row r="91">
      <c r="A91">
        <f>IF(AND(LEN('Checks'!A91)&gt;0,ISNUMBER('Checks'!J91)),'Checks'!J91+88/100000,"")</f>
        <v/>
      </c>
      <c r="B91">
        <f>IF(AND(LEN('Checks'!A91)&gt;0,ISNUMBER('Checks'!H91)),MAX($B$3:B90)+1,"")</f>
        <v/>
      </c>
      <c r="E91">
        <f>IFERROR(MATCH(88,$B$4:$B$503,0),"")</f>
        <v/>
      </c>
    </row>
    <row r="92">
      <c r="A92">
        <f>IF(AND(LEN('Checks'!A92)&gt;0,ISNUMBER('Checks'!J92)),'Checks'!J92+89/100000,"")</f>
        <v/>
      </c>
      <c r="B92">
        <f>IF(AND(LEN('Checks'!A92)&gt;0,ISNUMBER('Checks'!H92)),MAX($B$3:B91)+1,"")</f>
        <v/>
      </c>
      <c r="E92">
        <f>IFERROR(MATCH(89,$B$4:$B$503,0),"")</f>
        <v/>
      </c>
    </row>
    <row r="93">
      <c r="A93">
        <f>IF(AND(LEN('Checks'!A93)&gt;0,ISNUMBER('Checks'!J93)),'Checks'!J93+90/100000,"")</f>
        <v/>
      </c>
      <c r="B93">
        <f>IF(AND(LEN('Checks'!A93)&gt;0,ISNUMBER('Checks'!H93)),MAX($B$3:B92)+1,"")</f>
        <v/>
      </c>
      <c r="E93">
        <f>IFERROR(MATCH(90,$B$4:$B$503,0),"")</f>
        <v/>
      </c>
    </row>
    <row r="94">
      <c r="A94">
        <f>IF(AND(LEN('Checks'!A94)&gt;0,ISNUMBER('Checks'!J94)),'Checks'!J94+91/100000,"")</f>
        <v/>
      </c>
      <c r="B94">
        <f>IF(AND(LEN('Checks'!A94)&gt;0,ISNUMBER('Checks'!H94)),MAX($B$3:B93)+1,"")</f>
        <v/>
      </c>
      <c r="E94">
        <f>IFERROR(MATCH(91,$B$4:$B$503,0),"")</f>
        <v/>
      </c>
    </row>
    <row r="95">
      <c r="A95">
        <f>IF(AND(LEN('Checks'!A95)&gt;0,ISNUMBER('Checks'!J95)),'Checks'!J95+92/100000,"")</f>
        <v/>
      </c>
      <c r="B95">
        <f>IF(AND(LEN('Checks'!A95)&gt;0,ISNUMBER('Checks'!H95)),MAX($B$3:B94)+1,"")</f>
        <v/>
      </c>
      <c r="E95">
        <f>IFERROR(MATCH(92,$B$4:$B$503,0),"")</f>
        <v/>
      </c>
    </row>
    <row r="96">
      <c r="A96">
        <f>IF(AND(LEN('Checks'!A96)&gt;0,ISNUMBER('Checks'!J96)),'Checks'!J96+93/100000,"")</f>
        <v/>
      </c>
      <c r="B96">
        <f>IF(AND(LEN('Checks'!A96)&gt;0,ISNUMBER('Checks'!H96)),MAX($B$3:B95)+1,"")</f>
        <v/>
      </c>
      <c r="E96">
        <f>IFERROR(MATCH(93,$B$4:$B$503,0),"")</f>
        <v/>
      </c>
    </row>
    <row r="97">
      <c r="A97">
        <f>IF(AND(LEN('Checks'!A97)&gt;0,ISNUMBER('Checks'!J97)),'Checks'!J97+94/100000,"")</f>
        <v/>
      </c>
      <c r="B97">
        <f>IF(AND(LEN('Checks'!A97)&gt;0,ISNUMBER('Checks'!H97)),MAX($B$3:B96)+1,"")</f>
        <v/>
      </c>
      <c r="E97">
        <f>IFERROR(MATCH(94,$B$4:$B$503,0),"")</f>
        <v/>
      </c>
    </row>
    <row r="98">
      <c r="A98">
        <f>IF(AND(LEN('Checks'!A98)&gt;0,ISNUMBER('Checks'!J98)),'Checks'!J98+95/100000,"")</f>
        <v/>
      </c>
      <c r="B98">
        <f>IF(AND(LEN('Checks'!A98)&gt;0,ISNUMBER('Checks'!H98)),MAX($B$3:B97)+1,"")</f>
        <v/>
      </c>
      <c r="E98">
        <f>IFERROR(MATCH(95,$B$4:$B$503,0),"")</f>
        <v/>
      </c>
    </row>
    <row r="99">
      <c r="A99">
        <f>IF(AND(LEN('Checks'!A99)&gt;0,ISNUMBER('Checks'!J99)),'Checks'!J99+96/100000,"")</f>
        <v/>
      </c>
      <c r="B99">
        <f>IF(AND(LEN('Checks'!A99)&gt;0,ISNUMBER('Checks'!H99)),MAX($B$3:B98)+1,"")</f>
        <v/>
      </c>
      <c r="E99">
        <f>IFERROR(MATCH(96,$B$4:$B$503,0),"")</f>
        <v/>
      </c>
    </row>
    <row r="100">
      <c r="A100">
        <f>IF(AND(LEN('Checks'!A100)&gt;0,ISNUMBER('Checks'!J100)),'Checks'!J100+97/100000,"")</f>
        <v/>
      </c>
      <c r="B100">
        <f>IF(AND(LEN('Checks'!A100)&gt;0,ISNUMBER('Checks'!H100)),MAX($B$3:B99)+1,"")</f>
        <v/>
      </c>
      <c r="E100">
        <f>IFERROR(MATCH(97,$B$4:$B$503,0),"")</f>
        <v/>
      </c>
    </row>
    <row r="101">
      <c r="A101">
        <f>IF(AND(LEN('Checks'!A101)&gt;0,ISNUMBER('Checks'!J101)),'Checks'!J101+98/100000,"")</f>
        <v/>
      </c>
      <c r="B101">
        <f>IF(AND(LEN('Checks'!A101)&gt;0,ISNUMBER('Checks'!H101)),MAX($B$3:B100)+1,"")</f>
        <v/>
      </c>
      <c r="E101">
        <f>IFERROR(MATCH(98,$B$4:$B$503,0),"")</f>
        <v/>
      </c>
    </row>
    <row r="102">
      <c r="A102">
        <f>IF(AND(LEN('Checks'!A102)&gt;0,ISNUMBER('Checks'!J102)),'Checks'!J102+99/100000,"")</f>
        <v/>
      </c>
      <c r="B102">
        <f>IF(AND(LEN('Checks'!A102)&gt;0,ISNUMBER('Checks'!H102)),MAX($B$3:B101)+1,"")</f>
        <v/>
      </c>
      <c r="E102">
        <f>IFERROR(MATCH(99,$B$4:$B$503,0),"")</f>
        <v/>
      </c>
    </row>
    <row r="103">
      <c r="A103">
        <f>IF(AND(LEN('Checks'!A103)&gt;0,ISNUMBER('Checks'!J103)),'Checks'!J103+100/100000,"")</f>
        <v/>
      </c>
      <c r="B103">
        <f>IF(AND(LEN('Checks'!A103)&gt;0,ISNUMBER('Checks'!H103)),MAX($B$3:B102)+1,"")</f>
        <v/>
      </c>
      <c r="E103">
        <f>IFERROR(MATCH(100,$B$4:$B$503,0),"")</f>
        <v/>
      </c>
    </row>
    <row r="104">
      <c r="A104">
        <f>IF(AND(LEN('Checks'!A104)&gt;0,ISNUMBER('Checks'!J104)),'Checks'!J104+101/100000,"")</f>
        <v/>
      </c>
      <c r="B104">
        <f>IF(AND(LEN('Checks'!A104)&gt;0,ISNUMBER('Checks'!H104)),MAX($B$3:B103)+1,"")</f>
        <v/>
      </c>
      <c r="E104">
        <f>IFERROR(MATCH(101,$B$4:$B$503,0),"")</f>
        <v/>
      </c>
    </row>
    <row r="105">
      <c r="A105">
        <f>IF(AND(LEN('Checks'!A105)&gt;0,ISNUMBER('Checks'!J105)),'Checks'!J105+102/100000,"")</f>
        <v/>
      </c>
      <c r="B105">
        <f>IF(AND(LEN('Checks'!A105)&gt;0,ISNUMBER('Checks'!H105)),MAX($B$3:B104)+1,"")</f>
        <v/>
      </c>
      <c r="E105">
        <f>IFERROR(MATCH(102,$B$4:$B$503,0),"")</f>
        <v/>
      </c>
    </row>
    <row r="106">
      <c r="A106">
        <f>IF(AND(LEN('Checks'!A106)&gt;0,ISNUMBER('Checks'!J106)),'Checks'!J106+103/100000,"")</f>
        <v/>
      </c>
      <c r="B106">
        <f>IF(AND(LEN('Checks'!A106)&gt;0,ISNUMBER('Checks'!H106)),MAX($B$3:B105)+1,"")</f>
        <v/>
      </c>
      <c r="E106">
        <f>IFERROR(MATCH(103,$B$4:$B$503,0),"")</f>
        <v/>
      </c>
    </row>
    <row r="107">
      <c r="A107">
        <f>IF(AND(LEN('Checks'!A107)&gt;0,ISNUMBER('Checks'!J107)),'Checks'!J107+104/100000,"")</f>
        <v/>
      </c>
      <c r="B107">
        <f>IF(AND(LEN('Checks'!A107)&gt;0,ISNUMBER('Checks'!H107)),MAX($B$3:B106)+1,"")</f>
        <v/>
      </c>
      <c r="E107">
        <f>IFERROR(MATCH(104,$B$4:$B$503,0),"")</f>
        <v/>
      </c>
    </row>
    <row r="108">
      <c r="A108">
        <f>IF(AND(LEN('Checks'!A108)&gt;0,ISNUMBER('Checks'!J108)),'Checks'!J108+105/100000,"")</f>
        <v/>
      </c>
      <c r="B108">
        <f>IF(AND(LEN('Checks'!A108)&gt;0,ISNUMBER('Checks'!H108)),MAX($B$3:B107)+1,"")</f>
        <v/>
      </c>
      <c r="E108">
        <f>IFERROR(MATCH(105,$B$4:$B$503,0),"")</f>
        <v/>
      </c>
    </row>
    <row r="109">
      <c r="A109">
        <f>IF(AND(LEN('Checks'!A109)&gt;0,ISNUMBER('Checks'!J109)),'Checks'!J109+106/100000,"")</f>
        <v/>
      </c>
      <c r="B109">
        <f>IF(AND(LEN('Checks'!A109)&gt;0,ISNUMBER('Checks'!H109)),MAX($B$3:B108)+1,"")</f>
        <v/>
      </c>
      <c r="E109">
        <f>IFERROR(MATCH(106,$B$4:$B$503,0),"")</f>
        <v/>
      </c>
    </row>
    <row r="110">
      <c r="A110">
        <f>IF(AND(LEN('Checks'!A110)&gt;0,ISNUMBER('Checks'!J110)),'Checks'!J110+107/100000,"")</f>
        <v/>
      </c>
      <c r="B110">
        <f>IF(AND(LEN('Checks'!A110)&gt;0,ISNUMBER('Checks'!H110)),MAX($B$3:B109)+1,"")</f>
        <v/>
      </c>
      <c r="E110">
        <f>IFERROR(MATCH(107,$B$4:$B$503,0),"")</f>
        <v/>
      </c>
    </row>
    <row r="111">
      <c r="A111">
        <f>IF(AND(LEN('Checks'!A111)&gt;0,ISNUMBER('Checks'!J111)),'Checks'!J111+108/100000,"")</f>
        <v/>
      </c>
      <c r="B111">
        <f>IF(AND(LEN('Checks'!A111)&gt;0,ISNUMBER('Checks'!H111)),MAX($B$3:B110)+1,"")</f>
        <v/>
      </c>
      <c r="E111">
        <f>IFERROR(MATCH(108,$B$4:$B$503,0),"")</f>
        <v/>
      </c>
    </row>
    <row r="112">
      <c r="A112">
        <f>IF(AND(LEN('Checks'!A112)&gt;0,ISNUMBER('Checks'!J112)),'Checks'!J112+109/100000,"")</f>
        <v/>
      </c>
      <c r="B112">
        <f>IF(AND(LEN('Checks'!A112)&gt;0,ISNUMBER('Checks'!H112)),MAX($B$3:B111)+1,"")</f>
        <v/>
      </c>
      <c r="E112">
        <f>IFERROR(MATCH(109,$B$4:$B$503,0),"")</f>
        <v/>
      </c>
    </row>
    <row r="113">
      <c r="A113">
        <f>IF(AND(LEN('Checks'!A113)&gt;0,ISNUMBER('Checks'!J113)),'Checks'!J113+110/100000,"")</f>
        <v/>
      </c>
      <c r="B113">
        <f>IF(AND(LEN('Checks'!A113)&gt;0,ISNUMBER('Checks'!H113)),MAX($B$3:B112)+1,"")</f>
        <v/>
      </c>
      <c r="E113">
        <f>IFERROR(MATCH(110,$B$4:$B$503,0),"")</f>
        <v/>
      </c>
    </row>
    <row r="114">
      <c r="A114">
        <f>IF(AND(LEN('Checks'!A114)&gt;0,ISNUMBER('Checks'!J114)),'Checks'!J114+111/100000,"")</f>
        <v/>
      </c>
      <c r="B114">
        <f>IF(AND(LEN('Checks'!A114)&gt;0,ISNUMBER('Checks'!H114)),MAX($B$3:B113)+1,"")</f>
        <v/>
      </c>
      <c r="E114">
        <f>IFERROR(MATCH(111,$B$4:$B$503,0),"")</f>
        <v/>
      </c>
    </row>
    <row r="115">
      <c r="A115">
        <f>IF(AND(LEN('Checks'!A115)&gt;0,ISNUMBER('Checks'!J115)),'Checks'!J115+112/100000,"")</f>
        <v/>
      </c>
      <c r="B115">
        <f>IF(AND(LEN('Checks'!A115)&gt;0,ISNUMBER('Checks'!H115)),MAX($B$3:B114)+1,"")</f>
        <v/>
      </c>
      <c r="E115">
        <f>IFERROR(MATCH(112,$B$4:$B$503,0),"")</f>
        <v/>
      </c>
    </row>
    <row r="116">
      <c r="A116">
        <f>IF(AND(LEN('Checks'!A116)&gt;0,ISNUMBER('Checks'!J116)),'Checks'!J116+113/100000,"")</f>
        <v/>
      </c>
      <c r="B116">
        <f>IF(AND(LEN('Checks'!A116)&gt;0,ISNUMBER('Checks'!H116)),MAX($B$3:B115)+1,"")</f>
        <v/>
      </c>
      <c r="E116">
        <f>IFERROR(MATCH(113,$B$4:$B$503,0),"")</f>
        <v/>
      </c>
    </row>
    <row r="117">
      <c r="A117">
        <f>IF(AND(LEN('Checks'!A117)&gt;0,ISNUMBER('Checks'!J117)),'Checks'!J117+114/100000,"")</f>
        <v/>
      </c>
      <c r="B117">
        <f>IF(AND(LEN('Checks'!A117)&gt;0,ISNUMBER('Checks'!H117)),MAX($B$3:B116)+1,"")</f>
        <v/>
      </c>
      <c r="E117">
        <f>IFERROR(MATCH(114,$B$4:$B$503,0),"")</f>
        <v/>
      </c>
    </row>
    <row r="118">
      <c r="A118">
        <f>IF(AND(LEN('Checks'!A118)&gt;0,ISNUMBER('Checks'!J118)),'Checks'!J118+115/100000,"")</f>
        <v/>
      </c>
      <c r="B118">
        <f>IF(AND(LEN('Checks'!A118)&gt;0,ISNUMBER('Checks'!H118)),MAX($B$3:B117)+1,"")</f>
        <v/>
      </c>
      <c r="E118">
        <f>IFERROR(MATCH(115,$B$4:$B$503,0),"")</f>
        <v/>
      </c>
    </row>
    <row r="119">
      <c r="A119">
        <f>IF(AND(LEN('Checks'!A119)&gt;0,ISNUMBER('Checks'!J119)),'Checks'!J119+116/100000,"")</f>
        <v/>
      </c>
      <c r="B119">
        <f>IF(AND(LEN('Checks'!A119)&gt;0,ISNUMBER('Checks'!H119)),MAX($B$3:B118)+1,"")</f>
        <v/>
      </c>
      <c r="E119">
        <f>IFERROR(MATCH(116,$B$4:$B$503,0),"")</f>
        <v/>
      </c>
    </row>
    <row r="120">
      <c r="A120">
        <f>IF(AND(LEN('Checks'!A120)&gt;0,ISNUMBER('Checks'!J120)),'Checks'!J120+117/100000,"")</f>
        <v/>
      </c>
      <c r="B120">
        <f>IF(AND(LEN('Checks'!A120)&gt;0,ISNUMBER('Checks'!H120)),MAX($B$3:B119)+1,"")</f>
        <v/>
      </c>
      <c r="E120">
        <f>IFERROR(MATCH(117,$B$4:$B$503,0),"")</f>
        <v/>
      </c>
    </row>
    <row r="121">
      <c r="A121">
        <f>IF(AND(LEN('Checks'!A121)&gt;0,ISNUMBER('Checks'!J121)),'Checks'!J121+118/100000,"")</f>
        <v/>
      </c>
      <c r="B121">
        <f>IF(AND(LEN('Checks'!A121)&gt;0,ISNUMBER('Checks'!H121)),MAX($B$3:B120)+1,"")</f>
        <v/>
      </c>
      <c r="E121">
        <f>IFERROR(MATCH(118,$B$4:$B$503,0),"")</f>
        <v/>
      </c>
    </row>
    <row r="122">
      <c r="A122">
        <f>IF(AND(LEN('Checks'!A122)&gt;0,ISNUMBER('Checks'!J122)),'Checks'!J122+119/100000,"")</f>
        <v/>
      </c>
      <c r="B122">
        <f>IF(AND(LEN('Checks'!A122)&gt;0,ISNUMBER('Checks'!H122)),MAX($B$3:B121)+1,"")</f>
        <v/>
      </c>
      <c r="E122">
        <f>IFERROR(MATCH(119,$B$4:$B$503,0),"")</f>
        <v/>
      </c>
    </row>
    <row r="123">
      <c r="A123">
        <f>IF(AND(LEN('Checks'!A123)&gt;0,ISNUMBER('Checks'!J123)),'Checks'!J123+120/100000,"")</f>
        <v/>
      </c>
      <c r="B123">
        <f>IF(AND(LEN('Checks'!A123)&gt;0,ISNUMBER('Checks'!H123)),MAX($B$3:B122)+1,"")</f>
        <v/>
      </c>
      <c r="E123">
        <f>IFERROR(MATCH(120,$B$4:$B$503,0),"")</f>
        <v/>
      </c>
    </row>
    <row r="124">
      <c r="A124">
        <f>IF(AND(LEN('Checks'!A124)&gt;0,ISNUMBER('Checks'!J124)),'Checks'!J124+121/100000,"")</f>
        <v/>
      </c>
      <c r="B124">
        <f>IF(AND(LEN('Checks'!A124)&gt;0,ISNUMBER('Checks'!H124)),MAX($B$3:B123)+1,"")</f>
        <v/>
      </c>
      <c r="E124">
        <f>IFERROR(MATCH(121,$B$4:$B$503,0),"")</f>
        <v/>
      </c>
    </row>
    <row r="125">
      <c r="A125">
        <f>IF(AND(LEN('Checks'!A125)&gt;0,ISNUMBER('Checks'!J125)),'Checks'!J125+122/100000,"")</f>
        <v/>
      </c>
      <c r="B125">
        <f>IF(AND(LEN('Checks'!A125)&gt;0,ISNUMBER('Checks'!H125)),MAX($B$3:B124)+1,"")</f>
        <v/>
      </c>
      <c r="E125">
        <f>IFERROR(MATCH(122,$B$4:$B$503,0),"")</f>
        <v/>
      </c>
    </row>
    <row r="126">
      <c r="A126">
        <f>IF(AND(LEN('Checks'!A126)&gt;0,ISNUMBER('Checks'!J126)),'Checks'!J126+123/100000,"")</f>
        <v/>
      </c>
      <c r="B126">
        <f>IF(AND(LEN('Checks'!A126)&gt;0,ISNUMBER('Checks'!H126)),MAX($B$3:B125)+1,"")</f>
        <v/>
      </c>
      <c r="E126">
        <f>IFERROR(MATCH(123,$B$4:$B$503,0),"")</f>
        <v/>
      </c>
    </row>
    <row r="127">
      <c r="A127">
        <f>IF(AND(LEN('Checks'!A127)&gt;0,ISNUMBER('Checks'!J127)),'Checks'!J127+124/100000,"")</f>
        <v/>
      </c>
      <c r="B127">
        <f>IF(AND(LEN('Checks'!A127)&gt;0,ISNUMBER('Checks'!H127)),MAX($B$3:B126)+1,"")</f>
        <v/>
      </c>
      <c r="E127">
        <f>IFERROR(MATCH(124,$B$4:$B$503,0),"")</f>
        <v/>
      </c>
    </row>
    <row r="128">
      <c r="A128">
        <f>IF(AND(LEN('Checks'!A128)&gt;0,ISNUMBER('Checks'!J128)),'Checks'!J128+125/100000,"")</f>
        <v/>
      </c>
      <c r="B128">
        <f>IF(AND(LEN('Checks'!A128)&gt;0,ISNUMBER('Checks'!H128)),MAX($B$3:B127)+1,"")</f>
        <v/>
      </c>
      <c r="E128">
        <f>IFERROR(MATCH(125,$B$4:$B$503,0),"")</f>
        <v/>
      </c>
    </row>
    <row r="129">
      <c r="A129">
        <f>IF(AND(LEN('Checks'!A129)&gt;0,ISNUMBER('Checks'!J129)),'Checks'!J129+126/100000,"")</f>
        <v/>
      </c>
      <c r="B129">
        <f>IF(AND(LEN('Checks'!A129)&gt;0,ISNUMBER('Checks'!H129)),MAX($B$3:B128)+1,"")</f>
        <v/>
      </c>
      <c r="E129">
        <f>IFERROR(MATCH(126,$B$4:$B$503,0),"")</f>
        <v/>
      </c>
    </row>
    <row r="130">
      <c r="A130">
        <f>IF(AND(LEN('Checks'!A130)&gt;0,ISNUMBER('Checks'!J130)),'Checks'!J130+127/100000,"")</f>
        <v/>
      </c>
      <c r="B130">
        <f>IF(AND(LEN('Checks'!A130)&gt;0,ISNUMBER('Checks'!H130)),MAX($B$3:B129)+1,"")</f>
        <v/>
      </c>
      <c r="E130">
        <f>IFERROR(MATCH(127,$B$4:$B$503,0),"")</f>
        <v/>
      </c>
    </row>
    <row r="131">
      <c r="A131">
        <f>IF(AND(LEN('Checks'!A131)&gt;0,ISNUMBER('Checks'!J131)),'Checks'!J131+128/100000,"")</f>
        <v/>
      </c>
      <c r="B131">
        <f>IF(AND(LEN('Checks'!A131)&gt;0,ISNUMBER('Checks'!H131)),MAX($B$3:B130)+1,"")</f>
        <v/>
      </c>
      <c r="E131">
        <f>IFERROR(MATCH(128,$B$4:$B$503,0),"")</f>
        <v/>
      </c>
    </row>
    <row r="132">
      <c r="A132">
        <f>IF(AND(LEN('Checks'!A132)&gt;0,ISNUMBER('Checks'!J132)),'Checks'!J132+129/100000,"")</f>
        <v/>
      </c>
      <c r="B132">
        <f>IF(AND(LEN('Checks'!A132)&gt;0,ISNUMBER('Checks'!H132)),MAX($B$3:B131)+1,"")</f>
        <v/>
      </c>
      <c r="E132">
        <f>IFERROR(MATCH(129,$B$4:$B$503,0),"")</f>
        <v/>
      </c>
    </row>
    <row r="133">
      <c r="A133">
        <f>IF(AND(LEN('Checks'!A133)&gt;0,ISNUMBER('Checks'!J133)),'Checks'!J133+130/100000,"")</f>
        <v/>
      </c>
      <c r="B133">
        <f>IF(AND(LEN('Checks'!A133)&gt;0,ISNUMBER('Checks'!H133)),MAX($B$3:B132)+1,"")</f>
        <v/>
      </c>
      <c r="E133">
        <f>IFERROR(MATCH(130,$B$4:$B$503,0),"")</f>
        <v/>
      </c>
    </row>
    <row r="134">
      <c r="A134">
        <f>IF(AND(LEN('Checks'!A134)&gt;0,ISNUMBER('Checks'!J134)),'Checks'!J134+131/100000,"")</f>
        <v/>
      </c>
      <c r="B134">
        <f>IF(AND(LEN('Checks'!A134)&gt;0,ISNUMBER('Checks'!H134)),MAX($B$3:B133)+1,"")</f>
        <v/>
      </c>
      <c r="E134">
        <f>IFERROR(MATCH(131,$B$4:$B$503,0),"")</f>
        <v/>
      </c>
    </row>
    <row r="135">
      <c r="A135">
        <f>IF(AND(LEN('Checks'!A135)&gt;0,ISNUMBER('Checks'!J135)),'Checks'!J135+132/100000,"")</f>
        <v/>
      </c>
      <c r="B135">
        <f>IF(AND(LEN('Checks'!A135)&gt;0,ISNUMBER('Checks'!H135)),MAX($B$3:B134)+1,"")</f>
        <v/>
      </c>
      <c r="E135">
        <f>IFERROR(MATCH(132,$B$4:$B$503,0),"")</f>
        <v/>
      </c>
    </row>
    <row r="136">
      <c r="A136">
        <f>IF(AND(LEN('Checks'!A136)&gt;0,ISNUMBER('Checks'!J136)),'Checks'!J136+133/100000,"")</f>
        <v/>
      </c>
      <c r="B136">
        <f>IF(AND(LEN('Checks'!A136)&gt;0,ISNUMBER('Checks'!H136)),MAX($B$3:B135)+1,"")</f>
        <v/>
      </c>
      <c r="E136">
        <f>IFERROR(MATCH(133,$B$4:$B$503,0),"")</f>
        <v/>
      </c>
    </row>
    <row r="137">
      <c r="A137">
        <f>IF(AND(LEN('Checks'!A137)&gt;0,ISNUMBER('Checks'!J137)),'Checks'!J137+134/100000,"")</f>
        <v/>
      </c>
      <c r="B137">
        <f>IF(AND(LEN('Checks'!A137)&gt;0,ISNUMBER('Checks'!H137)),MAX($B$3:B136)+1,"")</f>
        <v/>
      </c>
      <c r="E137">
        <f>IFERROR(MATCH(134,$B$4:$B$503,0),"")</f>
        <v/>
      </c>
    </row>
    <row r="138">
      <c r="A138">
        <f>IF(AND(LEN('Checks'!A138)&gt;0,ISNUMBER('Checks'!J138)),'Checks'!J138+135/100000,"")</f>
        <v/>
      </c>
      <c r="B138">
        <f>IF(AND(LEN('Checks'!A138)&gt;0,ISNUMBER('Checks'!H138)),MAX($B$3:B137)+1,"")</f>
        <v/>
      </c>
      <c r="E138">
        <f>IFERROR(MATCH(135,$B$4:$B$503,0),"")</f>
        <v/>
      </c>
    </row>
    <row r="139">
      <c r="A139">
        <f>IF(AND(LEN('Checks'!A139)&gt;0,ISNUMBER('Checks'!J139)),'Checks'!J139+136/100000,"")</f>
        <v/>
      </c>
      <c r="B139">
        <f>IF(AND(LEN('Checks'!A139)&gt;0,ISNUMBER('Checks'!H139)),MAX($B$3:B138)+1,"")</f>
        <v/>
      </c>
      <c r="E139">
        <f>IFERROR(MATCH(136,$B$4:$B$503,0),"")</f>
        <v/>
      </c>
    </row>
    <row r="140">
      <c r="A140">
        <f>IF(AND(LEN('Checks'!A140)&gt;0,ISNUMBER('Checks'!J140)),'Checks'!J140+137/100000,"")</f>
        <v/>
      </c>
      <c r="B140">
        <f>IF(AND(LEN('Checks'!A140)&gt;0,ISNUMBER('Checks'!H140)),MAX($B$3:B139)+1,"")</f>
        <v/>
      </c>
      <c r="E140">
        <f>IFERROR(MATCH(137,$B$4:$B$503,0),"")</f>
        <v/>
      </c>
    </row>
    <row r="141">
      <c r="A141">
        <f>IF(AND(LEN('Checks'!A141)&gt;0,ISNUMBER('Checks'!J141)),'Checks'!J141+138/100000,"")</f>
        <v/>
      </c>
      <c r="B141">
        <f>IF(AND(LEN('Checks'!A141)&gt;0,ISNUMBER('Checks'!H141)),MAX($B$3:B140)+1,"")</f>
        <v/>
      </c>
      <c r="E141">
        <f>IFERROR(MATCH(138,$B$4:$B$503,0),"")</f>
        <v/>
      </c>
    </row>
    <row r="142">
      <c r="A142">
        <f>IF(AND(LEN('Checks'!A142)&gt;0,ISNUMBER('Checks'!J142)),'Checks'!J142+139/100000,"")</f>
        <v/>
      </c>
      <c r="B142">
        <f>IF(AND(LEN('Checks'!A142)&gt;0,ISNUMBER('Checks'!H142)),MAX($B$3:B141)+1,"")</f>
        <v/>
      </c>
      <c r="E142">
        <f>IFERROR(MATCH(139,$B$4:$B$503,0),"")</f>
        <v/>
      </c>
    </row>
    <row r="143">
      <c r="A143">
        <f>IF(AND(LEN('Checks'!A143)&gt;0,ISNUMBER('Checks'!J143)),'Checks'!J143+140/100000,"")</f>
        <v/>
      </c>
      <c r="B143">
        <f>IF(AND(LEN('Checks'!A143)&gt;0,ISNUMBER('Checks'!H143)),MAX($B$3:B142)+1,"")</f>
        <v/>
      </c>
      <c r="E143">
        <f>IFERROR(MATCH(140,$B$4:$B$503,0),"")</f>
        <v/>
      </c>
    </row>
    <row r="144">
      <c r="A144">
        <f>IF(AND(LEN('Checks'!A144)&gt;0,ISNUMBER('Checks'!J144)),'Checks'!J144+141/100000,"")</f>
        <v/>
      </c>
      <c r="B144">
        <f>IF(AND(LEN('Checks'!A144)&gt;0,ISNUMBER('Checks'!H144)),MAX($B$3:B143)+1,"")</f>
        <v/>
      </c>
      <c r="E144">
        <f>IFERROR(MATCH(141,$B$4:$B$503,0),"")</f>
        <v/>
      </c>
    </row>
    <row r="145">
      <c r="A145">
        <f>IF(AND(LEN('Checks'!A145)&gt;0,ISNUMBER('Checks'!J145)),'Checks'!J145+142/100000,"")</f>
        <v/>
      </c>
      <c r="B145">
        <f>IF(AND(LEN('Checks'!A145)&gt;0,ISNUMBER('Checks'!H145)),MAX($B$3:B144)+1,"")</f>
        <v/>
      </c>
      <c r="E145">
        <f>IFERROR(MATCH(142,$B$4:$B$503,0),"")</f>
        <v/>
      </c>
    </row>
    <row r="146">
      <c r="A146">
        <f>IF(AND(LEN('Checks'!A146)&gt;0,ISNUMBER('Checks'!J146)),'Checks'!J146+143/100000,"")</f>
        <v/>
      </c>
      <c r="B146">
        <f>IF(AND(LEN('Checks'!A146)&gt;0,ISNUMBER('Checks'!H146)),MAX($B$3:B145)+1,"")</f>
        <v/>
      </c>
      <c r="E146">
        <f>IFERROR(MATCH(143,$B$4:$B$503,0),"")</f>
        <v/>
      </c>
    </row>
    <row r="147">
      <c r="A147">
        <f>IF(AND(LEN('Checks'!A147)&gt;0,ISNUMBER('Checks'!J147)),'Checks'!J147+144/100000,"")</f>
        <v/>
      </c>
      <c r="B147">
        <f>IF(AND(LEN('Checks'!A147)&gt;0,ISNUMBER('Checks'!H147)),MAX($B$3:B146)+1,"")</f>
        <v/>
      </c>
      <c r="E147">
        <f>IFERROR(MATCH(144,$B$4:$B$503,0),"")</f>
        <v/>
      </c>
    </row>
    <row r="148">
      <c r="A148">
        <f>IF(AND(LEN('Checks'!A148)&gt;0,ISNUMBER('Checks'!J148)),'Checks'!J148+145/100000,"")</f>
        <v/>
      </c>
      <c r="B148">
        <f>IF(AND(LEN('Checks'!A148)&gt;0,ISNUMBER('Checks'!H148)),MAX($B$3:B147)+1,"")</f>
        <v/>
      </c>
      <c r="E148">
        <f>IFERROR(MATCH(145,$B$4:$B$503,0),"")</f>
        <v/>
      </c>
    </row>
    <row r="149">
      <c r="A149">
        <f>IF(AND(LEN('Checks'!A149)&gt;0,ISNUMBER('Checks'!J149)),'Checks'!J149+146/100000,"")</f>
        <v/>
      </c>
      <c r="B149">
        <f>IF(AND(LEN('Checks'!A149)&gt;0,ISNUMBER('Checks'!H149)),MAX($B$3:B148)+1,"")</f>
        <v/>
      </c>
      <c r="E149">
        <f>IFERROR(MATCH(146,$B$4:$B$503,0),"")</f>
        <v/>
      </c>
    </row>
    <row r="150">
      <c r="A150">
        <f>IF(AND(LEN('Checks'!A150)&gt;0,ISNUMBER('Checks'!J150)),'Checks'!J150+147/100000,"")</f>
        <v/>
      </c>
      <c r="B150">
        <f>IF(AND(LEN('Checks'!A150)&gt;0,ISNUMBER('Checks'!H150)),MAX($B$3:B149)+1,"")</f>
        <v/>
      </c>
      <c r="E150">
        <f>IFERROR(MATCH(147,$B$4:$B$503,0),"")</f>
        <v/>
      </c>
    </row>
    <row r="151">
      <c r="A151">
        <f>IF(AND(LEN('Checks'!A151)&gt;0,ISNUMBER('Checks'!J151)),'Checks'!J151+148/100000,"")</f>
        <v/>
      </c>
      <c r="B151">
        <f>IF(AND(LEN('Checks'!A151)&gt;0,ISNUMBER('Checks'!H151)),MAX($B$3:B150)+1,"")</f>
        <v/>
      </c>
      <c r="E151">
        <f>IFERROR(MATCH(148,$B$4:$B$503,0),"")</f>
        <v/>
      </c>
    </row>
    <row r="152">
      <c r="A152">
        <f>IF(AND(LEN('Checks'!A152)&gt;0,ISNUMBER('Checks'!J152)),'Checks'!J152+149/100000,"")</f>
        <v/>
      </c>
      <c r="B152">
        <f>IF(AND(LEN('Checks'!A152)&gt;0,ISNUMBER('Checks'!H152)),MAX($B$3:B151)+1,"")</f>
        <v/>
      </c>
      <c r="E152">
        <f>IFERROR(MATCH(149,$B$4:$B$503,0),"")</f>
        <v/>
      </c>
    </row>
    <row r="153">
      <c r="A153">
        <f>IF(AND(LEN('Checks'!A153)&gt;0,ISNUMBER('Checks'!J153)),'Checks'!J153+150/100000,"")</f>
        <v/>
      </c>
      <c r="B153">
        <f>IF(AND(LEN('Checks'!A153)&gt;0,ISNUMBER('Checks'!H153)),MAX($B$3:B152)+1,"")</f>
        <v/>
      </c>
      <c r="E153">
        <f>IFERROR(MATCH(150,$B$4:$B$503,0),"")</f>
        <v/>
      </c>
    </row>
    <row r="154">
      <c r="A154">
        <f>IF(AND(LEN('Checks'!A154)&gt;0,ISNUMBER('Checks'!J154)),'Checks'!J154+151/100000,"")</f>
        <v/>
      </c>
      <c r="B154">
        <f>IF(AND(LEN('Checks'!A154)&gt;0,ISNUMBER('Checks'!H154)),MAX($B$3:B153)+1,"")</f>
        <v/>
      </c>
      <c r="E154">
        <f>IFERROR(MATCH(151,$B$4:$B$503,0),"")</f>
        <v/>
      </c>
    </row>
    <row r="155">
      <c r="A155">
        <f>IF(AND(LEN('Checks'!A155)&gt;0,ISNUMBER('Checks'!J155)),'Checks'!J155+152/100000,"")</f>
        <v/>
      </c>
      <c r="B155">
        <f>IF(AND(LEN('Checks'!A155)&gt;0,ISNUMBER('Checks'!H155)),MAX($B$3:B154)+1,"")</f>
        <v/>
      </c>
      <c r="E155">
        <f>IFERROR(MATCH(152,$B$4:$B$503,0),"")</f>
        <v/>
      </c>
    </row>
    <row r="156">
      <c r="A156">
        <f>IF(AND(LEN('Checks'!A156)&gt;0,ISNUMBER('Checks'!J156)),'Checks'!J156+153/100000,"")</f>
        <v/>
      </c>
      <c r="B156">
        <f>IF(AND(LEN('Checks'!A156)&gt;0,ISNUMBER('Checks'!H156)),MAX($B$3:B155)+1,"")</f>
        <v/>
      </c>
      <c r="E156">
        <f>IFERROR(MATCH(153,$B$4:$B$503,0),"")</f>
        <v/>
      </c>
    </row>
    <row r="157">
      <c r="A157">
        <f>IF(AND(LEN('Checks'!A157)&gt;0,ISNUMBER('Checks'!J157)),'Checks'!J157+154/100000,"")</f>
        <v/>
      </c>
      <c r="B157">
        <f>IF(AND(LEN('Checks'!A157)&gt;0,ISNUMBER('Checks'!H157)),MAX($B$3:B156)+1,"")</f>
        <v/>
      </c>
      <c r="E157">
        <f>IFERROR(MATCH(154,$B$4:$B$503,0),"")</f>
        <v/>
      </c>
    </row>
    <row r="158">
      <c r="A158">
        <f>IF(AND(LEN('Checks'!A158)&gt;0,ISNUMBER('Checks'!J158)),'Checks'!J158+155/100000,"")</f>
        <v/>
      </c>
      <c r="B158">
        <f>IF(AND(LEN('Checks'!A158)&gt;0,ISNUMBER('Checks'!H158)),MAX($B$3:B157)+1,"")</f>
        <v/>
      </c>
      <c r="E158">
        <f>IFERROR(MATCH(155,$B$4:$B$503,0),"")</f>
        <v/>
      </c>
    </row>
    <row r="159">
      <c r="A159">
        <f>IF(AND(LEN('Checks'!A159)&gt;0,ISNUMBER('Checks'!J159)),'Checks'!J159+156/100000,"")</f>
        <v/>
      </c>
      <c r="B159">
        <f>IF(AND(LEN('Checks'!A159)&gt;0,ISNUMBER('Checks'!H159)),MAX($B$3:B158)+1,"")</f>
        <v/>
      </c>
      <c r="E159">
        <f>IFERROR(MATCH(156,$B$4:$B$503,0),"")</f>
        <v/>
      </c>
    </row>
    <row r="160">
      <c r="A160">
        <f>IF(AND(LEN('Checks'!A160)&gt;0,ISNUMBER('Checks'!J160)),'Checks'!J160+157/100000,"")</f>
        <v/>
      </c>
      <c r="B160">
        <f>IF(AND(LEN('Checks'!A160)&gt;0,ISNUMBER('Checks'!H160)),MAX($B$3:B159)+1,"")</f>
        <v/>
      </c>
      <c r="E160">
        <f>IFERROR(MATCH(157,$B$4:$B$503,0),"")</f>
        <v/>
      </c>
    </row>
    <row r="161">
      <c r="A161">
        <f>IF(AND(LEN('Checks'!A161)&gt;0,ISNUMBER('Checks'!J161)),'Checks'!J161+158/100000,"")</f>
        <v/>
      </c>
      <c r="B161">
        <f>IF(AND(LEN('Checks'!A161)&gt;0,ISNUMBER('Checks'!H161)),MAX($B$3:B160)+1,"")</f>
        <v/>
      </c>
      <c r="E161">
        <f>IFERROR(MATCH(158,$B$4:$B$503,0),"")</f>
        <v/>
      </c>
    </row>
    <row r="162">
      <c r="A162">
        <f>IF(AND(LEN('Checks'!A162)&gt;0,ISNUMBER('Checks'!J162)),'Checks'!J162+159/100000,"")</f>
        <v/>
      </c>
      <c r="B162">
        <f>IF(AND(LEN('Checks'!A162)&gt;0,ISNUMBER('Checks'!H162)),MAX($B$3:B161)+1,"")</f>
        <v/>
      </c>
      <c r="E162">
        <f>IFERROR(MATCH(159,$B$4:$B$503,0),"")</f>
        <v/>
      </c>
    </row>
    <row r="163">
      <c r="A163">
        <f>IF(AND(LEN('Checks'!A163)&gt;0,ISNUMBER('Checks'!J163)),'Checks'!J163+160/100000,"")</f>
        <v/>
      </c>
      <c r="B163">
        <f>IF(AND(LEN('Checks'!A163)&gt;0,ISNUMBER('Checks'!H163)),MAX($B$3:B162)+1,"")</f>
        <v/>
      </c>
      <c r="E163">
        <f>IFERROR(MATCH(160,$B$4:$B$503,0),"")</f>
        <v/>
      </c>
    </row>
    <row r="164">
      <c r="A164">
        <f>IF(AND(LEN('Checks'!A164)&gt;0,ISNUMBER('Checks'!J164)),'Checks'!J164+161/100000,"")</f>
        <v/>
      </c>
      <c r="B164">
        <f>IF(AND(LEN('Checks'!A164)&gt;0,ISNUMBER('Checks'!H164)),MAX($B$3:B163)+1,"")</f>
        <v/>
      </c>
      <c r="E164">
        <f>IFERROR(MATCH(161,$B$4:$B$503,0),"")</f>
        <v/>
      </c>
    </row>
    <row r="165">
      <c r="A165">
        <f>IF(AND(LEN('Checks'!A165)&gt;0,ISNUMBER('Checks'!J165)),'Checks'!J165+162/100000,"")</f>
        <v/>
      </c>
      <c r="B165">
        <f>IF(AND(LEN('Checks'!A165)&gt;0,ISNUMBER('Checks'!H165)),MAX($B$3:B164)+1,"")</f>
        <v/>
      </c>
      <c r="E165">
        <f>IFERROR(MATCH(162,$B$4:$B$503,0),"")</f>
        <v/>
      </c>
    </row>
    <row r="166">
      <c r="A166">
        <f>IF(AND(LEN('Checks'!A166)&gt;0,ISNUMBER('Checks'!J166)),'Checks'!J166+163/100000,"")</f>
        <v/>
      </c>
      <c r="B166">
        <f>IF(AND(LEN('Checks'!A166)&gt;0,ISNUMBER('Checks'!H166)),MAX($B$3:B165)+1,"")</f>
        <v/>
      </c>
      <c r="E166">
        <f>IFERROR(MATCH(163,$B$4:$B$503,0),"")</f>
        <v/>
      </c>
    </row>
    <row r="167">
      <c r="A167">
        <f>IF(AND(LEN('Checks'!A167)&gt;0,ISNUMBER('Checks'!J167)),'Checks'!J167+164/100000,"")</f>
        <v/>
      </c>
      <c r="B167">
        <f>IF(AND(LEN('Checks'!A167)&gt;0,ISNUMBER('Checks'!H167)),MAX($B$3:B166)+1,"")</f>
        <v/>
      </c>
      <c r="E167">
        <f>IFERROR(MATCH(164,$B$4:$B$503,0),"")</f>
        <v/>
      </c>
    </row>
    <row r="168">
      <c r="A168">
        <f>IF(AND(LEN('Checks'!A168)&gt;0,ISNUMBER('Checks'!J168)),'Checks'!J168+165/100000,"")</f>
        <v/>
      </c>
      <c r="B168">
        <f>IF(AND(LEN('Checks'!A168)&gt;0,ISNUMBER('Checks'!H168)),MAX($B$3:B167)+1,"")</f>
        <v/>
      </c>
      <c r="E168">
        <f>IFERROR(MATCH(165,$B$4:$B$503,0),"")</f>
        <v/>
      </c>
    </row>
    <row r="169">
      <c r="A169">
        <f>IF(AND(LEN('Checks'!A169)&gt;0,ISNUMBER('Checks'!J169)),'Checks'!J169+166/100000,"")</f>
        <v/>
      </c>
      <c r="B169">
        <f>IF(AND(LEN('Checks'!A169)&gt;0,ISNUMBER('Checks'!H169)),MAX($B$3:B168)+1,"")</f>
        <v/>
      </c>
      <c r="E169">
        <f>IFERROR(MATCH(166,$B$4:$B$503,0),"")</f>
        <v/>
      </c>
    </row>
    <row r="170">
      <c r="A170">
        <f>IF(AND(LEN('Checks'!A170)&gt;0,ISNUMBER('Checks'!J170)),'Checks'!J170+167/100000,"")</f>
        <v/>
      </c>
      <c r="B170">
        <f>IF(AND(LEN('Checks'!A170)&gt;0,ISNUMBER('Checks'!H170)),MAX($B$3:B169)+1,"")</f>
        <v/>
      </c>
      <c r="E170">
        <f>IFERROR(MATCH(167,$B$4:$B$503,0),"")</f>
        <v/>
      </c>
    </row>
    <row r="171">
      <c r="A171">
        <f>IF(AND(LEN('Checks'!A171)&gt;0,ISNUMBER('Checks'!J171)),'Checks'!J171+168/100000,"")</f>
        <v/>
      </c>
      <c r="B171">
        <f>IF(AND(LEN('Checks'!A171)&gt;0,ISNUMBER('Checks'!H171)),MAX($B$3:B170)+1,"")</f>
        <v/>
      </c>
      <c r="E171">
        <f>IFERROR(MATCH(168,$B$4:$B$503,0),"")</f>
        <v/>
      </c>
    </row>
    <row r="172">
      <c r="A172">
        <f>IF(AND(LEN('Checks'!A172)&gt;0,ISNUMBER('Checks'!J172)),'Checks'!J172+169/100000,"")</f>
        <v/>
      </c>
      <c r="B172">
        <f>IF(AND(LEN('Checks'!A172)&gt;0,ISNUMBER('Checks'!H172)),MAX($B$3:B171)+1,"")</f>
        <v/>
      </c>
      <c r="E172">
        <f>IFERROR(MATCH(169,$B$4:$B$503,0),"")</f>
        <v/>
      </c>
    </row>
    <row r="173">
      <c r="A173">
        <f>IF(AND(LEN('Checks'!A173)&gt;0,ISNUMBER('Checks'!J173)),'Checks'!J173+170/100000,"")</f>
        <v/>
      </c>
      <c r="B173">
        <f>IF(AND(LEN('Checks'!A173)&gt;0,ISNUMBER('Checks'!H173)),MAX($B$3:B172)+1,"")</f>
        <v/>
      </c>
      <c r="E173">
        <f>IFERROR(MATCH(170,$B$4:$B$503,0),"")</f>
        <v/>
      </c>
    </row>
    <row r="174">
      <c r="A174">
        <f>IF(AND(LEN('Checks'!A174)&gt;0,ISNUMBER('Checks'!J174)),'Checks'!J174+171/100000,"")</f>
        <v/>
      </c>
      <c r="B174">
        <f>IF(AND(LEN('Checks'!A174)&gt;0,ISNUMBER('Checks'!H174)),MAX($B$3:B173)+1,"")</f>
        <v/>
      </c>
      <c r="E174">
        <f>IFERROR(MATCH(171,$B$4:$B$503,0),"")</f>
        <v/>
      </c>
    </row>
    <row r="175">
      <c r="A175">
        <f>IF(AND(LEN('Checks'!A175)&gt;0,ISNUMBER('Checks'!J175)),'Checks'!J175+172/100000,"")</f>
        <v/>
      </c>
      <c r="B175">
        <f>IF(AND(LEN('Checks'!A175)&gt;0,ISNUMBER('Checks'!H175)),MAX($B$3:B174)+1,"")</f>
        <v/>
      </c>
      <c r="E175">
        <f>IFERROR(MATCH(172,$B$4:$B$503,0),"")</f>
        <v/>
      </c>
    </row>
    <row r="176">
      <c r="A176">
        <f>IF(AND(LEN('Checks'!A176)&gt;0,ISNUMBER('Checks'!J176)),'Checks'!J176+173/100000,"")</f>
        <v/>
      </c>
      <c r="B176">
        <f>IF(AND(LEN('Checks'!A176)&gt;0,ISNUMBER('Checks'!H176)),MAX($B$3:B175)+1,"")</f>
        <v/>
      </c>
      <c r="E176">
        <f>IFERROR(MATCH(173,$B$4:$B$503,0),"")</f>
        <v/>
      </c>
    </row>
    <row r="177">
      <c r="A177">
        <f>IF(AND(LEN('Checks'!A177)&gt;0,ISNUMBER('Checks'!J177)),'Checks'!J177+174/100000,"")</f>
        <v/>
      </c>
      <c r="B177">
        <f>IF(AND(LEN('Checks'!A177)&gt;0,ISNUMBER('Checks'!H177)),MAX($B$3:B176)+1,"")</f>
        <v/>
      </c>
      <c r="E177">
        <f>IFERROR(MATCH(174,$B$4:$B$503,0),"")</f>
        <v/>
      </c>
    </row>
    <row r="178">
      <c r="A178">
        <f>IF(AND(LEN('Checks'!A178)&gt;0,ISNUMBER('Checks'!J178)),'Checks'!J178+175/100000,"")</f>
        <v/>
      </c>
      <c r="B178">
        <f>IF(AND(LEN('Checks'!A178)&gt;0,ISNUMBER('Checks'!H178)),MAX($B$3:B177)+1,"")</f>
        <v/>
      </c>
      <c r="E178">
        <f>IFERROR(MATCH(175,$B$4:$B$503,0),"")</f>
        <v/>
      </c>
    </row>
    <row r="179">
      <c r="A179">
        <f>IF(AND(LEN('Checks'!A179)&gt;0,ISNUMBER('Checks'!J179)),'Checks'!J179+176/100000,"")</f>
        <v/>
      </c>
      <c r="B179">
        <f>IF(AND(LEN('Checks'!A179)&gt;0,ISNUMBER('Checks'!H179)),MAX($B$3:B178)+1,"")</f>
        <v/>
      </c>
      <c r="E179">
        <f>IFERROR(MATCH(176,$B$4:$B$503,0),"")</f>
        <v/>
      </c>
    </row>
    <row r="180">
      <c r="A180">
        <f>IF(AND(LEN('Checks'!A180)&gt;0,ISNUMBER('Checks'!J180)),'Checks'!J180+177/100000,"")</f>
        <v/>
      </c>
      <c r="B180">
        <f>IF(AND(LEN('Checks'!A180)&gt;0,ISNUMBER('Checks'!H180)),MAX($B$3:B179)+1,"")</f>
        <v/>
      </c>
      <c r="E180">
        <f>IFERROR(MATCH(177,$B$4:$B$503,0),"")</f>
        <v/>
      </c>
    </row>
    <row r="181">
      <c r="A181">
        <f>IF(AND(LEN('Checks'!A181)&gt;0,ISNUMBER('Checks'!J181)),'Checks'!J181+178/100000,"")</f>
        <v/>
      </c>
      <c r="B181">
        <f>IF(AND(LEN('Checks'!A181)&gt;0,ISNUMBER('Checks'!H181)),MAX($B$3:B180)+1,"")</f>
        <v/>
      </c>
      <c r="E181">
        <f>IFERROR(MATCH(178,$B$4:$B$503,0),"")</f>
        <v/>
      </c>
    </row>
    <row r="182">
      <c r="A182">
        <f>IF(AND(LEN('Checks'!A182)&gt;0,ISNUMBER('Checks'!J182)),'Checks'!J182+179/100000,"")</f>
        <v/>
      </c>
      <c r="B182">
        <f>IF(AND(LEN('Checks'!A182)&gt;0,ISNUMBER('Checks'!H182)),MAX($B$3:B181)+1,"")</f>
        <v/>
      </c>
      <c r="E182">
        <f>IFERROR(MATCH(179,$B$4:$B$503,0),"")</f>
        <v/>
      </c>
    </row>
    <row r="183">
      <c r="A183">
        <f>IF(AND(LEN('Checks'!A183)&gt;0,ISNUMBER('Checks'!J183)),'Checks'!J183+180/100000,"")</f>
        <v/>
      </c>
      <c r="B183">
        <f>IF(AND(LEN('Checks'!A183)&gt;0,ISNUMBER('Checks'!H183)),MAX($B$3:B182)+1,"")</f>
        <v/>
      </c>
      <c r="E183">
        <f>IFERROR(MATCH(180,$B$4:$B$503,0),"")</f>
        <v/>
      </c>
    </row>
    <row r="184">
      <c r="A184">
        <f>IF(AND(LEN('Checks'!A184)&gt;0,ISNUMBER('Checks'!J184)),'Checks'!J184+181/100000,"")</f>
        <v/>
      </c>
      <c r="B184">
        <f>IF(AND(LEN('Checks'!A184)&gt;0,ISNUMBER('Checks'!H184)),MAX($B$3:B183)+1,"")</f>
        <v/>
      </c>
      <c r="E184">
        <f>IFERROR(MATCH(181,$B$4:$B$503,0),"")</f>
        <v/>
      </c>
    </row>
    <row r="185">
      <c r="A185">
        <f>IF(AND(LEN('Checks'!A185)&gt;0,ISNUMBER('Checks'!J185)),'Checks'!J185+182/100000,"")</f>
        <v/>
      </c>
      <c r="B185">
        <f>IF(AND(LEN('Checks'!A185)&gt;0,ISNUMBER('Checks'!H185)),MAX($B$3:B184)+1,"")</f>
        <v/>
      </c>
      <c r="E185">
        <f>IFERROR(MATCH(182,$B$4:$B$503,0),"")</f>
        <v/>
      </c>
    </row>
    <row r="186">
      <c r="A186">
        <f>IF(AND(LEN('Checks'!A186)&gt;0,ISNUMBER('Checks'!J186)),'Checks'!J186+183/100000,"")</f>
        <v/>
      </c>
      <c r="B186">
        <f>IF(AND(LEN('Checks'!A186)&gt;0,ISNUMBER('Checks'!H186)),MAX($B$3:B185)+1,"")</f>
        <v/>
      </c>
      <c r="E186">
        <f>IFERROR(MATCH(183,$B$4:$B$503,0),"")</f>
        <v/>
      </c>
    </row>
    <row r="187">
      <c r="A187">
        <f>IF(AND(LEN('Checks'!A187)&gt;0,ISNUMBER('Checks'!J187)),'Checks'!J187+184/100000,"")</f>
        <v/>
      </c>
      <c r="B187">
        <f>IF(AND(LEN('Checks'!A187)&gt;0,ISNUMBER('Checks'!H187)),MAX($B$3:B186)+1,"")</f>
        <v/>
      </c>
      <c r="E187">
        <f>IFERROR(MATCH(184,$B$4:$B$503,0),"")</f>
        <v/>
      </c>
    </row>
    <row r="188">
      <c r="A188">
        <f>IF(AND(LEN('Checks'!A188)&gt;0,ISNUMBER('Checks'!J188)),'Checks'!J188+185/100000,"")</f>
        <v/>
      </c>
      <c r="B188">
        <f>IF(AND(LEN('Checks'!A188)&gt;0,ISNUMBER('Checks'!H188)),MAX($B$3:B187)+1,"")</f>
        <v/>
      </c>
      <c r="E188">
        <f>IFERROR(MATCH(185,$B$4:$B$503,0),"")</f>
        <v/>
      </c>
    </row>
    <row r="189">
      <c r="A189">
        <f>IF(AND(LEN('Checks'!A189)&gt;0,ISNUMBER('Checks'!J189)),'Checks'!J189+186/100000,"")</f>
        <v/>
      </c>
      <c r="B189">
        <f>IF(AND(LEN('Checks'!A189)&gt;0,ISNUMBER('Checks'!H189)),MAX($B$3:B188)+1,"")</f>
        <v/>
      </c>
      <c r="E189">
        <f>IFERROR(MATCH(186,$B$4:$B$503,0),"")</f>
        <v/>
      </c>
    </row>
    <row r="190">
      <c r="A190">
        <f>IF(AND(LEN('Checks'!A190)&gt;0,ISNUMBER('Checks'!J190)),'Checks'!J190+187/100000,"")</f>
        <v/>
      </c>
      <c r="B190">
        <f>IF(AND(LEN('Checks'!A190)&gt;0,ISNUMBER('Checks'!H190)),MAX($B$3:B189)+1,"")</f>
        <v/>
      </c>
      <c r="E190">
        <f>IFERROR(MATCH(187,$B$4:$B$503,0),"")</f>
        <v/>
      </c>
    </row>
    <row r="191">
      <c r="A191">
        <f>IF(AND(LEN('Checks'!A191)&gt;0,ISNUMBER('Checks'!J191)),'Checks'!J191+188/100000,"")</f>
        <v/>
      </c>
      <c r="B191">
        <f>IF(AND(LEN('Checks'!A191)&gt;0,ISNUMBER('Checks'!H191)),MAX($B$3:B190)+1,"")</f>
        <v/>
      </c>
      <c r="E191">
        <f>IFERROR(MATCH(188,$B$4:$B$503,0),"")</f>
        <v/>
      </c>
    </row>
    <row r="192">
      <c r="A192">
        <f>IF(AND(LEN('Checks'!A192)&gt;0,ISNUMBER('Checks'!J192)),'Checks'!J192+189/100000,"")</f>
        <v/>
      </c>
      <c r="B192">
        <f>IF(AND(LEN('Checks'!A192)&gt;0,ISNUMBER('Checks'!H192)),MAX($B$3:B191)+1,"")</f>
        <v/>
      </c>
      <c r="E192">
        <f>IFERROR(MATCH(189,$B$4:$B$503,0),"")</f>
        <v/>
      </c>
    </row>
    <row r="193">
      <c r="A193">
        <f>IF(AND(LEN('Checks'!A193)&gt;0,ISNUMBER('Checks'!J193)),'Checks'!J193+190/100000,"")</f>
        <v/>
      </c>
      <c r="B193">
        <f>IF(AND(LEN('Checks'!A193)&gt;0,ISNUMBER('Checks'!H193)),MAX($B$3:B192)+1,"")</f>
        <v/>
      </c>
      <c r="E193">
        <f>IFERROR(MATCH(190,$B$4:$B$503,0),"")</f>
        <v/>
      </c>
    </row>
    <row r="194">
      <c r="A194">
        <f>IF(AND(LEN('Checks'!A194)&gt;0,ISNUMBER('Checks'!J194)),'Checks'!J194+191/100000,"")</f>
        <v/>
      </c>
      <c r="B194">
        <f>IF(AND(LEN('Checks'!A194)&gt;0,ISNUMBER('Checks'!H194)),MAX($B$3:B193)+1,"")</f>
        <v/>
      </c>
      <c r="E194">
        <f>IFERROR(MATCH(191,$B$4:$B$503,0),"")</f>
        <v/>
      </c>
    </row>
    <row r="195">
      <c r="A195">
        <f>IF(AND(LEN('Checks'!A195)&gt;0,ISNUMBER('Checks'!J195)),'Checks'!J195+192/100000,"")</f>
        <v/>
      </c>
      <c r="B195">
        <f>IF(AND(LEN('Checks'!A195)&gt;0,ISNUMBER('Checks'!H195)),MAX($B$3:B194)+1,"")</f>
        <v/>
      </c>
      <c r="E195">
        <f>IFERROR(MATCH(192,$B$4:$B$503,0),"")</f>
        <v/>
      </c>
    </row>
    <row r="196">
      <c r="A196">
        <f>IF(AND(LEN('Checks'!A196)&gt;0,ISNUMBER('Checks'!J196)),'Checks'!J196+193/100000,"")</f>
        <v/>
      </c>
      <c r="B196">
        <f>IF(AND(LEN('Checks'!A196)&gt;0,ISNUMBER('Checks'!H196)),MAX($B$3:B195)+1,"")</f>
        <v/>
      </c>
      <c r="E196">
        <f>IFERROR(MATCH(193,$B$4:$B$503,0),"")</f>
        <v/>
      </c>
    </row>
    <row r="197">
      <c r="A197">
        <f>IF(AND(LEN('Checks'!A197)&gt;0,ISNUMBER('Checks'!J197)),'Checks'!J197+194/100000,"")</f>
        <v/>
      </c>
      <c r="B197">
        <f>IF(AND(LEN('Checks'!A197)&gt;0,ISNUMBER('Checks'!H197)),MAX($B$3:B196)+1,"")</f>
        <v/>
      </c>
      <c r="E197">
        <f>IFERROR(MATCH(194,$B$4:$B$503,0),"")</f>
        <v/>
      </c>
    </row>
    <row r="198">
      <c r="A198">
        <f>IF(AND(LEN('Checks'!A198)&gt;0,ISNUMBER('Checks'!J198)),'Checks'!J198+195/100000,"")</f>
        <v/>
      </c>
      <c r="B198">
        <f>IF(AND(LEN('Checks'!A198)&gt;0,ISNUMBER('Checks'!H198)),MAX($B$3:B197)+1,"")</f>
        <v/>
      </c>
      <c r="E198">
        <f>IFERROR(MATCH(195,$B$4:$B$503,0),"")</f>
        <v/>
      </c>
    </row>
    <row r="199">
      <c r="A199">
        <f>IF(AND(LEN('Checks'!A199)&gt;0,ISNUMBER('Checks'!J199)),'Checks'!J199+196/100000,"")</f>
        <v/>
      </c>
      <c r="B199">
        <f>IF(AND(LEN('Checks'!A199)&gt;0,ISNUMBER('Checks'!H199)),MAX($B$3:B198)+1,"")</f>
        <v/>
      </c>
      <c r="E199">
        <f>IFERROR(MATCH(196,$B$4:$B$503,0),"")</f>
        <v/>
      </c>
    </row>
    <row r="200">
      <c r="A200">
        <f>IF(AND(LEN('Checks'!A200)&gt;0,ISNUMBER('Checks'!J200)),'Checks'!J200+197/100000,"")</f>
        <v/>
      </c>
      <c r="B200">
        <f>IF(AND(LEN('Checks'!A200)&gt;0,ISNUMBER('Checks'!H200)),MAX($B$3:B199)+1,"")</f>
        <v/>
      </c>
      <c r="E200">
        <f>IFERROR(MATCH(197,$B$4:$B$503,0),"")</f>
        <v/>
      </c>
    </row>
    <row r="201">
      <c r="A201">
        <f>IF(AND(LEN('Checks'!A201)&gt;0,ISNUMBER('Checks'!J201)),'Checks'!J201+198/100000,"")</f>
        <v/>
      </c>
      <c r="B201">
        <f>IF(AND(LEN('Checks'!A201)&gt;0,ISNUMBER('Checks'!H201)),MAX($B$3:B200)+1,"")</f>
        <v/>
      </c>
      <c r="E201">
        <f>IFERROR(MATCH(198,$B$4:$B$503,0),"")</f>
        <v/>
      </c>
    </row>
    <row r="202">
      <c r="A202">
        <f>IF(AND(LEN('Checks'!A202)&gt;0,ISNUMBER('Checks'!J202)),'Checks'!J202+199/100000,"")</f>
        <v/>
      </c>
      <c r="B202">
        <f>IF(AND(LEN('Checks'!A202)&gt;0,ISNUMBER('Checks'!H202)),MAX($B$3:B201)+1,"")</f>
        <v/>
      </c>
      <c r="E202">
        <f>IFERROR(MATCH(199,$B$4:$B$503,0),"")</f>
        <v/>
      </c>
    </row>
    <row r="203">
      <c r="A203">
        <f>IF(AND(LEN('Checks'!A203)&gt;0,ISNUMBER('Checks'!J203)),'Checks'!J203+200/100000,"")</f>
        <v/>
      </c>
      <c r="B203">
        <f>IF(AND(LEN('Checks'!A203)&gt;0,ISNUMBER('Checks'!H203)),MAX($B$3:B202)+1,"")</f>
        <v/>
      </c>
      <c r="E203">
        <f>IFERROR(MATCH(200,$B$4:$B$503,0),"")</f>
        <v/>
      </c>
    </row>
    <row r="204">
      <c r="A204">
        <f>IF(AND(LEN('Checks'!A204)&gt;0,ISNUMBER('Checks'!J204)),'Checks'!J204+201/100000,"")</f>
        <v/>
      </c>
      <c r="B204">
        <f>IF(AND(LEN('Checks'!A204)&gt;0,ISNUMBER('Checks'!H204)),MAX($B$3:B203)+1,"")</f>
        <v/>
      </c>
      <c r="E204">
        <f>IFERROR(MATCH(201,$B$4:$B$503,0),"")</f>
        <v/>
      </c>
    </row>
    <row r="205">
      <c r="A205">
        <f>IF(AND(LEN('Checks'!A205)&gt;0,ISNUMBER('Checks'!J205)),'Checks'!J205+202/100000,"")</f>
        <v/>
      </c>
      <c r="B205">
        <f>IF(AND(LEN('Checks'!A205)&gt;0,ISNUMBER('Checks'!H205)),MAX($B$3:B204)+1,"")</f>
        <v/>
      </c>
      <c r="E205">
        <f>IFERROR(MATCH(202,$B$4:$B$503,0),"")</f>
        <v/>
      </c>
    </row>
    <row r="206">
      <c r="A206">
        <f>IF(AND(LEN('Checks'!A206)&gt;0,ISNUMBER('Checks'!J206)),'Checks'!J206+203/100000,"")</f>
        <v/>
      </c>
      <c r="B206">
        <f>IF(AND(LEN('Checks'!A206)&gt;0,ISNUMBER('Checks'!H206)),MAX($B$3:B205)+1,"")</f>
        <v/>
      </c>
      <c r="E206">
        <f>IFERROR(MATCH(203,$B$4:$B$503,0),"")</f>
        <v/>
      </c>
    </row>
    <row r="207">
      <c r="A207">
        <f>IF(AND(LEN('Checks'!A207)&gt;0,ISNUMBER('Checks'!J207)),'Checks'!J207+204/100000,"")</f>
        <v/>
      </c>
      <c r="B207">
        <f>IF(AND(LEN('Checks'!A207)&gt;0,ISNUMBER('Checks'!H207)),MAX($B$3:B206)+1,"")</f>
        <v/>
      </c>
      <c r="E207">
        <f>IFERROR(MATCH(204,$B$4:$B$503,0),"")</f>
        <v/>
      </c>
    </row>
    <row r="208">
      <c r="A208">
        <f>IF(AND(LEN('Checks'!A208)&gt;0,ISNUMBER('Checks'!J208)),'Checks'!J208+205/100000,"")</f>
        <v/>
      </c>
      <c r="B208">
        <f>IF(AND(LEN('Checks'!A208)&gt;0,ISNUMBER('Checks'!H208)),MAX($B$3:B207)+1,"")</f>
        <v/>
      </c>
      <c r="E208">
        <f>IFERROR(MATCH(205,$B$4:$B$503,0),"")</f>
        <v/>
      </c>
    </row>
    <row r="209">
      <c r="A209">
        <f>IF(AND(LEN('Checks'!A209)&gt;0,ISNUMBER('Checks'!J209)),'Checks'!J209+206/100000,"")</f>
        <v/>
      </c>
      <c r="B209">
        <f>IF(AND(LEN('Checks'!A209)&gt;0,ISNUMBER('Checks'!H209)),MAX($B$3:B208)+1,"")</f>
        <v/>
      </c>
      <c r="E209">
        <f>IFERROR(MATCH(206,$B$4:$B$503,0),"")</f>
        <v/>
      </c>
    </row>
    <row r="210">
      <c r="A210">
        <f>IF(AND(LEN('Checks'!A210)&gt;0,ISNUMBER('Checks'!J210)),'Checks'!J210+207/100000,"")</f>
        <v/>
      </c>
      <c r="B210">
        <f>IF(AND(LEN('Checks'!A210)&gt;0,ISNUMBER('Checks'!H210)),MAX($B$3:B209)+1,"")</f>
        <v/>
      </c>
      <c r="E210">
        <f>IFERROR(MATCH(207,$B$4:$B$503,0),"")</f>
        <v/>
      </c>
    </row>
    <row r="211">
      <c r="A211">
        <f>IF(AND(LEN('Checks'!A211)&gt;0,ISNUMBER('Checks'!J211)),'Checks'!J211+208/100000,"")</f>
        <v/>
      </c>
      <c r="B211">
        <f>IF(AND(LEN('Checks'!A211)&gt;0,ISNUMBER('Checks'!H211)),MAX($B$3:B210)+1,"")</f>
        <v/>
      </c>
      <c r="E211">
        <f>IFERROR(MATCH(208,$B$4:$B$503,0),"")</f>
        <v/>
      </c>
    </row>
    <row r="212">
      <c r="A212">
        <f>IF(AND(LEN('Checks'!A212)&gt;0,ISNUMBER('Checks'!J212)),'Checks'!J212+209/100000,"")</f>
        <v/>
      </c>
      <c r="B212">
        <f>IF(AND(LEN('Checks'!A212)&gt;0,ISNUMBER('Checks'!H212)),MAX($B$3:B211)+1,"")</f>
        <v/>
      </c>
      <c r="E212">
        <f>IFERROR(MATCH(209,$B$4:$B$503,0),"")</f>
        <v/>
      </c>
    </row>
    <row r="213">
      <c r="A213">
        <f>IF(AND(LEN('Checks'!A213)&gt;0,ISNUMBER('Checks'!J213)),'Checks'!J213+210/100000,"")</f>
        <v/>
      </c>
      <c r="B213">
        <f>IF(AND(LEN('Checks'!A213)&gt;0,ISNUMBER('Checks'!H213)),MAX($B$3:B212)+1,"")</f>
        <v/>
      </c>
      <c r="E213">
        <f>IFERROR(MATCH(210,$B$4:$B$503,0),"")</f>
        <v/>
      </c>
    </row>
    <row r="214">
      <c r="A214">
        <f>IF(AND(LEN('Checks'!A214)&gt;0,ISNUMBER('Checks'!J214)),'Checks'!J214+211/100000,"")</f>
        <v/>
      </c>
      <c r="B214">
        <f>IF(AND(LEN('Checks'!A214)&gt;0,ISNUMBER('Checks'!H214)),MAX($B$3:B213)+1,"")</f>
        <v/>
      </c>
      <c r="E214">
        <f>IFERROR(MATCH(211,$B$4:$B$503,0),"")</f>
        <v/>
      </c>
    </row>
    <row r="215">
      <c r="A215">
        <f>IF(AND(LEN('Checks'!A215)&gt;0,ISNUMBER('Checks'!J215)),'Checks'!J215+212/100000,"")</f>
        <v/>
      </c>
      <c r="B215">
        <f>IF(AND(LEN('Checks'!A215)&gt;0,ISNUMBER('Checks'!H215)),MAX($B$3:B214)+1,"")</f>
        <v/>
      </c>
      <c r="E215">
        <f>IFERROR(MATCH(212,$B$4:$B$503,0),"")</f>
        <v/>
      </c>
    </row>
    <row r="216">
      <c r="A216">
        <f>IF(AND(LEN('Checks'!A216)&gt;0,ISNUMBER('Checks'!J216)),'Checks'!J216+213/100000,"")</f>
        <v/>
      </c>
      <c r="B216">
        <f>IF(AND(LEN('Checks'!A216)&gt;0,ISNUMBER('Checks'!H216)),MAX($B$3:B215)+1,"")</f>
        <v/>
      </c>
      <c r="E216">
        <f>IFERROR(MATCH(213,$B$4:$B$503,0),"")</f>
        <v/>
      </c>
    </row>
    <row r="217">
      <c r="A217">
        <f>IF(AND(LEN('Checks'!A217)&gt;0,ISNUMBER('Checks'!J217)),'Checks'!J217+214/100000,"")</f>
        <v/>
      </c>
      <c r="B217">
        <f>IF(AND(LEN('Checks'!A217)&gt;0,ISNUMBER('Checks'!H217)),MAX($B$3:B216)+1,"")</f>
        <v/>
      </c>
      <c r="E217">
        <f>IFERROR(MATCH(214,$B$4:$B$503,0),"")</f>
        <v/>
      </c>
    </row>
    <row r="218">
      <c r="A218">
        <f>IF(AND(LEN('Checks'!A218)&gt;0,ISNUMBER('Checks'!J218)),'Checks'!J218+215/100000,"")</f>
        <v/>
      </c>
      <c r="B218">
        <f>IF(AND(LEN('Checks'!A218)&gt;0,ISNUMBER('Checks'!H218)),MAX($B$3:B217)+1,"")</f>
        <v/>
      </c>
      <c r="E218">
        <f>IFERROR(MATCH(215,$B$4:$B$503,0),"")</f>
        <v/>
      </c>
    </row>
    <row r="219">
      <c r="A219">
        <f>IF(AND(LEN('Checks'!A219)&gt;0,ISNUMBER('Checks'!J219)),'Checks'!J219+216/100000,"")</f>
        <v/>
      </c>
      <c r="B219">
        <f>IF(AND(LEN('Checks'!A219)&gt;0,ISNUMBER('Checks'!H219)),MAX($B$3:B218)+1,"")</f>
        <v/>
      </c>
      <c r="E219">
        <f>IFERROR(MATCH(216,$B$4:$B$503,0),"")</f>
        <v/>
      </c>
    </row>
    <row r="220">
      <c r="A220">
        <f>IF(AND(LEN('Checks'!A220)&gt;0,ISNUMBER('Checks'!J220)),'Checks'!J220+217/100000,"")</f>
        <v/>
      </c>
      <c r="B220">
        <f>IF(AND(LEN('Checks'!A220)&gt;0,ISNUMBER('Checks'!H220)),MAX($B$3:B219)+1,"")</f>
        <v/>
      </c>
      <c r="E220">
        <f>IFERROR(MATCH(217,$B$4:$B$503,0),"")</f>
        <v/>
      </c>
    </row>
    <row r="221">
      <c r="A221">
        <f>IF(AND(LEN('Checks'!A221)&gt;0,ISNUMBER('Checks'!J221)),'Checks'!J221+218/100000,"")</f>
        <v/>
      </c>
      <c r="B221">
        <f>IF(AND(LEN('Checks'!A221)&gt;0,ISNUMBER('Checks'!H221)),MAX($B$3:B220)+1,"")</f>
        <v/>
      </c>
      <c r="E221">
        <f>IFERROR(MATCH(218,$B$4:$B$503,0),"")</f>
        <v/>
      </c>
    </row>
    <row r="222">
      <c r="A222">
        <f>IF(AND(LEN('Checks'!A222)&gt;0,ISNUMBER('Checks'!J222)),'Checks'!J222+219/100000,"")</f>
        <v/>
      </c>
      <c r="B222">
        <f>IF(AND(LEN('Checks'!A222)&gt;0,ISNUMBER('Checks'!H222)),MAX($B$3:B221)+1,"")</f>
        <v/>
      </c>
      <c r="E222">
        <f>IFERROR(MATCH(219,$B$4:$B$503,0),"")</f>
        <v/>
      </c>
    </row>
    <row r="223">
      <c r="A223">
        <f>IF(AND(LEN('Checks'!A223)&gt;0,ISNUMBER('Checks'!J223)),'Checks'!J223+220/100000,"")</f>
        <v/>
      </c>
      <c r="B223">
        <f>IF(AND(LEN('Checks'!A223)&gt;0,ISNUMBER('Checks'!H223)),MAX($B$3:B222)+1,"")</f>
        <v/>
      </c>
      <c r="E223">
        <f>IFERROR(MATCH(220,$B$4:$B$503,0),"")</f>
        <v/>
      </c>
    </row>
    <row r="224">
      <c r="A224">
        <f>IF(AND(LEN('Checks'!A224)&gt;0,ISNUMBER('Checks'!J224)),'Checks'!J224+221/100000,"")</f>
        <v/>
      </c>
      <c r="B224">
        <f>IF(AND(LEN('Checks'!A224)&gt;0,ISNUMBER('Checks'!H224)),MAX($B$3:B223)+1,"")</f>
        <v/>
      </c>
      <c r="E224">
        <f>IFERROR(MATCH(221,$B$4:$B$503,0),"")</f>
        <v/>
      </c>
    </row>
    <row r="225">
      <c r="A225">
        <f>IF(AND(LEN('Checks'!A225)&gt;0,ISNUMBER('Checks'!J225)),'Checks'!J225+222/100000,"")</f>
        <v/>
      </c>
      <c r="B225">
        <f>IF(AND(LEN('Checks'!A225)&gt;0,ISNUMBER('Checks'!H225)),MAX($B$3:B224)+1,"")</f>
        <v/>
      </c>
      <c r="E225">
        <f>IFERROR(MATCH(222,$B$4:$B$503,0),"")</f>
        <v/>
      </c>
    </row>
    <row r="226">
      <c r="A226">
        <f>IF(AND(LEN('Checks'!A226)&gt;0,ISNUMBER('Checks'!J226)),'Checks'!J226+223/100000,"")</f>
        <v/>
      </c>
      <c r="B226">
        <f>IF(AND(LEN('Checks'!A226)&gt;0,ISNUMBER('Checks'!H226)),MAX($B$3:B225)+1,"")</f>
        <v/>
      </c>
      <c r="E226">
        <f>IFERROR(MATCH(223,$B$4:$B$503,0),"")</f>
        <v/>
      </c>
    </row>
    <row r="227">
      <c r="A227">
        <f>IF(AND(LEN('Checks'!A227)&gt;0,ISNUMBER('Checks'!J227)),'Checks'!J227+224/100000,"")</f>
        <v/>
      </c>
      <c r="B227">
        <f>IF(AND(LEN('Checks'!A227)&gt;0,ISNUMBER('Checks'!H227)),MAX($B$3:B226)+1,"")</f>
        <v/>
      </c>
      <c r="E227">
        <f>IFERROR(MATCH(224,$B$4:$B$503,0),"")</f>
        <v/>
      </c>
    </row>
    <row r="228">
      <c r="A228">
        <f>IF(AND(LEN('Checks'!A228)&gt;0,ISNUMBER('Checks'!J228)),'Checks'!J228+225/100000,"")</f>
        <v/>
      </c>
      <c r="B228">
        <f>IF(AND(LEN('Checks'!A228)&gt;0,ISNUMBER('Checks'!H228)),MAX($B$3:B227)+1,"")</f>
        <v/>
      </c>
      <c r="E228">
        <f>IFERROR(MATCH(225,$B$4:$B$503,0),"")</f>
        <v/>
      </c>
    </row>
    <row r="229">
      <c r="A229">
        <f>IF(AND(LEN('Checks'!A229)&gt;0,ISNUMBER('Checks'!J229)),'Checks'!J229+226/100000,"")</f>
        <v/>
      </c>
      <c r="B229">
        <f>IF(AND(LEN('Checks'!A229)&gt;0,ISNUMBER('Checks'!H229)),MAX($B$3:B228)+1,"")</f>
        <v/>
      </c>
      <c r="E229">
        <f>IFERROR(MATCH(226,$B$4:$B$503,0),"")</f>
        <v/>
      </c>
    </row>
    <row r="230">
      <c r="A230">
        <f>IF(AND(LEN('Checks'!A230)&gt;0,ISNUMBER('Checks'!J230)),'Checks'!J230+227/100000,"")</f>
        <v/>
      </c>
      <c r="B230">
        <f>IF(AND(LEN('Checks'!A230)&gt;0,ISNUMBER('Checks'!H230)),MAX($B$3:B229)+1,"")</f>
        <v/>
      </c>
      <c r="E230">
        <f>IFERROR(MATCH(227,$B$4:$B$503,0),"")</f>
        <v/>
      </c>
    </row>
    <row r="231">
      <c r="A231">
        <f>IF(AND(LEN('Checks'!A231)&gt;0,ISNUMBER('Checks'!J231)),'Checks'!J231+228/100000,"")</f>
        <v/>
      </c>
      <c r="B231">
        <f>IF(AND(LEN('Checks'!A231)&gt;0,ISNUMBER('Checks'!H231)),MAX($B$3:B230)+1,"")</f>
        <v/>
      </c>
      <c r="E231">
        <f>IFERROR(MATCH(228,$B$4:$B$503,0),"")</f>
        <v/>
      </c>
    </row>
    <row r="232">
      <c r="A232">
        <f>IF(AND(LEN('Checks'!A232)&gt;0,ISNUMBER('Checks'!J232)),'Checks'!J232+229/100000,"")</f>
        <v/>
      </c>
      <c r="B232">
        <f>IF(AND(LEN('Checks'!A232)&gt;0,ISNUMBER('Checks'!H232)),MAX($B$3:B231)+1,"")</f>
        <v/>
      </c>
      <c r="E232">
        <f>IFERROR(MATCH(229,$B$4:$B$503,0),"")</f>
        <v/>
      </c>
    </row>
    <row r="233">
      <c r="A233">
        <f>IF(AND(LEN('Checks'!A233)&gt;0,ISNUMBER('Checks'!J233)),'Checks'!J233+230/100000,"")</f>
        <v/>
      </c>
      <c r="B233">
        <f>IF(AND(LEN('Checks'!A233)&gt;0,ISNUMBER('Checks'!H233)),MAX($B$3:B232)+1,"")</f>
        <v/>
      </c>
      <c r="E233">
        <f>IFERROR(MATCH(230,$B$4:$B$503,0),"")</f>
        <v/>
      </c>
    </row>
    <row r="234">
      <c r="A234">
        <f>IF(AND(LEN('Checks'!A234)&gt;0,ISNUMBER('Checks'!J234)),'Checks'!J234+231/100000,"")</f>
        <v/>
      </c>
      <c r="B234">
        <f>IF(AND(LEN('Checks'!A234)&gt;0,ISNUMBER('Checks'!H234)),MAX($B$3:B233)+1,"")</f>
        <v/>
      </c>
      <c r="E234">
        <f>IFERROR(MATCH(231,$B$4:$B$503,0),"")</f>
        <v/>
      </c>
    </row>
    <row r="235">
      <c r="A235">
        <f>IF(AND(LEN('Checks'!A235)&gt;0,ISNUMBER('Checks'!J235)),'Checks'!J235+232/100000,"")</f>
        <v/>
      </c>
      <c r="B235">
        <f>IF(AND(LEN('Checks'!A235)&gt;0,ISNUMBER('Checks'!H235)),MAX($B$3:B234)+1,"")</f>
        <v/>
      </c>
      <c r="E235">
        <f>IFERROR(MATCH(232,$B$4:$B$503,0),"")</f>
        <v/>
      </c>
    </row>
    <row r="236">
      <c r="A236">
        <f>IF(AND(LEN('Checks'!A236)&gt;0,ISNUMBER('Checks'!J236)),'Checks'!J236+233/100000,"")</f>
        <v/>
      </c>
      <c r="B236">
        <f>IF(AND(LEN('Checks'!A236)&gt;0,ISNUMBER('Checks'!H236)),MAX($B$3:B235)+1,"")</f>
        <v/>
      </c>
      <c r="E236">
        <f>IFERROR(MATCH(233,$B$4:$B$503,0),"")</f>
        <v/>
      </c>
    </row>
    <row r="237">
      <c r="A237">
        <f>IF(AND(LEN('Checks'!A237)&gt;0,ISNUMBER('Checks'!J237)),'Checks'!J237+234/100000,"")</f>
        <v/>
      </c>
      <c r="B237">
        <f>IF(AND(LEN('Checks'!A237)&gt;0,ISNUMBER('Checks'!H237)),MAX($B$3:B236)+1,"")</f>
        <v/>
      </c>
      <c r="E237">
        <f>IFERROR(MATCH(234,$B$4:$B$503,0),"")</f>
        <v/>
      </c>
    </row>
    <row r="238">
      <c r="A238">
        <f>IF(AND(LEN('Checks'!A238)&gt;0,ISNUMBER('Checks'!J238)),'Checks'!J238+235/100000,"")</f>
        <v/>
      </c>
      <c r="B238">
        <f>IF(AND(LEN('Checks'!A238)&gt;0,ISNUMBER('Checks'!H238)),MAX($B$3:B237)+1,"")</f>
        <v/>
      </c>
      <c r="E238">
        <f>IFERROR(MATCH(235,$B$4:$B$503,0),"")</f>
        <v/>
      </c>
    </row>
    <row r="239">
      <c r="A239">
        <f>IF(AND(LEN('Checks'!A239)&gt;0,ISNUMBER('Checks'!J239)),'Checks'!J239+236/100000,"")</f>
        <v/>
      </c>
      <c r="B239">
        <f>IF(AND(LEN('Checks'!A239)&gt;0,ISNUMBER('Checks'!H239)),MAX($B$3:B238)+1,"")</f>
        <v/>
      </c>
      <c r="E239">
        <f>IFERROR(MATCH(236,$B$4:$B$503,0),"")</f>
        <v/>
      </c>
    </row>
    <row r="240">
      <c r="A240">
        <f>IF(AND(LEN('Checks'!A240)&gt;0,ISNUMBER('Checks'!J240)),'Checks'!J240+237/100000,"")</f>
        <v/>
      </c>
      <c r="B240">
        <f>IF(AND(LEN('Checks'!A240)&gt;0,ISNUMBER('Checks'!H240)),MAX($B$3:B239)+1,"")</f>
        <v/>
      </c>
      <c r="E240">
        <f>IFERROR(MATCH(237,$B$4:$B$503,0),"")</f>
        <v/>
      </c>
    </row>
    <row r="241">
      <c r="A241">
        <f>IF(AND(LEN('Checks'!A241)&gt;0,ISNUMBER('Checks'!J241)),'Checks'!J241+238/100000,"")</f>
        <v/>
      </c>
      <c r="B241">
        <f>IF(AND(LEN('Checks'!A241)&gt;0,ISNUMBER('Checks'!H241)),MAX($B$3:B240)+1,"")</f>
        <v/>
      </c>
      <c r="E241">
        <f>IFERROR(MATCH(238,$B$4:$B$503,0),"")</f>
        <v/>
      </c>
    </row>
    <row r="242">
      <c r="A242">
        <f>IF(AND(LEN('Checks'!A242)&gt;0,ISNUMBER('Checks'!J242)),'Checks'!J242+239/100000,"")</f>
        <v/>
      </c>
      <c r="B242">
        <f>IF(AND(LEN('Checks'!A242)&gt;0,ISNUMBER('Checks'!H242)),MAX($B$3:B241)+1,"")</f>
        <v/>
      </c>
      <c r="E242">
        <f>IFERROR(MATCH(239,$B$4:$B$503,0),"")</f>
        <v/>
      </c>
    </row>
    <row r="243">
      <c r="A243">
        <f>IF(AND(LEN('Checks'!A243)&gt;0,ISNUMBER('Checks'!J243)),'Checks'!J243+240/100000,"")</f>
        <v/>
      </c>
      <c r="B243">
        <f>IF(AND(LEN('Checks'!A243)&gt;0,ISNUMBER('Checks'!H243)),MAX($B$3:B242)+1,"")</f>
        <v/>
      </c>
      <c r="E243">
        <f>IFERROR(MATCH(240,$B$4:$B$503,0),"")</f>
        <v/>
      </c>
    </row>
    <row r="244">
      <c r="A244">
        <f>IF(AND(LEN('Checks'!A244)&gt;0,ISNUMBER('Checks'!J244)),'Checks'!J244+241/100000,"")</f>
        <v/>
      </c>
      <c r="B244">
        <f>IF(AND(LEN('Checks'!A244)&gt;0,ISNUMBER('Checks'!H244)),MAX($B$3:B243)+1,"")</f>
        <v/>
      </c>
      <c r="E244">
        <f>IFERROR(MATCH(241,$B$4:$B$503,0),"")</f>
        <v/>
      </c>
    </row>
    <row r="245">
      <c r="A245">
        <f>IF(AND(LEN('Checks'!A245)&gt;0,ISNUMBER('Checks'!J245)),'Checks'!J245+242/100000,"")</f>
        <v/>
      </c>
      <c r="B245">
        <f>IF(AND(LEN('Checks'!A245)&gt;0,ISNUMBER('Checks'!H245)),MAX($B$3:B244)+1,"")</f>
        <v/>
      </c>
      <c r="E245">
        <f>IFERROR(MATCH(242,$B$4:$B$503,0),"")</f>
        <v/>
      </c>
    </row>
    <row r="246">
      <c r="A246">
        <f>IF(AND(LEN('Checks'!A246)&gt;0,ISNUMBER('Checks'!J246)),'Checks'!J246+243/100000,"")</f>
        <v/>
      </c>
      <c r="B246">
        <f>IF(AND(LEN('Checks'!A246)&gt;0,ISNUMBER('Checks'!H246)),MAX($B$3:B245)+1,"")</f>
        <v/>
      </c>
      <c r="E246">
        <f>IFERROR(MATCH(243,$B$4:$B$503,0),"")</f>
        <v/>
      </c>
    </row>
    <row r="247">
      <c r="A247">
        <f>IF(AND(LEN('Checks'!A247)&gt;0,ISNUMBER('Checks'!J247)),'Checks'!J247+244/100000,"")</f>
        <v/>
      </c>
      <c r="B247">
        <f>IF(AND(LEN('Checks'!A247)&gt;0,ISNUMBER('Checks'!H247)),MAX($B$3:B246)+1,"")</f>
        <v/>
      </c>
      <c r="E247">
        <f>IFERROR(MATCH(244,$B$4:$B$503,0),"")</f>
        <v/>
      </c>
    </row>
    <row r="248">
      <c r="A248">
        <f>IF(AND(LEN('Checks'!A248)&gt;0,ISNUMBER('Checks'!J248)),'Checks'!J248+245/100000,"")</f>
        <v/>
      </c>
      <c r="B248">
        <f>IF(AND(LEN('Checks'!A248)&gt;0,ISNUMBER('Checks'!H248)),MAX($B$3:B247)+1,"")</f>
        <v/>
      </c>
      <c r="E248">
        <f>IFERROR(MATCH(245,$B$4:$B$503,0),"")</f>
        <v/>
      </c>
    </row>
    <row r="249">
      <c r="A249">
        <f>IF(AND(LEN('Checks'!A249)&gt;0,ISNUMBER('Checks'!J249)),'Checks'!J249+246/100000,"")</f>
        <v/>
      </c>
      <c r="B249">
        <f>IF(AND(LEN('Checks'!A249)&gt;0,ISNUMBER('Checks'!H249)),MAX($B$3:B248)+1,"")</f>
        <v/>
      </c>
      <c r="E249">
        <f>IFERROR(MATCH(246,$B$4:$B$503,0),"")</f>
        <v/>
      </c>
    </row>
    <row r="250">
      <c r="A250">
        <f>IF(AND(LEN('Checks'!A250)&gt;0,ISNUMBER('Checks'!J250)),'Checks'!J250+247/100000,"")</f>
        <v/>
      </c>
      <c r="B250">
        <f>IF(AND(LEN('Checks'!A250)&gt;0,ISNUMBER('Checks'!H250)),MAX($B$3:B249)+1,"")</f>
        <v/>
      </c>
      <c r="E250">
        <f>IFERROR(MATCH(247,$B$4:$B$503,0),"")</f>
        <v/>
      </c>
    </row>
    <row r="251">
      <c r="A251">
        <f>IF(AND(LEN('Checks'!A251)&gt;0,ISNUMBER('Checks'!J251)),'Checks'!J251+248/100000,"")</f>
        <v/>
      </c>
      <c r="B251">
        <f>IF(AND(LEN('Checks'!A251)&gt;0,ISNUMBER('Checks'!H251)),MAX($B$3:B250)+1,"")</f>
        <v/>
      </c>
      <c r="E251">
        <f>IFERROR(MATCH(248,$B$4:$B$503,0),"")</f>
        <v/>
      </c>
    </row>
    <row r="252">
      <c r="A252">
        <f>IF(AND(LEN('Checks'!A252)&gt;0,ISNUMBER('Checks'!J252)),'Checks'!J252+249/100000,"")</f>
        <v/>
      </c>
      <c r="B252">
        <f>IF(AND(LEN('Checks'!A252)&gt;0,ISNUMBER('Checks'!H252)),MAX($B$3:B251)+1,"")</f>
        <v/>
      </c>
      <c r="E252">
        <f>IFERROR(MATCH(249,$B$4:$B$503,0),"")</f>
        <v/>
      </c>
    </row>
    <row r="253">
      <c r="A253">
        <f>IF(AND(LEN('Checks'!A253)&gt;0,ISNUMBER('Checks'!J253)),'Checks'!J253+250/100000,"")</f>
        <v/>
      </c>
      <c r="B253">
        <f>IF(AND(LEN('Checks'!A253)&gt;0,ISNUMBER('Checks'!H253)),MAX($B$3:B252)+1,"")</f>
        <v/>
      </c>
      <c r="E253">
        <f>IFERROR(MATCH(250,$B$4:$B$503,0),"")</f>
        <v/>
      </c>
    </row>
    <row r="254">
      <c r="A254">
        <f>IF(AND(LEN('Checks'!A254)&gt;0,ISNUMBER('Checks'!J254)),'Checks'!J254+251/100000,"")</f>
        <v/>
      </c>
      <c r="B254">
        <f>IF(AND(LEN('Checks'!A254)&gt;0,ISNUMBER('Checks'!H254)),MAX($B$3:B253)+1,"")</f>
        <v/>
      </c>
      <c r="E254">
        <f>IFERROR(MATCH(251,$B$4:$B$503,0),"")</f>
        <v/>
      </c>
    </row>
    <row r="255">
      <c r="A255">
        <f>IF(AND(LEN('Checks'!A255)&gt;0,ISNUMBER('Checks'!J255)),'Checks'!J255+252/100000,"")</f>
        <v/>
      </c>
      <c r="B255">
        <f>IF(AND(LEN('Checks'!A255)&gt;0,ISNUMBER('Checks'!H255)),MAX($B$3:B254)+1,"")</f>
        <v/>
      </c>
      <c r="E255">
        <f>IFERROR(MATCH(252,$B$4:$B$503,0),"")</f>
        <v/>
      </c>
    </row>
    <row r="256">
      <c r="A256">
        <f>IF(AND(LEN('Checks'!A256)&gt;0,ISNUMBER('Checks'!J256)),'Checks'!J256+253/100000,"")</f>
        <v/>
      </c>
      <c r="B256">
        <f>IF(AND(LEN('Checks'!A256)&gt;0,ISNUMBER('Checks'!H256)),MAX($B$3:B255)+1,"")</f>
        <v/>
      </c>
      <c r="E256">
        <f>IFERROR(MATCH(253,$B$4:$B$503,0),"")</f>
        <v/>
      </c>
    </row>
    <row r="257">
      <c r="A257">
        <f>IF(AND(LEN('Checks'!A257)&gt;0,ISNUMBER('Checks'!J257)),'Checks'!J257+254/100000,"")</f>
        <v/>
      </c>
      <c r="B257">
        <f>IF(AND(LEN('Checks'!A257)&gt;0,ISNUMBER('Checks'!H257)),MAX($B$3:B256)+1,"")</f>
        <v/>
      </c>
      <c r="E257">
        <f>IFERROR(MATCH(254,$B$4:$B$503,0),"")</f>
        <v/>
      </c>
    </row>
    <row r="258">
      <c r="A258">
        <f>IF(AND(LEN('Checks'!A258)&gt;0,ISNUMBER('Checks'!J258)),'Checks'!J258+255/100000,"")</f>
        <v/>
      </c>
      <c r="B258">
        <f>IF(AND(LEN('Checks'!A258)&gt;0,ISNUMBER('Checks'!H258)),MAX($B$3:B257)+1,"")</f>
        <v/>
      </c>
      <c r="E258">
        <f>IFERROR(MATCH(255,$B$4:$B$503,0),"")</f>
        <v/>
      </c>
    </row>
    <row r="259">
      <c r="A259">
        <f>IF(AND(LEN('Checks'!A259)&gt;0,ISNUMBER('Checks'!J259)),'Checks'!J259+256/100000,"")</f>
        <v/>
      </c>
      <c r="B259">
        <f>IF(AND(LEN('Checks'!A259)&gt;0,ISNUMBER('Checks'!H259)),MAX($B$3:B258)+1,"")</f>
        <v/>
      </c>
      <c r="E259">
        <f>IFERROR(MATCH(256,$B$4:$B$503,0),"")</f>
        <v/>
      </c>
    </row>
    <row r="260">
      <c r="A260">
        <f>IF(AND(LEN('Checks'!A260)&gt;0,ISNUMBER('Checks'!J260)),'Checks'!J260+257/100000,"")</f>
        <v/>
      </c>
      <c r="B260">
        <f>IF(AND(LEN('Checks'!A260)&gt;0,ISNUMBER('Checks'!H260)),MAX($B$3:B259)+1,"")</f>
        <v/>
      </c>
      <c r="E260">
        <f>IFERROR(MATCH(257,$B$4:$B$503,0),"")</f>
        <v/>
      </c>
    </row>
    <row r="261">
      <c r="A261">
        <f>IF(AND(LEN('Checks'!A261)&gt;0,ISNUMBER('Checks'!J261)),'Checks'!J261+258/100000,"")</f>
        <v/>
      </c>
      <c r="B261">
        <f>IF(AND(LEN('Checks'!A261)&gt;0,ISNUMBER('Checks'!H261)),MAX($B$3:B260)+1,"")</f>
        <v/>
      </c>
      <c r="E261">
        <f>IFERROR(MATCH(258,$B$4:$B$503,0),"")</f>
        <v/>
      </c>
    </row>
    <row r="262">
      <c r="A262">
        <f>IF(AND(LEN('Checks'!A262)&gt;0,ISNUMBER('Checks'!J262)),'Checks'!J262+259/100000,"")</f>
        <v/>
      </c>
      <c r="B262">
        <f>IF(AND(LEN('Checks'!A262)&gt;0,ISNUMBER('Checks'!H262)),MAX($B$3:B261)+1,"")</f>
        <v/>
      </c>
      <c r="E262">
        <f>IFERROR(MATCH(259,$B$4:$B$503,0),"")</f>
        <v/>
      </c>
    </row>
    <row r="263">
      <c r="A263">
        <f>IF(AND(LEN('Checks'!A263)&gt;0,ISNUMBER('Checks'!J263)),'Checks'!J263+260/100000,"")</f>
        <v/>
      </c>
      <c r="B263">
        <f>IF(AND(LEN('Checks'!A263)&gt;0,ISNUMBER('Checks'!H263)),MAX($B$3:B262)+1,"")</f>
        <v/>
      </c>
      <c r="E263">
        <f>IFERROR(MATCH(260,$B$4:$B$503,0),"")</f>
        <v/>
      </c>
    </row>
    <row r="264">
      <c r="A264">
        <f>IF(AND(LEN('Checks'!A264)&gt;0,ISNUMBER('Checks'!J264)),'Checks'!J264+261/100000,"")</f>
        <v/>
      </c>
      <c r="B264">
        <f>IF(AND(LEN('Checks'!A264)&gt;0,ISNUMBER('Checks'!H264)),MAX($B$3:B263)+1,"")</f>
        <v/>
      </c>
      <c r="E264">
        <f>IFERROR(MATCH(261,$B$4:$B$503,0),"")</f>
        <v/>
      </c>
    </row>
    <row r="265">
      <c r="A265">
        <f>IF(AND(LEN('Checks'!A265)&gt;0,ISNUMBER('Checks'!J265)),'Checks'!J265+262/100000,"")</f>
        <v/>
      </c>
      <c r="B265">
        <f>IF(AND(LEN('Checks'!A265)&gt;0,ISNUMBER('Checks'!H265)),MAX($B$3:B264)+1,"")</f>
        <v/>
      </c>
      <c r="E265">
        <f>IFERROR(MATCH(262,$B$4:$B$503,0),"")</f>
        <v/>
      </c>
    </row>
    <row r="266">
      <c r="A266">
        <f>IF(AND(LEN('Checks'!A266)&gt;0,ISNUMBER('Checks'!J266)),'Checks'!J266+263/100000,"")</f>
        <v/>
      </c>
      <c r="B266">
        <f>IF(AND(LEN('Checks'!A266)&gt;0,ISNUMBER('Checks'!H266)),MAX($B$3:B265)+1,"")</f>
        <v/>
      </c>
      <c r="E266">
        <f>IFERROR(MATCH(263,$B$4:$B$503,0),"")</f>
        <v/>
      </c>
    </row>
    <row r="267">
      <c r="A267">
        <f>IF(AND(LEN('Checks'!A267)&gt;0,ISNUMBER('Checks'!J267)),'Checks'!J267+264/100000,"")</f>
        <v/>
      </c>
      <c r="B267">
        <f>IF(AND(LEN('Checks'!A267)&gt;0,ISNUMBER('Checks'!H267)),MAX($B$3:B266)+1,"")</f>
        <v/>
      </c>
      <c r="E267">
        <f>IFERROR(MATCH(264,$B$4:$B$503,0),"")</f>
        <v/>
      </c>
    </row>
    <row r="268">
      <c r="A268">
        <f>IF(AND(LEN('Checks'!A268)&gt;0,ISNUMBER('Checks'!J268)),'Checks'!J268+265/100000,"")</f>
        <v/>
      </c>
      <c r="B268">
        <f>IF(AND(LEN('Checks'!A268)&gt;0,ISNUMBER('Checks'!H268)),MAX($B$3:B267)+1,"")</f>
        <v/>
      </c>
      <c r="E268">
        <f>IFERROR(MATCH(265,$B$4:$B$503,0),"")</f>
        <v/>
      </c>
    </row>
    <row r="269">
      <c r="A269">
        <f>IF(AND(LEN('Checks'!A269)&gt;0,ISNUMBER('Checks'!J269)),'Checks'!J269+266/100000,"")</f>
        <v/>
      </c>
      <c r="B269">
        <f>IF(AND(LEN('Checks'!A269)&gt;0,ISNUMBER('Checks'!H269)),MAX($B$3:B268)+1,"")</f>
        <v/>
      </c>
      <c r="E269">
        <f>IFERROR(MATCH(266,$B$4:$B$503,0),"")</f>
        <v/>
      </c>
    </row>
    <row r="270">
      <c r="A270">
        <f>IF(AND(LEN('Checks'!A270)&gt;0,ISNUMBER('Checks'!J270)),'Checks'!J270+267/100000,"")</f>
        <v/>
      </c>
      <c r="B270">
        <f>IF(AND(LEN('Checks'!A270)&gt;0,ISNUMBER('Checks'!H270)),MAX($B$3:B269)+1,"")</f>
        <v/>
      </c>
      <c r="E270">
        <f>IFERROR(MATCH(267,$B$4:$B$503,0),"")</f>
        <v/>
      </c>
    </row>
    <row r="271">
      <c r="A271">
        <f>IF(AND(LEN('Checks'!A271)&gt;0,ISNUMBER('Checks'!J271)),'Checks'!J271+268/100000,"")</f>
        <v/>
      </c>
      <c r="B271">
        <f>IF(AND(LEN('Checks'!A271)&gt;0,ISNUMBER('Checks'!H271)),MAX($B$3:B270)+1,"")</f>
        <v/>
      </c>
      <c r="E271">
        <f>IFERROR(MATCH(268,$B$4:$B$503,0),"")</f>
        <v/>
      </c>
    </row>
    <row r="272">
      <c r="A272">
        <f>IF(AND(LEN('Checks'!A272)&gt;0,ISNUMBER('Checks'!J272)),'Checks'!J272+269/100000,"")</f>
        <v/>
      </c>
      <c r="B272">
        <f>IF(AND(LEN('Checks'!A272)&gt;0,ISNUMBER('Checks'!H272)),MAX($B$3:B271)+1,"")</f>
        <v/>
      </c>
      <c r="E272">
        <f>IFERROR(MATCH(269,$B$4:$B$503,0),"")</f>
        <v/>
      </c>
    </row>
    <row r="273">
      <c r="A273">
        <f>IF(AND(LEN('Checks'!A273)&gt;0,ISNUMBER('Checks'!J273)),'Checks'!J273+270/100000,"")</f>
        <v/>
      </c>
      <c r="B273">
        <f>IF(AND(LEN('Checks'!A273)&gt;0,ISNUMBER('Checks'!H273)),MAX($B$3:B272)+1,"")</f>
        <v/>
      </c>
      <c r="E273">
        <f>IFERROR(MATCH(270,$B$4:$B$503,0),"")</f>
        <v/>
      </c>
    </row>
    <row r="274">
      <c r="A274">
        <f>IF(AND(LEN('Checks'!A274)&gt;0,ISNUMBER('Checks'!J274)),'Checks'!J274+271/100000,"")</f>
        <v/>
      </c>
      <c r="B274">
        <f>IF(AND(LEN('Checks'!A274)&gt;0,ISNUMBER('Checks'!H274)),MAX($B$3:B273)+1,"")</f>
        <v/>
      </c>
      <c r="E274">
        <f>IFERROR(MATCH(271,$B$4:$B$503,0),"")</f>
        <v/>
      </c>
    </row>
    <row r="275">
      <c r="A275">
        <f>IF(AND(LEN('Checks'!A275)&gt;0,ISNUMBER('Checks'!J275)),'Checks'!J275+272/100000,"")</f>
        <v/>
      </c>
      <c r="B275">
        <f>IF(AND(LEN('Checks'!A275)&gt;0,ISNUMBER('Checks'!H275)),MAX($B$3:B274)+1,"")</f>
        <v/>
      </c>
      <c r="E275">
        <f>IFERROR(MATCH(272,$B$4:$B$503,0),"")</f>
        <v/>
      </c>
    </row>
    <row r="276">
      <c r="A276">
        <f>IF(AND(LEN('Checks'!A276)&gt;0,ISNUMBER('Checks'!J276)),'Checks'!J276+273/100000,"")</f>
        <v/>
      </c>
      <c r="B276">
        <f>IF(AND(LEN('Checks'!A276)&gt;0,ISNUMBER('Checks'!H276)),MAX($B$3:B275)+1,"")</f>
        <v/>
      </c>
      <c r="E276">
        <f>IFERROR(MATCH(273,$B$4:$B$503,0),"")</f>
        <v/>
      </c>
    </row>
    <row r="277">
      <c r="A277">
        <f>IF(AND(LEN('Checks'!A277)&gt;0,ISNUMBER('Checks'!J277)),'Checks'!J277+274/100000,"")</f>
        <v/>
      </c>
      <c r="B277">
        <f>IF(AND(LEN('Checks'!A277)&gt;0,ISNUMBER('Checks'!H277)),MAX($B$3:B276)+1,"")</f>
        <v/>
      </c>
      <c r="E277">
        <f>IFERROR(MATCH(274,$B$4:$B$503,0),"")</f>
        <v/>
      </c>
    </row>
    <row r="278">
      <c r="A278">
        <f>IF(AND(LEN('Checks'!A278)&gt;0,ISNUMBER('Checks'!J278)),'Checks'!J278+275/100000,"")</f>
        <v/>
      </c>
      <c r="B278">
        <f>IF(AND(LEN('Checks'!A278)&gt;0,ISNUMBER('Checks'!H278)),MAX($B$3:B277)+1,"")</f>
        <v/>
      </c>
      <c r="E278">
        <f>IFERROR(MATCH(275,$B$4:$B$503,0),"")</f>
        <v/>
      </c>
    </row>
    <row r="279">
      <c r="A279">
        <f>IF(AND(LEN('Checks'!A279)&gt;0,ISNUMBER('Checks'!J279)),'Checks'!J279+276/100000,"")</f>
        <v/>
      </c>
      <c r="B279">
        <f>IF(AND(LEN('Checks'!A279)&gt;0,ISNUMBER('Checks'!H279)),MAX($B$3:B278)+1,"")</f>
        <v/>
      </c>
      <c r="E279">
        <f>IFERROR(MATCH(276,$B$4:$B$503,0),"")</f>
        <v/>
      </c>
    </row>
    <row r="280">
      <c r="A280">
        <f>IF(AND(LEN('Checks'!A280)&gt;0,ISNUMBER('Checks'!J280)),'Checks'!J280+277/100000,"")</f>
        <v/>
      </c>
      <c r="B280">
        <f>IF(AND(LEN('Checks'!A280)&gt;0,ISNUMBER('Checks'!H280)),MAX($B$3:B279)+1,"")</f>
        <v/>
      </c>
      <c r="E280">
        <f>IFERROR(MATCH(277,$B$4:$B$503,0),"")</f>
        <v/>
      </c>
    </row>
    <row r="281">
      <c r="A281">
        <f>IF(AND(LEN('Checks'!A281)&gt;0,ISNUMBER('Checks'!J281)),'Checks'!J281+278/100000,"")</f>
        <v/>
      </c>
      <c r="B281">
        <f>IF(AND(LEN('Checks'!A281)&gt;0,ISNUMBER('Checks'!H281)),MAX($B$3:B280)+1,"")</f>
        <v/>
      </c>
      <c r="E281">
        <f>IFERROR(MATCH(278,$B$4:$B$503,0),"")</f>
        <v/>
      </c>
    </row>
    <row r="282">
      <c r="A282">
        <f>IF(AND(LEN('Checks'!A282)&gt;0,ISNUMBER('Checks'!J282)),'Checks'!J282+279/100000,"")</f>
        <v/>
      </c>
      <c r="B282">
        <f>IF(AND(LEN('Checks'!A282)&gt;0,ISNUMBER('Checks'!H282)),MAX($B$3:B281)+1,"")</f>
        <v/>
      </c>
      <c r="E282">
        <f>IFERROR(MATCH(279,$B$4:$B$503,0),"")</f>
        <v/>
      </c>
    </row>
    <row r="283">
      <c r="A283">
        <f>IF(AND(LEN('Checks'!A283)&gt;0,ISNUMBER('Checks'!J283)),'Checks'!J283+280/100000,"")</f>
        <v/>
      </c>
      <c r="B283">
        <f>IF(AND(LEN('Checks'!A283)&gt;0,ISNUMBER('Checks'!H283)),MAX($B$3:B282)+1,"")</f>
        <v/>
      </c>
      <c r="E283">
        <f>IFERROR(MATCH(280,$B$4:$B$503,0),"")</f>
        <v/>
      </c>
    </row>
    <row r="284">
      <c r="A284">
        <f>IF(AND(LEN('Checks'!A284)&gt;0,ISNUMBER('Checks'!J284)),'Checks'!J284+281/100000,"")</f>
        <v/>
      </c>
      <c r="B284">
        <f>IF(AND(LEN('Checks'!A284)&gt;0,ISNUMBER('Checks'!H284)),MAX($B$3:B283)+1,"")</f>
        <v/>
      </c>
      <c r="E284">
        <f>IFERROR(MATCH(281,$B$4:$B$503,0),"")</f>
        <v/>
      </c>
    </row>
    <row r="285">
      <c r="A285">
        <f>IF(AND(LEN('Checks'!A285)&gt;0,ISNUMBER('Checks'!J285)),'Checks'!J285+282/100000,"")</f>
        <v/>
      </c>
      <c r="B285">
        <f>IF(AND(LEN('Checks'!A285)&gt;0,ISNUMBER('Checks'!H285)),MAX($B$3:B284)+1,"")</f>
        <v/>
      </c>
      <c r="E285">
        <f>IFERROR(MATCH(282,$B$4:$B$503,0),"")</f>
        <v/>
      </c>
    </row>
    <row r="286">
      <c r="A286">
        <f>IF(AND(LEN('Checks'!A286)&gt;0,ISNUMBER('Checks'!J286)),'Checks'!J286+283/100000,"")</f>
        <v/>
      </c>
      <c r="B286">
        <f>IF(AND(LEN('Checks'!A286)&gt;0,ISNUMBER('Checks'!H286)),MAX($B$3:B285)+1,"")</f>
        <v/>
      </c>
      <c r="E286">
        <f>IFERROR(MATCH(283,$B$4:$B$503,0),"")</f>
        <v/>
      </c>
    </row>
    <row r="287">
      <c r="A287">
        <f>IF(AND(LEN('Checks'!A287)&gt;0,ISNUMBER('Checks'!J287)),'Checks'!J287+284/100000,"")</f>
        <v/>
      </c>
      <c r="B287">
        <f>IF(AND(LEN('Checks'!A287)&gt;0,ISNUMBER('Checks'!H287)),MAX($B$3:B286)+1,"")</f>
        <v/>
      </c>
      <c r="E287">
        <f>IFERROR(MATCH(284,$B$4:$B$503,0),"")</f>
        <v/>
      </c>
    </row>
    <row r="288">
      <c r="A288">
        <f>IF(AND(LEN('Checks'!A288)&gt;0,ISNUMBER('Checks'!J288)),'Checks'!J288+285/100000,"")</f>
        <v/>
      </c>
      <c r="B288">
        <f>IF(AND(LEN('Checks'!A288)&gt;0,ISNUMBER('Checks'!H288)),MAX($B$3:B287)+1,"")</f>
        <v/>
      </c>
      <c r="E288">
        <f>IFERROR(MATCH(285,$B$4:$B$503,0),"")</f>
        <v/>
      </c>
    </row>
    <row r="289">
      <c r="A289">
        <f>IF(AND(LEN('Checks'!A289)&gt;0,ISNUMBER('Checks'!J289)),'Checks'!J289+286/100000,"")</f>
        <v/>
      </c>
      <c r="B289">
        <f>IF(AND(LEN('Checks'!A289)&gt;0,ISNUMBER('Checks'!H289)),MAX($B$3:B288)+1,"")</f>
        <v/>
      </c>
      <c r="E289">
        <f>IFERROR(MATCH(286,$B$4:$B$503,0),"")</f>
        <v/>
      </c>
    </row>
    <row r="290">
      <c r="A290">
        <f>IF(AND(LEN('Checks'!A290)&gt;0,ISNUMBER('Checks'!J290)),'Checks'!J290+287/100000,"")</f>
        <v/>
      </c>
      <c r="B290">
        <f>IF(AND(LEN('Checks'!A290)&gt;0,ISNUMBER('Checks'!H290)),MAX($B$3:B289)+1,"")</f>
        <v/>
      </c>
      <c r="E290">
        <f>IFERROR(MATCH(287,$B$4:$B$503,0),"")</f>
        <v/>
      </c>
    </row>
    <row r="291">
      <c r="A291">
        <f>IF(AND(LEN('Checks'!A291)&gt;0,ISNUMBER('Checks'!J291)),'Checks'!J291+288/100000,"")</f>
        <v/>
      </c>
      <c r="B291">
        <f>IF(AND(LEN('Checks'!A291)&gt;0,ISNUMBER('Checks'!H291)),MAX($B$3:B290)+1,"")</f>
        <v/>
      </c>
      <c r="E291">
        <f>IFERROR(MATCH(288,$B$4:$B$503,0),"")</f>
        <v/>
      </c>
    </row>
    <row r="292">
      <c r="A292">
        <f>IF(AND(LEN('Checks'!A292)&gt;0,ISNUMBER('Checks'!J292)),'Checks'!J292+289/100000,"")</f>
        <v/>
      </c>
      <c r="B292">
        <f>IF(AND(LEN('Checks'!A292)&gt;0,ISNUMBER('Checks'!H292)),MAX($B$3:B291)+1,"")</f>
        <v/>
      </c>
      <c r="E292">
        <f>IFERROR(MATCH(289,$B$4:$B$503,0),"")</f>
        <v/>
      </c>
    </row>
    <row r="293">
      <c r="A293">
        <f>IF(AND(LEN('Checks'!A293)&gt;0,ISNUMBER('Checks'!J293)),'Checks'!J293+290/100000,"")</f>
        <v/>
      </c>
      <c r="B293">
        <f>IF(AND(LEN('Checks'!A293)&gt;0,ISNUMBER('Checks'!H293)),MAX($B$3:B292)+1,"")</f>
        <v/>
      </c>
      <c r="E293">
        <f>IFERROR(MATCH(290,$B$4:$B$503,0),"")</f>
        <v/>
      </c>
    </row>
    <row r="294">
      <c r="A294">
        <f>IF(AND(LEN('Checks'!A294)&gt;0,ISNUMBER('Checks'!J294)),'Checks'!J294+291/100000,"")</f>
        <v/>
      </c>
      <c r="B294">
        <f>IF(AND(LEN('Checks'!A294)&gt;0,ISNUMBER('Checks'!H294)),MAX($B$3:B293)+1,"")</f>
        <v/>
      </c>
      <c r="E294">
        <f>IFERROR(MATCH(291,$B$4:$B$503,0),"")</f>
        <v/>
      </c>
    </row>
    <row r="295">
      <c r="A295">
        <f>IF(AND(LEN('Checks'!A295)&gt;0,ISNUMBER('Checks'!J295)),'Checks'!J295+292/100000,"")</f>
        <v/>
      </c>
      <c r="B295">
        <f>IF(AND(LEN('Checks'!A295)&gt;0,ISNUMBER('Checks'!H295)),MAX($B$3:B294)+1,"")</f>
        <v/>
      </c>
      <c r="E295">
        <f>IFERROR(MATCH(292,$B$4:$B$503,0),"")</f>
        <v/>
      </c>
    </row>
    <row r="296">
      <c r="A296">
        <f>IF(AND(LEN('Checks'!A296)&gt;0,ISNUMBER('Checks'!J296)),'Checks'!J296+293/100000,"")</f>
        <v/>
      </c>
      <c r="B296">
        <f>IF(AND(LEN('Checks'!A296)&gt;0,ISNUMBER('Checks'!H296)),MAX($B$3:B295)+1,"")</f>
        <v/>
      </c>
      <c r="E296">
        <f>IFERROR(MATCH(293,$B$4:$B$503,0),"")</f>
        <v/>
      </c>
    </row>
    <row r="297">
      <c r="A297">
        <f>IF(AND(LEN('Checks'!A297)&gt;0,ISNUMBER('Checks'!J297)),'Checks'!J297+294/100000,"")</f>
        <v/>
      </c>
      <c r="B297">
        <f>IF(AND(LEN('Checks'!A297)&gt;0,ISNUMBER('Checks'!H297)),MAX($B$3:B296)+1,"")</f>
        <v/>
      </c>
      <c r="E297">
        <f>IFERROR(MATCH(294,$B$4:$B$503,0),"")</f>
        <v/>
      </c>
    </row>
    <row r="298">
      <c r="A298">
        <f>IF(AND(LEN('Checks'!A298)&gt;0,ISNUMBER('Checks'!J298)),'Checks'!J298+295/100000,"")</f>
        <v/>
      </c>
      <c r="B298">
        <f>IF(AND(LEN('Checks'!A298)&gt;0,ISNUMBER('Checks'!H298)),MAX($B$3:B297)+1,"")</f>
        <v/>
      </c>
      <c r="E298">
        <f>IFERROR(MATCH(295,$B$4:$B$503,0),"")</f>
        <v/>
      </c>
    </row>
    <row r="299">
      <c r="A299">
        <f>IF(AND(LEN('Checks'!A299)&gt;0,ISNUMBER('Checks'!J299)),'Checks'!J299+296/100000,"")</f>
        <v/>
      </c>
      <c r="B299">
        <f>IF(AND(LEN('Checks'!A299)&gt;0,ISNUMBER('Checks'!H299)),MAX($B$3:B298)+1,"")</f>
        <v/>
      </c>
      <c r="E299">
        <f>IFERROR(MATCH(296,$B$4:$B$503,0),"")</f>
        <v/>
      </c>
    </row>
    <row r="300">
      <c r="A300">
        <f>IF(AND(LEN('Checks'!A300)&gt;0,ISNUMBER('Checks'!J300)),'Checks'!J300+297/100000,"")</f>
        <v/>
      </c>
      <c r="B300">
        <f>IF(AND(LEN('Checks'!A300)&gt;0,ISNUMBER('Checks'!H300)),MAX($B$3:B299)+1,"")</f>
        <v/>
      </c>
      <c r="E300">
        <f>IFERROR(MATCH(297,$B$4:$B$503,0),"")</f>
        <v/>
      </c>
    </row>
    <row r="301">
      <c r="A301">
        <f>IF(AND(LEN('Checks'!A301)&gt;0,ISNUMBER('Checks'!J301)),'Checks'!J301+298/100000,"")</f>
        <v/>
      </c>
      <c r="B301">
        <f>IF(AND(LEN('Checks'!A301)&gt;0,ISNUMBER('Checks'!H301)),MAX($B$3:B300)+1,"")</f>
        <v/>
      </c>
      <c r="E301">
        <f>IFERROR(MATCH(298,$B$4:$B$503,0),"")</f>
        <v/>
      </c>
    </row>
    <row r="302">
      <c r="A302">
        <f>IF(AND(LEN('Checks'!A302)&gt;0,ISNUMBER('Checks'!J302)),'Checks'!J302+299/100000,"")</f>
        <v/>
      </c>
      <c r="B302">
        <f>IF(AND(LEN('Checks'!A302)&gt;0,ISNUMBER('Checks'!H302)),MAX($B$3:B301)+1,"")</f>
        <v/>
      </c>
      <c r="E302">
        <f>IFERROR(MATCH(299,$B$4:$B$503,0),"")</f>
        <v/>
      </c>
    </row>
    <row r="303">
      <c r="A303">
        <f>IF(AND(LEN('Checks'!A303)&gt;0,ISNUMBER('Checks'!J303)),'Checks'!J303+300/100000,"")</f>
        <v/>
      </c>
      <c r="B303">
        <f>IF(AND(LEN('Checks'!A303)&gt;0,ISNUMBER('Checks'!H303)),MAX($B$3:B302)+1,"")</f>
        <v/>
      </c>
      <c r="E303">
        <f>IFERROR(MATCH(300,$B$4:$B$503,0),"")</f>
        <v/>
      </c>
    </row>
    <row r="304">
      <c r="A304">
        <f>IF(AND(LEN('Checks'!A304)&gt;0,ISNUMBER('Checks'!J304)),'Checks'!J304+301/100000,"")</f>
        <v/>
      </c>
      <c r="B304">
        <f>IF(AND(LEN('Checks'!A304)&gt;0,ISNUMBER('Checks'!H304)),MAX($B$3:B303)+1,"")</f>
        <v/>
      </c>
      <c r="E304">
        <f>IFERROR(MATCH(301,$B$4:$B$503,0),"")</f>
        <v/>
      </c>
    </row>
    <row r="305">
      <c r="A305">
        <f>IF(AND(LEN('Checks'!A305)&gt;0,ISNUMBER('Checks'!J305)),'Checks'!J305+302/100000,"")</f>
        <v/>
      </c>
      <c r="B305">
        <f>IF(AND(LEN('Checks'!A305)&gt;0,ISNUMBER('Checks'!H305)),MAX($B$3:B304)+1,"")</f>
        <v/>
      </c>
      <c r="E305">
        <f>IFERROR(MATCH(302,$B$4:$B$503,0),"")</f>
        <v/>
      </c>
    </row>
    <row r="306">
      <c r="A306">
        <f>IF(AND(LEN('Checks'!A306)&gt;0,ISNUMBER('Checks'!J306)),'Checks'!J306+303/100000,"")</f>
        <v/>
      </c>
      <c r="B306">
        <f>IF(AND(LEN('Checks'!A306)&gt;0,ISNUMBER('Checks'!H306)),MAX($B$3:B305)+1,"")</f>
        <v/>
      </c>
      <c r="E306">
        <f>IFERROR(MATCH(303,$B$4:$B$503,0),"")</f>
        <v/>
      </c>
    </row>
    <row r="307">
      <c r="A307">
        <f>IF(AND(LEN('Checks'!A307)&gt;0,ISNUMBER('Checks'!J307)),'Checks'!J307+304/100000,"")</f>
        <v/>
      </c>
      <c r="B307">
        <f>IF(AND(LEN('Checks'!A307)&gt;0,ISNUMBER('Checks'!H307)),MAX($B$3:B306)+1,"")</f>
        <v/>
      </c>
      <c r="E307">
        <f>IFERROR(MATCH(304,$B$4:$B$503,0),"")</f>
        <v/>
      </c>
    </row>
    <row r="308">
      <c r="A308">
        <f>IF(AND(LEN('Checks'!A308)&gt;0,ISNUMBER('Checks'!J308)),'Checks'!J308+305/100000,"")</f>
        <v/>
      </c>
      <c r="B308">
        <f>IF(AND(LEN('Checks'!A308)&gt;0,ISNUMBER('Checks'!H308)),MAX($B$3:B307)+1,"")</f>
        <v/>
      </c>
      <c r="E308">
        <f>IFERROR(MATCH(305,$B$4:$B$503,0),"")</f>
        <v/>
      </c>
    </row>
    <row r="309">
      <c r="A309">
        <f>IF(AND(LEN('Checks'!A309)&gt;0,ISNUMBER('Checks'!J309)),'Checks'!J309+306/100000,"")</f>
        <v/>
      </c>
      <c r="B309">
        <f>IF(AND(LEN('Checks'!A309)&gt;0,ISNUMBER('Checks'!H309)),MAX($B$3:B308)+1,"")</f>
        <v/>
      </c>
      <c r="E309">
        <f>IFERROR(MATCH(306,$B$4:$B$503,0),"")</f>
        <v/>
      </c>
    </row>
    <row r="310">
      <c r="A310">
        <f>IF(AND(LEN('Checks'!A310)&gt;0,ISNUMBER('Checks'!J310)),'Checks'!J310+307/100000,"")</f>
        <v/>
      </c>
      <c r="B310">
        <f>IF(AND(LEN('Checks'!A310)&gt;0,ISNUMBER('Checks'!H310)),MAX($B$3:B309)+1,"")</f>
        <v/>
      </c>
      <c r="E310">
        <f>IFERROR(MATCH(307,$B$4:$B$503,0),"")</f>
        <v/>
      </c>
    </row>
    <row r="311">
      <c r="A311">
        <f>IF(AND(LEN('Checks'!A311)&gt;0,ISNUMBER('Checks'!J311)),'Checks'!J311+308/100000,"")</f>
        <v/>
      </c>
      <c r="B311">
        <f>IF(AND(LEN('Checks'!A311)&gt;0,ISNUMBER('Checks'!H311)),MAX($B$3:B310)+1,"")</f>
        <v/>
      </c>
      <c r="E311">
        <f>IFERROR(MATCH(308,$B$4:$B$503,0),"")</f>
        <v/>
      </c>
    </row>
    <row r="312">
      <c r="A312">
        <f>IF(AND(LEN('Checks'!A312)&gt;0,ISNUMBER('Checks'!J312)),'Checks'!J312+309/100000,"")</f>
        <v/>
      </c>
      <c r="B312">
        <f>IF(AND(LEN('Checks'!A312)&gt;0,ISNUMBER('Checks'!H312)),MAX($B$3:B311)+1,"")</f>
        <v/>
      </c>
      <c r="E312">
        <f>IFERROR(MATCH(309,$B$4:$B$503,0),"")</f>
        <v/>
      </c>
    </row>
    <row r="313">
      <c r="A313">
        <f>IF(AND(LEN('Checks'!A313)&gt;0,ISNUMBER('Checks'!J313)),'Checks'!J313+310/100000,"")</f>
        <v/>
      </c>
      <c r="B313">
        <f>IF(AND(LEN('Checks'!A313)&gt;0,ISNUMBER('Checks'!H313)),MAX($B$3:B312)+1,"")</f>
        <v/>
      </c>
      <c r="E313">
        <f>IFERROR(MATCH(310,$B$4:$B$503,0),"")</f>
        <v/>
      </c>
    </row>
    <row r="314">
      <c r="A314">
        <f>IF(AND(LEN('Checks'!A314)&gt;0,ISNUMBER('Checks'!J314)),'Checks'!J314+311/100000,"")</f>
        <v/>
      </c>
      <c r="B314">
        <f>IF(AND(LEN('Checks'!A314)&gt;0,ISNUMBER('Checks'!H314)),MAX($B$3:B313)+1,"")</f>
        <v/>
      </c>
      <c r="E314">
        <f>IFERROR(MATCH(311,$B$4:$B$503,0),"")</f>
        <v/>
      </c>
    </row>
    <row r="315">
      <c r="A315">
        <f>IF(AND(LEN('Checks'!A315)&gt;0,ISNUMBER('Checks'!J315)),'Checks'!J315+312/100000,"")</f>
        <v/>
      </c>
      <c r="B315">
        <f>IF(AND(LEN('Checks'!A315)&gt;0,ISNUMBER('Checks'!H315)),MAX($B$3:B314)+1,"")</f>
        <v/>
      </c>
      <c r="E315">
        <f>IFERROR(MATCH(312,$B$4:$B$503,0),"")</f>
        <v/>
      </c>
    </row>
    <row r="316">
      <c r="A316">
        <f>IF(AND(LEN('Checks'!A316)&gt;0,ISNUMBER('Checks'!J316)),'Checks'!J316+313/100000,"")</f>
        <v/>
      </c>
      <c r="B316">
        <f>IF(AND(LEN('Checks'!A316)&gt;0,ISNUMBER('Checks'!H316)),MAX($B$3:B315)+1,"")</f>
        <v/>
      </c>
      <c r="E316">
        <f>IFERROR(MATCH(313,$B$4:$B$503,0),"")</f>
        <v/>
      </c>
    </row>
    <row r="317">
      <c r="A317">
        <f>IF(AND(LEN('Checks'!A317)&gt;0,ISNUMBER('Checks'!J317)),'Checks'!J317+314/100000,"")</f>
        <v/>
      </c>
      <c r="B317">
        <f>IF(AND(LEN('Checks'!A317)&gt;0,ISNUMBER('Checks'!H317)),MAX($B$3:B316)+1,"")</f>
        <v/>
      </c>
      <c r="E317">
        <f>IFERROR(MATCH(314,$B$4:$B$503,0),"")</f>
        <v/>
      </c>
    </row>
    <row r="318">
      <c r="A318">
        <f>IF(AND(LEN('Checks'!A318)&gt;0,ISNUMBER('Checks'!J318)),'Checks'!J318+315/100000,"")</f>
        <v/>
      </c>
      <c r="B318">
        <f>IF(AND(LEN('Checks'!A318)&gt;0,ISNUMBER('Checks'!H318)),MAX($B$3:B317)+1,"")</f>
        <v/>
      </c>
      <c r="E318">
        <f>IFERROR(MATCH(315,$B$4:$B$503,0),"")</f>
        <v/>
      </c>
    </row>
    <row r="319">
      <c r="A319">
        <f>IF(AND(LEN('Checks'!A319)&gt;0,ISNUMBER('Checks'!J319)),'Checks'!J319+316/100000,"")</f>
        <v/>
      </c>
      <c r="B319">
        <f>IF(AND(LEN('Checks'!A319)&gt;0,ISNUMBER('Checks'!H319)),MAX($B$3:B318)+1,"")</f>
        <v/>
      </c>
      <c r="E319">
        <f>IFERROR(MATCH(316,$B$4:$B$503,0),"")</f>
        <v/>
      </c>
    </row>
    <row r="320">
      <c r="A320">
        <f>IF(AND(LEN('Checks'!A320)&gt;0,ISNUMBER('Checks'!J320)),'Checks'!J320+317/100000,"")</f>
        <v/>
      </c>
      <c r="B320">
        <f>IF(AND(LEN('Checks'!A320)&gt;0,ISNUMBER('Checks'!H320)),MAX($B$3:B319)+1,"")</f>
        <v/>
      </c>
      <c r="E320">
        <f>IFERROR(MATCH(317,$B$4:$B$503,0),"")</f>
        <v/>
      </c>
    </row>
    <row r="321">
      <c r="A321">
        <f>IF(AND(LEN('Checks'!A321)&gt;0,ISNUMBER('Checks'!J321)),'Checks'!J321+318/100000,"")</f>
        <v/>
      </c>
      <c r="B321">
        <f>IF(AND(LEN('Checks'!A321)&gt;0,ISNUMBER('Checks'!H321)),MAX($B$3:B320)+1,"")</f>
        <v/>
      </c>
      <c r="E321">
        <f>IFERROR(MATCH(318,$B$4:$B$503,0),"")</f>
        <v/>
      </c>
    </row>
    <row r="322">
      <c r="A322">
        <f>IF(AND(LEN('Checks'!A322)&gt;0,ISNUMBER('Checks'!J322)),'Checks'!J322+319/100000,"")</f>
        <v/>
      </c>
      <c r="B322">
        <f>IF(AND(LEN('Checks'!A322)&gt;0,ISNUMBER('Checks'!H322)),MAX($B$3:B321)+1,"")</f>
        <v/>
      </c>
      <c r="E322">
        <f>IFERROR(MATCH(319,$B$4:$B$503,0),"")</f>
        <v/>
      </c>
    </row>
    <row r="323">
      <c r="A323">
        <f>IF(AND(LEN('Checks'!A323)&gt;0,ISNUMBER('Checks'!J323)),'Checks'!J323+320/100000,"")</f>
        <v/>
      </c>
      <c r="B323">
        <f>IF(AND(LEN('Checks'!A323)&gt;0,ISNUMBER('Checks'!H323)),MAX($B$3:B322)+1,"")</f>
        <v/>
      </c>
      <c r="E323">
        <f>IFERROR(MATCH(320,$B$4:$B$503,0),"")</f>
        <v/>
      </c>
    </row>
    <row r="324">
      <c r="A324">
        <f>IF(AND(LEN('Checks'!A324)&gt;0,ISNUMBER('Checks'!J324)),'Checks'!J324+321/100000,"")</f>
        <v/>
      </c>
      <c r="B324">
        <f>IF(AND(LEN('Checks'!A324)&gt;0,ISNUMBER('Checks'!H324)),MAX($B$3:B323)+1,"")</f>
        <v/>
      </c>
      <c r="E324">
        <f>IFERROR(MATCH(321,$B$4:$B$503,0),"")</f>
        <v/>
      </c>
    </row>
    <row r="325">
      <c r="A325">
        <f>IF(AND(LEN('Checks'!A325)&gt;0,ISNUMBER('Checks'!J325)),'Checks'!J325+322/100000,"")</f>
        <v/>
      </c>
      <c r="B325">
        <f>IF(AND(LEN('Checks'!A325)&gt;0,ISNUMBER('Checks'!H325)),MAX($B$3:B324)+1,"")</f>
        <v/>
      </c>
      <c r="E325">
        <f>IFERROR(MATCH(322,$B$4:$B$503,0),"")</f>
        <v/>
      </c>
    </row>
    <row r="326">
      <c r="A326">
        <f>IF(AND(LEN('Checks'!A326)&gt;0,ISNUMBER('Checks'!J326)),'Checks'!J326+323/100000,"")</f>
        <v/>
      </c>
      <c r="B326">
        <f>IF(AND(LEN('Checks'!A326)&gt;0,ISNUMBER('Checks'!H326)),MAX($B$3:B325)+1,"")</f>
        <v/>
      </c>
      <c r="E326">
        <f>IFERROR(MATCH(323,$B$4:$B$503,0),"")</f>
        <v/>
      </c>
    </row>
    <row r="327">
      <c r="A327">
        <f>IF(AND(LEN('Checks'!A327)&gt;0,ISNUMBER('Checks'!J327)),'Checks'!J327+324/100000,"")</f>
        <v/>
      </c>
      <c r="B327">
        <f>IF(AND(LEN('Checks'!A327)&gt;0,ISNUMBER('Checks'!H327)),MAX($B$3:B326)+1,"")</f>
        <v/>
      </c>
      <c r="E327">
        <f>IFERROR(MATCH(324,$B$4:$B$503,0),"")</f>
        <v/>
      </c>
    </row>
    <row r="328">
      <c r="A328">
        <f>IF(AND(LEN('Checks'!A328)&gt;0,ISNUMBER('Checks'!J328)),'Checks'!J328+325/100000,"")</f>
        <v/>
      </c>
      <c r="B328">
        <f>IF(AND(LEN('Checks'!A328)&gt;0,ISNUMBER('Checks'!H328)),MAX($B$3:B327)+1,"")</f>
        <v/>
      </c>
      <c r="E328">
        <f>IFERROR(MATCH(325,$B$4:$B$503,0),"")</f>
        <v/>
      </c>
    </row>
    <row r="329">
      <c r="A329">
        <f>IF(AND(LEN('Checks'!A329)&gt;0,ISNUMBER('Checks'!J329)),'Checks'!J329+326/100000,"")</f>
        <v/>
      </c>
      <c r="B329">
        <f>IF(AND(LEN('Checks'!A329)&gt;0,ISNUMBER('Checks'!H329)),MAX($B$3:B328)+1,"")</f>
        <v/>
      </c>
      <c r="E329">
        <f>IFERROR(MATCH(326,$B$4:$B$503,0),"")</f>
        <v/>
      </c>
    </row>
    <row r="330">
      <c r="A330">
        <f>IF(AND(LEN('Checks'!A330)&gt;0,ISNUMBER('Checks'!J330)),'Checks'!J330+327/100000,"")</f>
        <v/>
      </c>
      <c r="B330">
        <f>IF(AND(LEN('Checks'!A330)&gt;0,ISNUMBER('Checks'!H330)),MAX($B$3:B329)+1,"")</f>
        <v/>
      </c>
      <c r="E330">
        <f>IFERROR(MATCH(327,$B$4:$B$503,0),"")</f>
        <v/>
      </c>
    </row>
    <row r="331">
      <c r="A331">
        <f>IF(AND(LEN('Checks'!A331)&gt;0,ISNUMBER('Checks'!J331)),'Checks'!J331+328/100000,"")</f>
        <v/>
      </c>
      <c r="B331">
        <f>IF(AND(LEN('Checks'!A331)&gt;0,ISNUMBER('Checks'!H331)),MAX($B$3:B330)+1,"")</f>
        <v/>
      </c>
      <c r="E331">
        <f>IFERROR(MATCH(328,$B$4:$B$503,0),"")</f>
        <v/>
      </c>
    </row>
    <row r="332">
      <c r="A332">
        <f>IF(AND(LEN('Checks'!A332)&gt;0,ISNUMBER('Checks'!J332)),'Checks'!J332+329/100000,"")</f>
        <v/>
      </c>
      <c r="B332">
        <f>IF(AND(LEN('Checks'!A332)&gt;0,ISNUMBER('Checks'!H332)),MAX($B$3:B331)+1,"")</f>
        <v/>
      </c>
      <c r="E332">
        <f>IFERROR(MATCH(329,$B$4:$B$503,0),"")</f>
        <v/>
      </c>
    </row>
    <row r="333">
      <c r="A333">
        <f>IF(AND(LEN('Checks'!A333)&gt;0,ISNUMBER('Checks'!J333)),'Checks'!J333+330/100000,"")</f>
        <v/>
      </c>
      <c r="B333">
        <f>IF(AND(LEN('Checks'!A333)&gt;0,ISNUMBER('Checks'!H333)),MAX($B$3:B332)+1,"")</f>
        <v/>
      </c>
      <c r="E333">
        <f>IFERROR(MATCH(330,$B$4:$B$503,0),"")</f>
        <v/>
      </c>
    </row>
    <row r="334">
      <c r="A334">
        <f>IF(AND(LEN('Checks'!A334)&gt;0,ISNUMBER('Checks'!J334)),'Checks'!J334+331/100000,"")</f>
        <v/>
      </c>
      <c r="B334">
        <f>IF(AND(LEN('Checks'!A334)&gt;0,ISNUMBER('Checks'!H334)),MAX($B$3:B333)+1,"")</f>
        <v/>
      </c>
      <c r="E334">
        <f>IFERROR(MATCH(331,$B$4:$B$503,0),"")</f>
        <v/>
      </c>
    </row>
    <row r="335">
      <c r="A335">
        <f>IF(AND(LEN('Checks'!A335)&gt;0,ISNUMBER('Checks'!J335)),'Checks'!J335+332/100000,"")</f>
        <v/>
      </c>
      <c r="B335">
        <f>IF(AND(LEN('Checks'!A335)&gt;0,ISNUMBER('Checks'!H335)),MAX($B$3:B334)+1,"")</f>
        <v/>
      </c>
      <c r="E335">
        <f>IFERROR(MATCH(332,$B$4:$B$503,0),"")</f>
        <v/>
      </c>
    </row>
    <row r="336">
      <c r="A336">
        <f>IF(AND(LEN('Checks'!A336)&gt;0,ISNUMBER('Checks'!J336)),'Checks'!J336+333/100000,"")</f>
        <v/>
      </c>
      <c r="B336">
        <f>IF(AND(LEN('Checks'!A336)&gt;0,ISNUMBER('Checks'!H336)),MAX($B$3:B335)+1,"")</f>
        <v/>
      </c>
      <c r="E336">
        <f>IFERROR(MATCH(333,$B$4:$B$503,0),"")</f>
        <v/>
      </c>
    </row>
    <row r="337">
      <c r="A337">
        <f>IF(AND(LEN('Checks'!A337)&gt;0,ISNUMBER('Checks'!J337)),'Checks'!J337+334/100000,"")</f>
        <v/>
      </c>
      <c r="B337">
        <f>IF(AND(LEN('Checks'!A337)&gt;0,ISNUMBER('Checks'!H337)),MAX($B$3:B336)+1,"")</f>
        <v/>
      </c>
      <c r="E337">
        <f>IFERROR(MATCH(334,$B$4:$B$503,0),"")</f>
        <v/>
      </c>
    </row>
    <row r="338">
      <c r="A338">
        <f>IF(AND(LEN('Checks'!A338)&gt;0,ISNUMBER('Checks'!J338)),'Checks'!J338+335/100000,"")</f>
        <v/>
      </c>
      <c r="B338">
        <f>IF(AND(LEN('Checks'!A338)&gt;0,ISNUMBER('Checks'!H338)),MAX($B$3:B337)+1,"")</f>
        <v/>
      </c>
      <c r="E338">
        <f>IFERROR(MATCH(335,$B$4:$B$503,0),"")</f>
        <v/>
      </c>
    </row>
    <row r="339">
      <c r="A339">
        <f>IF(AND(LEN('Checks'!A339)&gt;0,ISNUMBER('Checks'!J339)),'Checks'!J339+336/100000,"")</f>
        <v/>
      </c>
      <c r="B339">
        <f>IF(AND(LEN('Checks'!A339)&gt;0,ISNUMBER('Checks'!H339)),MAX($B$3:B338)+1,"")</f>
        <v/>
      </c>
      <c r="E339">
        <f>IFERROR(MATCH(336,$B$4:$B$503,0),"")</f>
        <v/>
      </c>
    </row>
    <row r="340">
      <c r="A340">
        <f>IF(AND(LEN('Checks'!A340)&gt;0,ISNUMBER('Checks'!J340)),'Checks'!J340+337/100000,"")</f>
        <v/>
      </c>
      <c r="B340">
        <f>IF(AND(LEN('Checks'!A340)&gt;0,ISNUMBER('Checks'!H340)),MAX($B$3:B339)+1,"")</f>
        <v/>
      </c>
      <c r="E340">
        <f>IFERROR(MATCH(337,$B$4:$B$503,0),"")</f>
        <v/>
      </c>
    </row>
    <row r="341">
      <c r="A341">
        <f>IF(AND(LEN('Checks'!A341)&gt;0,ISNUMBER('Checks'!J341)),'Checks'!J341+338/100000,"")</f>
        <v/>
      </c>
      <c r="B341">
        <f>IF(AND(LEN('Checks'!A341)&gt;0,ISNUMBER('Checks'!H341)),MAX($B$3:B340)+1,"")</f>
        <v/>
      </c>
      <c r="E341">
        <f>IFERROR(MATCH(338,$B$4:$B$503,0),"")</f>
        <v/>
      </c>
    </row>
    <row r="342">
      <c r="A342">
        <f>IF(AND(LEN('Checks'!A342)&gt;0,ISNUMBER('Checks'!J342)),'Checks'!J342+339/100000,"")</f>
        <v/>
      </c>
      <c r="B342">
        <f>IF(AND(LEN('Checks'!A342)&gt;0,ISNUMBER('Checks'!H342)),MAX($B$3:B341)+1,"")</f>
        <v/>
      </c>
      <c r="E342">
        <f>IFERROR(MATCH(339,$B$4:$B$503,0),"")</f>
        <v/>
      </c>
    </row>
    <row r="343">
      <c r="A343">
        <f>IF(AND(LEN('Checks'!A343)&gt;0,ISNUMBER('Checks'!J343)),'Checks'!J343+340/100000,"")</f>
        <v/>
      </c>
      <c r="B343">
        <f>IF(AND(LEN('Checks'!A343)&gt;0,ISNUMBER('Checks'!H343)),MAX($B$3:B342)+1,"")</f>
        <v/>
      </c>
      <c r="E343">
        <f>IFERROR(MATCH(340,$B$4:$B$503,0),"")</f>
        <v/>
      </c>
    </row>
    <row r="344">
      <c r="A344">
        <f>IF(AND(LEN('Checks'!A344)&gt;0,ISNUMBER('Checks'!J344)),'Checks'!J344+341/100000,"")</f>
        <v/>
      </c>
      <c r="B344">
        <f>IF(AND(LEN('Checks'!A344)&gt;0,ISNUMBER('Checks'!H344)),MAX($B$3:B343)+1,"")</f>
        <v/>
      </c>
      <c r="E344">
        <f>IFERROR(MATCH(341,$B$4:$B$503,0),"")</f>
        <v/>
      </c>
    </row>
    <row r="345">
      <c r="A345">
        <f>IF(AND(LEN('Checks'!A345)&gt;0,ISNUMBER('Checks'!J345)),'Checks'!J345+342/100000,"")</f>
        <v/>
      </c>
      <c r="B345">
        <f>IF(AND(LEN('Checks'!A345)&gt;0,ISNUMBER('Checks'!H345)),MAX($B$3:B344)+1,"")</f>
        <v/>
      </c>
      <c r="E345">
        <f>IFERROR(MATCH(342,$B$4:$B$503,0),"")</f>
        <v/>
      </c>
    </row>
    <row r="346">
      <c r="A346">
        <f>IF(AND(LEN('Checks'!A346)&gt;0,ISNUMBER('Checks'!J346)),'Checks'!J346+343/100000,"")</f>
        <v/>
      </c>
      <c r="B346">
        <f>IF(AND(LEN('Checks'!A346)&gt;0,ISNUMBER('Checks'!H346)),MAX($B$3:B345)+1,"")</f>
        <v/>
      </c>
      <c r="E346">
        <f>IFERROR(MATCH(343,$B$4:$B$503,0),"")</f>
        <v/>
      </c>
    </row>
    <row r="347">
      <c r="A347">
        <f>IF(AND(LEN('Checks'!A347)&gt;0,ISNUMBER('Checks'!J347)),'Checks'!J347+344/100000,"")</f>
        <v/>
      </c>
      <c r="B347">
        <f>IF(AND(LEN('Checks'!A347)&gt;0,ISNUMBER('Checks'!H347)),MAX($B$3:B346)+1,"")</f>
        <v/>
      </c>
      <c r="E347">
        <f>IFERROR(MATCH(344,$B$4:$B$503,0),"")</f>
        <v/>
      </c>
    </row>
    <row r="348">
      <c r="A348">
        <f>IF(AND(LEN('Checks'!A348)&gt;0,ISNUMBER('Checks'!J348)),'Checks'!J348+345/100000,"")</f>
        <v/>
      </c>
      <c r="B348">
        <f>IF(AND(LEN('Checks'!A348)&gt;0,ISNUMBER('Checks'!H348)),MAX($B$3:B347)+1,"")</f>
        <v/>
      </c>
      <c r="E348">
        <f>IFERROR(MATCH(345,$B$4:$B$503,0),"")</f>
        <v/>
      </c>
    </row>
    <row r="349">
      <c r="A349">
        <f>IF(AND(LEN('Checks'!A349)&gt;0,ISNUMBER('Checks'!J349)),'Checks'!J349+346/100000,"")</f>
        <v/>
      </c>
      <c r="B349">
        <f>IF(AND(LEN('Checks'!A349)&gt;0,ISNUMBER('Checks'!H349)),MAX($B$3:B348)+1,"")</f>
        <v/>
      </c>
      <c r="E349">
        <f>IFERROR(MATCH(346,$B$4:$B$503,0),"")</f>
        <v/>
      </c>
    </row>
    <row r="350">
      <c r="A350">
        <f>IF(AND(LEN('Checks'!A350)&gt;0,ISNUMBER('Checks'!J350)),'Checks'!J350+347/100000,"")</f>
        <v/>
      </c>
      <c r="B350">
        <f>IF(AND(LEN('Checks'!A350)&gt;0,ISNUMBER('Checks'!H350)),MAX($B$3:B349)+1,"")</f>
        <v/>
      </c>
      <c r="E350">
        <f>IFERROR(MATCH(347,$B$4:$B$503,0),"")</f>
        <v/>
      </c>
    </row>
    <row r="351">
      <c r="A351">
        <f>IF(AND(LEN('Checks'!A351)&gt;0,ISNUMBER('Checks'!J351)),'Checks'!J351+348/100000,"")</f>
        <v/>
      </c>
      <c r="B351">
        <f>IF(AND(LEN('Checks'!A351)&gt;0,ISNUMBER('Checks'!H351)),MAX($B$3:B350)+1,"")</f>
        <v/>
      </c>
      <c r="E351">
        <f>IFERROR(MATCH(348,$B$4:$B$503,0),"")</f>
        <v/>
      </c>
    </row>
    <row r="352">
      <c r="A352">
        <f>IF(AND(LEN('Checks'!A352)&gt;0,ISNUMBER('Checks'!J352)),'Checks'!J352+349/100000,"")</f>
        <v/>
      </c>
      <c r="B352">
        <f>IF(AND(LEN('Checks'!A352)&gt;0,ISNUMBER('Checks'!H352)),MAX($B$3:B351)+1,"")</f>
        <v/>
      </c>
      <c r="E352">
        <f>IFERROR(MATCH(349,$B$4:$B$503,0),"")</f>
        <v/>
      </c>
    </row>
    <row r="353">
      <c r="A353">
        <f>IF(AND(LEN('Checks'!A353)&gt;0,ISNUMBER('Checks'!J353)),'Checks'!J353+350/100000,"")</f>
        <v/>
      </c>
      <c r="B353">
        <f>IF(AND(LEN('Checks'!A353)&gt;0,ISNUMBER('Checks'!H353)),MAX($B$3:B352)+1,"")</f>
        <v/>
      </c>
      <c r="E353">
        <f>IFERROR(MATCH(350,$B$4:$B$503,0),"")</f>
        <v/>
      </c>
    </row>
    <row r="354">
      <c r="A354">
        <f>IF(AND(LEN('Checks'!A354)&gt;0,ISNUMBER('Checks'!J354)),'Checks'!J354+351/100000,"")</f>
        <v/>
      </c>
      <c r="B354">
        <f>IF(AND(LEN('Checks'!A354)&gt;0,ISNUMBER('Checks'!H354)),MAX($B$3:B353)+1,"")</f>
        <v/>
      </c>
      <c r="E354">
        <f>IFERROR(MATCH(351,$B$4:$B$503,0),"")</f>
        <v/>
      </c>
    </row>
    <row r="355">
      <c r="A355">
        <f>IF(AND(LEN('Checks'!A355)&gt;0,ISNUMBER('Checks'!J355)),'Checks'!J355+352/100000,"")</f>
        <v/>
      </c>
      <c r="B355">
        <f>IF(AND(LEN('Checks'!A355)&gt;0,ISNUMBER('Checks'!H355)),MAX($B$3:B354)+1,"")</f>
        <v/>
      </c>
      <c r="E355">
        <f>IFERROR(MATCH(352,$B$4:$B$503,0),"")</f>
        <v/>
      </c>
    </row>
    <row r="356">
      <c r="A356">
        <f>IF(AND(LEN('Checks'!A356)&gt;0,ISNUMBER('Checks'!J356)),'Checks'!J356+353/100000,"")</f>
        <v/>
      </c>
      <c r="B356">
        <f>IF(AND(LEN('Checks'!A356)&gt;0,ISNUMBER('Checks'!H356)),MAX($B$3:B355)+1,"")</f>
        <v/>
      </c>
      <c r="E356">
        <f>IFERROR(MATCH(353,$B$4:$B$503,0),"")</f>
        <v/>
      </c>
    </row>
    <row r="357">
      <c r="A357">
        <f>IF(AND(LEN('Checks'!A357)&gt;0,ISNUMBER('Checks'!J357)),'Checks'!J357+354/100000,"")</f>
        <v/>
      </c>
      <c r="B357">
        <f>IF(AND(LEN('Checks'!A357)&gt;0,ISNUMBER('Checks'!H357)),MAX($B$3:B356)+1,"")</f>
        <v/>
      </c>
      <c r="E357">
        <f>IFERROR(MATCH(354,$B$4:$B$503,0),"")</f>
        <v/>
      </c>
    </row>
    <row r="358">
      <c r="A358">
        <f>IF(AND(LEN('Checks'!A358)&gt;0,ISNUMBER('Checks'!J358)),'Checks'!J358+355/100000,"")</f>
        <v/>
      </c>
      <c r="B358">
        <f>IF(AND(LEN('Checks'!A358)&gt;0,ISNUMBER('Checks'!H358)),MAX($B$3:B357)+1,"")</f>
        <v/>
      </c>
      <c r="E358">
        <f>IFERROR(MATCH(355,$B$4:$B$503,0),"")</f>
        <v/>
      </c>
    </row>
    <row r="359">
      <c r="A359">
        <f>IF(AND(LEN('Checks'!A359)&gt;0,ISNUMBER('Checks'!J359)),'Checks'!J359+356/100000,"")</f>
        <v/>
      </c>
      <c r="B359">
        <f>IF(AND(LEN('Checks'!A359)&gt;0,ISNUMBER('Checks'!H359)),MAX($B$3:B358)+1,"")</f>
        <v/>
      </c>
      <c r="E359">
        <f>IFERROR(MATCH(356,$B$4:$B$503,0),"")</f>
        <v/>
      </c>
    </row>
    <row r="360">
      <c r="A360">
        <f>IF(AND(LEN('Checks'!A360)&gt;0,ISNUMBER('Checks'!J360)),'Checks'!J360+357/100000,"")</f>
        <v/>
      </c>
      <c r="B360">
        <f>IF(AND(LEN('Checks'!A360)&gt;0,ISNUMBER('Checks'!H360)),MAX($B$3:B359)+1,"")</f>
        <v/>
      </c>
      <c r="E360">
        <f>IFERROR(MATCH(357,$B$4:$B$503,0),"")</f>
        <v/>
      </c>
    </row>
    <row r="361">
      <c r="A361">
        <f>IF(AND(LEN('Checks'!A361)&gt;0,ISNUMBER('Checks'!J361)),'Checks'!J361+358/100000,"")</f>
        <v/>
      </c>
      <c r="B361">
        <f>IF(AND(LEN('Checks'!A361)&gt;0,ISNUMBER('Checks'!H361)),MAX($B$3:B360)+1,"")</f>
        <v/>
      </c>
      <c r="E361">
        <f>IFERROR(MATCH(358,$B$4:$B$503,0),"")</f>
        <v/>
      </c>
    </row>
    <row r="362">
      <c r="A362">
        <f>IF(AND(LEN('Checks'!A362)&gt;0,ISNUMBER('Checks'!J362)),'Checks'!J362+359/100000,"")</f>
        <v/>
      </c>
      <c r="B362">
        <f>IF(AND(LEN('Checks'!A362)&gt;0,ISNUMBER('Checks'!H362)),MAX($B$3:B361)+1,"")</f>
        <v/>
      </c>
      <c r="E362">
        <f>IFERROR(MATCH(359,$B$4:$B$503,0),"")</f>
        <v/>
      </c>
    </row>
    <row r="363">
      <c r="A363">
        <f>IF(AND(LEN('Checks'!A363)&gt;0,ISNUMBER('Checks'!J363)),'Checks'!J363+360/100000,"")</f>
        <v/>
      </c>
      <c r="B363">
        <f>IF(AND(LEN('Checks'!A363)&gt;0,ISNUMBER('Checks'!H363)),MAX($B$3:B362)+1,"")</f>
        <v/>
      </c>
      <c r="E363">
        <f>IFERROR(MATCH(360,$B$4:$B$503,0),"")</f>
        <v/>
      </c>
    </row>
    <row r="364">
      <c r="A364">
        <f>IF(AND(LEN('Checks'!A364)&gt;0,ISNUMBER('Checks'!J364)),'Checks'!J364+361/100000,"")</f>
        <v/>
      </c>
      <c r="B364">
        <f>IF(AND(LEN('Checks'!A364)&gt;0,ISNUMBER('Checks'!H364)),MAX($B$3:B363)+1,"")</f>
        <v/>
      </c>
      <c r="E364">
        <f>IFERROR(MATCH(361,$B$4:$B$503,0),"")</f>
        <v/>
      </c>
    </row>
    <row r="365">
      <c r="A365">
        <f>IF(AND(LEN('Checks'!A365)&gt;0,ISNUMBER('Checks'!J365)),'Checks'!J365+362/100000,"")</f>
        <v/>
      </c>
      <c r="B365">
        <f>IF(AND(LEN('Checks'!A365)&gt;0,ISNUMBER('Checks'!H365)),MAX($B$3:B364)+1,"")</f>
        <v/>
      </c>
      <c r="E365">
        <f>IFERROR(MATCH(362,$B$4:$B$503,0),"")</f>
        <v/>
      </c>
    </row>
    <row r="366">
      <c r="A366">
        <f>IF(AND(LEN('Checks'!A366)&gt;0,ISNUMBER('Checks'!J366)),'Checks'!J366+363/100000,"")</f>
        <v/>
      </c>
      <c r="B366">
        <f>IF(AND(LEN('Checks'!A366)&gt;0,ISNUMBER('Checks'!H366)),MAX($B$3:B365)+1,"")</f>
        <v/>
      </c>
      <c r="E366">
        <f>IFERROR(MATCH(363,$B$4:$B$503,0),"")</f>
        <v/>
      </c>
    </row>
    <row r="367">
      <c r="A367">
        <f>IF(AND(LEN('Checks'!A367)&gt;0,ISNUMBER('Checks'!J367)),'Checks'!J367+364/100000,"")</f>
        <v/>
      </c>
      <c r="B367">
        <f>IF(AND(LEN('Checks'!A367)&gt;0,ISNUMBER('Checks'!H367)),MAX($B$3:B366)+1,"")</f>
        <v/>
      </c>
      <c r="E367">
        <f>IFERROR(MATCH(364,$B$4:$B$503,0),"")</f>
        <v/>
      </c>
    </row>
    <row r="368">
      <c r="A368">
        <f>IF(AND(LEN('Checks'!A368)&gt;0,ISNUMBER('Checks'!J368)),'Checks'!J368+365/100000,"")</f>
        <v/>
      </c>
      <c r="B368">
        <f>IF(AND(LEN('Checks'!A368)&gt;0,ISNUMBER('Checks'!H368)),MAX($B$3:B367)+1,"")</f>
        <v/>
      </c>
      <c r="E368">
        <f>IFERROR(MATCH(365,$B$4:$B$503,0),"")</f>
        <v/>
      </c>
    </row>
    <row r="369">
      <c r="A369">
        <f>IF(AND(LEN('Checks'!A369)&gt;0,ISNUMBER('Checks'!J369)),'Checks'!J369+366/100000,"")</f>
        <v/>
      </c>
      <c r="B369">
        <f>IF(AND(LEN('Checks'!A369)&gt;0,ISNUMBER('Checks'!H369)),MAX($B$3:B368)+1,"")</f>
        <v/>
      </c>
      <c r="E369">
        <f>IFERROR(MATCH(366,$B$4:$B$503,0),"")</f>
        <v/>
      </c>
    </row>
    <row r="370">
      <c r="A370">
        <f>IF(AND(LEN('Checks'!A370)&gt;0,ISNUMBER('Checks'!J370)),'Checks'!J370+367/100000,"")</f>
        <v/>
      </c>
      <c r="B370">
        <f>IF(AND(LEN('Checks'!A370)&gt;0,ISNUMBER('Checks'!H370)),MAX($B$3:B369)+1,"")</f>
        <v/>
      </c>
      <c r="E370">
        <f>IFERROR(MATCH(367,$B$4:$B$503,0),"")</f>
        <v/>
      </c>
    </row>
    <row r="371">
      <c r="A371">
        <f>IF(AND(LEN('Checks'!A371)&gt;0,ISNUMBER('Checks'!J371)),'Checks'!J371+368/100000,"")</f>
        <v/>
      </c>
      <c r="B371">
        <f>IF(AND(LEN('Checks'!A371)&gt;0,ISNUMBER('Checks'!H371)),MAX($B$3:B370)+1,"")</f>
        <v/>
      </c>
      <c r="E371">
        <f>IFERROR(MATCH(368,$B$4:$B$503,0),"")</f>
        <v/>
      </c>
    </row>
    <row r="372">
      <c r="A372">
        <f>IF(AND(LEN('Checks'!A372)&gt;0,ISNUMBER('Checks'!J372)),'Checks'!J372+369/100000,"")</f>
        <v/>
      </c>
      <c r="B372">
        <f>IF(AND(LEN('Checks'!A372)&gt;0,ISNUMBER('Checks'!H372)),MAX($B$3:B371)+1,"")</f>
        <v/>
      </c>
      <c r="E372">
        <f>IFERROR(MATCH(369,$B$4:$B$503,0),"")</f>
        <v/>
      </c>
    </row>
    <row r="373">
      <c r="A373">
        <f>IF(AND(LEN('Checks'!A373)&gt;0,ISNUMBER('Checks'!J373)),'Checks'!J373+370/100000,"")</f>
        <v/>
      </c>
      <c r="B373">
        <f>IF(AND(LEN('Checks'!A373)&gt;0,ISNUMBER('Checks'!H373)),MAX($B$3:B372)+1,"")</f>
        <v/>
      </c>
      <c r="E373">
        <f>IFERROR(MATCH(370,$B$4:$B$503,0),"")</f>
        <v/>
      </c>
    </row>
    <row r="374">
      <c r="A374">
        <f>IF(AND(LEN('Checks'!A374)&gt;0,ISNUMBER('Checks'!J374)),'Checks'!J374+371/100000,"")</f>
        <v/>
      </c>
      <c r="B374">
        <f>IF(AND(LEN('Checks'!A374)&gt;0,ISNUMBER('Checks'!H374)),MAX($B$3:B373)+1,"")</f>
        <v/>
      </c>
      <c r="E374">
        <f>IFERROR(MATCH(371,$B$4:$B$503,0),"")</f>
        <v/>
      </c>
    </row>
    <row r="375">
      <c r="A375">
        <f>IF(AND(LEN('Checks'!A375)&gt;0,ISNUMBER('Checks'!J375)),'Checks'!J375+372/100000,"")</f>
        <v/>
      </c>
      <c r="B375">
        <f>IF(AND(LEN('Checks'!A375)&gt;0,ISNUMBER('Checks'!H375)),MAX($B$3:B374)+1,"")</f>
        <v/>
      </c>
      <c r="E375">
        <f>IFERROR(MATCH(372,$B$4:$B$503,0),"")</f>
        <v/>
      </c>
    </row>
    <row r="376">
      <c r="A376">
        <f>IF(AND(LEN('Checks'!A376)&gt;0,ISNUMBER('Checks'!J376)),'Checks'!J376+373/100000,"")</f>
        <v/>
      </c>
      <c r="B376">
        <f>IF(AND(LEN('Checks'!A376)&gt;0,ISNUMBER('Checks'!H376)),MAX($B$3:B375)+1,"")</f>
        <v/>
      </c>
      <c r="E376">
        <f>IFERROR(MATCH(373,$B$4:$B$503,0),"")</f>
        <v/>
      </c>
    </row>
    <row r="377">
      <c r="A377">
        <f>IF(AND(LEN('Checks'!A377)&gt;0,ISNUMBER('Checks'!J377)),'Checks'!J377+374/100000,"")</f>
        <v/>
      </c>
      <c r="B377">
        <f>IF(AND(LEN('Checks'!A377)&gt;0,ISNUMBER('Checks'!H377)),MAX($B$3:B376)+1,"")</f>
        <v/>
      </c>
      <c r="E377">
        <f>IFERROR(MATCH(374,$B$4:$B$503,0),"")</f>
        <v/>
      </c>
    </row>
    <row r="378">
      <c r="A378">
        <f>IF(AND(LEN('Checks'!A378)&gt;0,ISNUMBER('Checks'!J378)),'Checks'!J378+375/100000,"")</f>
        <v/>
      </c>
      <c r="B378">
        <f>IF(AND(LEN('Checks'!A378)&gt;0,ISNUMBER('Checks'!H378)),MAX($B$3:B377)+1,"")</f>
        <v/>
      </c>
      <c r="E378">
        <f>IFERROR(MATCH(375,$B$4:$B$503,0),"")</f>
        <v/>
      </c>
    </row>
    <row r="379">
      <c r="A379">
        <f>IF(AND(LEN('Checks'!A379)&gt;0,ISNUMBER('Checks'!J379)),'Checks'!J379+376/100000,"")</f>
        <v/>
      </c>
      <c r="B379">
        <f>IF(AND(LEN('Checks'!A379)&gt;0,ISNUMBER('Checks'!H379)),MAX($B$3:B378)+1,"")</f>
        <v/>
      </c>
      <c r="E379">
        <f>IFERROR(MATCH(376,$B$4:$B$503,0),"")</f>
        <v/>
      </c>
    </row>
    <row r="380">
      <c r="A380">
        <f>IF(AND(LEN('Checks'!A380)&gt;0,ISNUMBER('Checks'!J380)),'Checks'!J380+377/100000,"")</f>
        <v/>
      </c>
      <c r="B380">
        <f>IF(AND(LEN('Checks'!A380)&gt;0,ISNUMBER('Checks'!H380)),MAX($B$3:B379)+1,"")</f>
        <v/>
      </c>
      <c r="E380">
        <f>IFERROR(MATCH(377,$B$4:$B$503,0),"")</f>
        <v/>
      </c>
    </row>
    <row r="381">
      <c r="A381">
        <f>IF(AND(LEN('Checks'!A381)&gt;0,ISNUMBER('Checks'!J381)),'Checks'!J381+378/100000,"")</f>
        <v/>
      </c>
      <c r="B381">
        <f>IF(AND(LEN('Checks'!A381)&gt;0,ISNUMBER('Checks'!H381)),MAX($B$3:B380)+1,"")</f>
        <v/>
      </c>
      <c r="E381">
        <f>IFERROR(MATCH(378,$B$4:$B$503,0),"")</f>
        <v/>
      </c>
    </row>
    <row r="382">
      <c r="A382">
        <f>IF(AND(LEN('Checks'!A382)&gt;0,ISNUMBER('Checks'!J382)),'Checks'!J382+379/100000,"")</f>
        <v/>
      </c>
      <c r="B382">
        <f>IF(AND(LEN('Checks'!A382)&gt;0,ISNUMBER('Checks'!H382)),MAX($B$3:B381)+1,"")</f>
        <v/>
      </c>
      <c r="E382">
        <f>IFERROR(MATCH(379,$B$4:$B$503,0),"")</f>
        <v/>
      </c>
    </row>
    <row r="383">
      <c r="A383">
        <f>IF(AND(LEN('Checks'!A383)&gt;0,ISNUMBER('Checks'!J383)),'Checks'!J383+380/100000,"")</f>
        <v/>
      </c>
      <c r="B383">
        <f>IF(AND(LEN('Checks'!A383)&gt;0,ISNUMBER('Checks'!H383)),MAX($B$3:B382)+1,"")</f>
        <v/>
      </c>
      <c r="E383">
        <f>IFERROR(MATCH(380,$B$4:$B$503,0),"")</f>
        <v/>
      </c>
    </row>
    <row r="384">
      <c r="A384">
        <f>IF(AND(LEN('Checks'!A384)&gt;0,ISNUMBER('Checks'!J384)),'Checks'!J384+381/100000,"")</f>
        <v/>
      </c>
      <c r="B384">
        <f>IF(AND(LEN('Checks'!A384)&gt;0,ISNUMBER('Checks'!H384)),MAX($B$3:B383)+1,"")</f>
        <v/>
      </c>
      <c r="E384">
        <f>IFERROR(MATCH(381,$B$4:$B$503,0),"")</f>
        <v/>
      </c>
    </row>
    <row r="385">
      <c r="A385">
        <f>IF(AND(LEN('Checks'!A385)&gt;0,ISNUMBER('Checks'!J385)),'Checks'!J385+382/100000,"")</f>
        <v/>
      </c>
      <c r="B385">
        <f>IF(AND(LEN('Checks'!A385)&gt;0,ISNUMBER('Checks'!H385)),MAX($B$3:B384)+1,"")</f>
        <v/>
      </c>
      <c r="E385">
        <f>IFERROR(MATCH(382,$B$4:$B$503,0),"")</f>
        <v/>
      </c>
    </row>
    <row r="386">
      <c r="A386">
        <f>IF(AND(LEN('Checks'!A386)&gt;0,ISNUMBER('Checks'!J386)),'Checks'!J386+383/100000,"")</f>
        <v/>
      </c>
      <c r="B386">
        <f>IF(AND(LEN('Checks'!A386)&gt;0,ISNUMBER('Checks'!H386)),MAX($B$3:B385)+1,"")</f>
        <v/>
      </c>
      <c r="E386">
        <f>IFERROR(MATCH(383,$B$4:$B$503,0),"")</f>
        <v/>
      </c>
    </row>
    <row r="387">
      <c r="A387">
        <f>IF(AND(LEN('Checks'!A387)&gt;0,ISNUMBER('Checks'!J387)),'Checks'!J387+384/100000,"")</f>
        <v/>
      </c>
      <c r="B387">
        <f>IF(AND(LEN('Checks'!A387)&gt;0,ISNUMBER('Checks'!H387)),MAX($B$3:B386)+1,"")</f>
        <v/>
      </c>
      <c r="E387">
        <f>IFERROR(MATCH(384,$B$4:$B$503,0),"")</f>
        <v/>
      </c>
    </row>
    <row r="388">
      <c r="A388">
        <f>IF(AND(LEN('Checks'!A388)&gt;0,ISNUMBER('Checks'!J388)),'Checks'!J388+385/100000,"")</f>
        <v/>
      </c>
      <c r="B388">
        <f>IF(AND(LEN('Checks'!A388)&gt;0,ISNUMBER('Checks'!H388)),MAX($B$3:B387)+1,"")</f>
        <v/>
      </c>
      <c r="E388">
        <f>IFERROR(MATCH(385,$B$4:$B$503,0),"")</f>
        <v/>
      </c>
    </row>
    <row r="389">
      <c r="A389">
        <f>IF(AND(LEN('Checks'!A389)&gt;0,ISNUMBER('Checks'!J389)),'Checks'!J389+386/100000,"")</f>
        <v/>
      </c>
      <c r="B389">
        <f>IF(AND(LEN('Checks'!A389)&gt;0,ISNUMBER('Checks'!H389)),MAX($B$3:B388)+1,"")</f>
        <v/>
      </c>
      <c r="E389">
        <f>IFERROR(MATCH(386,$B$4:$B$503,0),"")</f>
        <v/>
      </c>
    </row>
    <row r="390">
      <c r="A390">
        <f>IF(AND(LEN('Checks'!A390)&gt;0,ISNUMBER('Checks'!J390)),'Checks'!J390+387/100000,"")</f>
        <v/>
      </c>
      <c r="B390">
        <f>IF(AND(LEN('Checks'!A390)&gt;0,ISNUMBER('Checks'!H390)),MAX($B$3:B389)+1,"")</f>
        <v/>
      </c>
      <c r="E390">
        <f>IFERROR(MATCH(387,$B$4:$B$503,0),"")</f>
        <v/>
      </c>
    </row>
    <row r="391">
      <c r="A391">
        <f>IF(AND(LEN('Checks'!A391)&gt;0,ISNUMBER('Checks'!J391)),'Checks'!J391+388/100000,"")</f>
        <v/>
      </c>
      <c r="B391">
        <f>IF(AND(LEN('Checks'!A391)&gt;0,ISNUMBER('Checks'!H391)),MAX($B$3:B390)+1,"")</f>
        <v/>
      </c>
      <c r="E391">
        <f>IFERROR(MATCH(388,$B$4:$B$503,0),"")</f>
        <v/>
      </c>
    </row>
    <row r="392">
      <c r="A392">
        <f>IF(AND(LEN('Checks'!A392)&gt;0,ISNUMBER('Checks'!J392)),'Checks'!J392+389/100000,"")</f>
        <v/>
      </c>
      <c r="B392">
        <f>IF(AND(LEN('Checks'!A392)&gt;0,ISNUMBER('Checks'!H392)),MAX($B$3:B391)+1,"")</f>
        <v/>
      </c>
      <c r="E392">
        <f>IFERROR(MATCH(389,$B$4:$B$503,0),"")</f>
        <v/>
      </c>
    </row>
    <row r="393">
      <c r="A393">
        <f>IF(AND(LEN('Checks'!A393)&gt;0,ISNUMBER('Checks'!J393)),'Checks'!J393+390/100000,"")</f>
        <v/>
      </c>
      <c r="B393">
        <f>IF(AND(LEN('Checks'!A393)&gt;0,ISNUMBER('Checks'!H393)),MAX($B$3:B392)+1,"")</f>
        <v/>
      </c>
      <c r="E393">
        <f>IFERROR(MATCH(390,$B$4:$B$503,0),"")</f>
        <v/>
      </c>
    </row>
    <row r="394">
      <c r="A394">
        <f>IF(AND(LEN('Checks'!A394)&gt;0,ISNUMBER('Checks'!J394)),'Checks'!J394+391/100000,"")</f>
        <v/>
      </c>
      <c r="B394">
        <f>IF(AND(LEN('Checks'!A394)&gt;0,ISNUMBER('Checks'!H394)),MAX($B$3:B393)+1,"")</f>
        <v/>
      </c>
      <c r="E394">
        <f>IFERROR(MATCH(391,$B$4:$B$503,0),"")</f>
        <v/>
      </c>
    </row>
    <row r="395">
      <c r="A395">
        <f>IF(AND(LEN('Checks'!A395)&gt;0,ISNUMBER('Checks'!J395)),'Checks'!J395+392/100000,"")</f>
        <v/>
      </c>
      <c r="B395">
        <f>IF(AND(LEN('Checks'!A395)&gt;0,ISNUMBER('Checks'!H395)),MAX($B$3:B394)+1,"")</f>
        <v/>
      </c>
      <c r="E395">
        <f>IFERROR(MATCH(392,$B$4:$B$503,0),"")</f>
        <v/>
      </c>
    </row>
    <row r="396">
      <c r="A396">
        <f>IF(AND(LEN('Checks'!A396)&gt;0,ISNUMBER('Checks'!J396)),'Checks'!J396+393/100000,"")</f>
        <v/>
      </c>
      <c r="B396">
        <f>IF(AND(LEN('Checks'!A396)&gt;0,ISNUMBER('Checks'!H396)),MAX($B$3:B395)+1,"")</f>
        <v/>
      </c>
      <c r="E396">
        <f>IFERROR(MATCH(393,$B$4:$B$503,0),"")</f>
        <v/>
      </c>
    </row>
    <row r="397">
      <c r="A397">
        <f>IF(AND(LEN('Checks'!A397)&gt;0,ISNUMBER('Checks'!J397)),'Checks'!J397+394/100000,"")</f>
        <v/>
      </c>
      <c r="B397">
        <f>IF(AND(LEN('Checks'!A397)&gt;0,ISNUMBER('Checks'!H397)),MAX($B$3:B396)+1,"")</f>
        <v/>
      </c>
      <c r="E397">
        <f>IFERROR(MATCH(394,$B$4:$B$503,0),"")</f>
        <v/>
      </c>
    </row>
    <row r="398">
      <c r="A398">
        <f>IF(AND(LEN('Checks'!A398)&gt;0,ISNUMBER('Checks'!J398)),'Checks'!J398+395/100000,"")</f>
        <v/>
      </c>
      <c r="B398">
        <f>IF(AND(LEN('Checks'!A398)&gt;0,ISNUMBER('Checks'!H398)),MAX($B$3:B397)+1,"")</f>
        <v/>
      </c>
      <c r="E398">
        <f>IFERROR(MATCH(395,$B$4:$B$503,0),"")</f>
        <v/>
      </c>
    </row>
    <row r="399">
      <c r="A399">
        <f>IF(AND(LEN('Checks'!A399)&gt;0,ISNUMBER('Checks'!J399)),'Checks'!J399+396/100000,"")</f>
        <v/>
      </c>
      <c r="B399">
        <f>IF(AND(LEN('Checks'!A399)&gt;0,ISNUMBER('Checks'!H399)),MAX($B$3:B398)+1,"")</f>
        <v/>
      </c>
      <c r="E399">
        <f>IFERROR(MATCH(396,$B$4:$B$503,0),"")</f>
        <v/>
      </c>
    </row>
    <row r="400">
      <c r="A400">
        <f>IF(AND(LEN('Checks'!A400)&gt;0,ISNUMBER('Checks'!J400)),'Checks'!J400+397/100000,"")</f>
        <v/>
      </c>
      <c r="B400">
        <f>IF(AND(LEN('Checks'!A400)&gt;0,ISNUMBER('Checks'!H400)),MAX($B$3:B399)+1,"")</f>
        <v/>
      </c>
      <c r="E400">
        <f>IFERROR(MATCH(397,$B$4:$B$503,0),"")</f>
        <v/>
      </c>
    </row>
    <row r="401">
      <c r="A401">
        <f>IF(AND(LEN('Checks'!A401)&gt;0,ISNUMBER('Checks'!J401)),'Checks'!J401+398/100000,"")</f>
        <v/>
      </c>
      <c r="B401">
        <f>IF(AND(LEN('Checks'!A401)&gt;0,ISNUMBER('Checks'!H401)),MAX($B$3:B400)+1,"")</f>
        <v/>
      </c>
      <c r="E401">
        <f>IFERROR(MATCH(398,$B$4:$B$503,0),"")</f>
        <v/>
      </c>
    </row>
    <row r="402">
      <c r="A402">
        <f>IF(AND(LEN('Checks'!A402)&gt;0,ISNUMBER('Checks'!J402)),'Checks'!J402+399/100000,"")</f>
        <v/>
      </c>
      <c r="B402">
        <f>IF(AND(LEN('Checks'!A402)&gt;0,ISNUMBER('Checks'!H402)),MAX($B$3:B401)+1,"")</f>
        <v/>
      </c>
      <c r="E402">
        <f>IFERROR(MATCH(399,$B$4:$B$503,0),"")</f>
        <v/>
      </c>
    </row>
    <row r="403">
      <c r="A403">
        <f>IF(AND(LEN('Checks'!A403)&gt;0,ISNUMBER('Checks'!J403)),'Checks'!J403+400/100000,"")</f>
        <v/>
      </c>
      <c r="B403">
        <f>IF(AND(LEN('Checks'!A403)&gt;0,ISNUMBER('Checks'!H403)),MAX($B$3:B402)+1,"")</f>
        <v/>
      </c>
      <c r="E403">
        <f>IFERROR(MATCH(400,$B$4:$B$503,0),"")</f>
        <v/>
      </c>
    </row>
    <row r="404">
      <c r="A404">
        <f>IF(AND(LEN('Checks'!A404)&gt;0,ISNUMBER('Checks'!J404)),'Checks'!J404+401/100000,"")</f>
        <v/>
      </c>
      <c r="B404">
        <f>IF(AND(LEN('Checks'!A404)&gt;0,ISNUMBER('Checks'!H404)),MAX($B$3:B403)+1,"")</f>
        <v/>
      </c>
      <c r="E404">
        <f>IFERROR(MATCH(401,$B$4:$B$503,0),"")</f>
        <v/>
      </c>
    </row>
    <row r="405">
      <c r="A405">
        <f>IF(AND(LEN('Checks'!A405)&gt;0,ISNUMBER('Checks'!J405)),'Checks'!J405+402/100000,"")</f>
        <v/>
      </c>
      <c r="B405">
        <f>IF(AND(LEN('Checks'!A405)&gt;0,ISNUMBER('Checks'!H405)),MAX($B$3:B404)+1,"")</f>
        <v/>
      </c>
      <c r="E405">
        <f>IFERROR(MATCH(402,$B$4:$B$503,0),"")</f>
        <v/>
      </c>
    </row>
    <row r="406">
      <c r="A406">
        <f>IF(AND(LEN('Checks'!A406)&gt;0,ISNUMBER('Checks'!J406)),'Checks'!J406+403/100000,"")</f>
        <v/>
      </c>
      <c r="B406">
        <f>IF(AND(LEN('Checks'!A406)&gt;0,ISNUMBER('Checks'!H406)),MAX($B$3:B405)+1,"")</f>
        <v/>
      </c>
      <c r="E406">
        <f>IFERROR(MATCH(403,$B$4:$B$503,0),"")</f>
        <v/>
      </c>
    </row>
    <row r="407">
      <c r="A407">
        <f>IF(AND(LEN('Checks'!A407)&gt;0,ISNUMBER('Checks'!J407)),'Checks'!J407+404/100000,"")</f>
        <v/>
      </c>
      <c r="B407">
        <f>IF(AND(LEN('Checks'!A407)&gt;0,ISNUMBER('Checks'!H407)),MAX($B$3:B406)+1,"")</f>
        <v/>
      </c>
      <c r="E407">
        <f>IFERROR(MATCH(404,$B$4:$B$503,0),"")</f>
        <v/>
      </c>
    </row>
    <row r="408">
      <c r="A408">
        <f>IF(AND(LEN('Checks'!A408)&gt;0,ISNUMBER('Checks'!J408)),'Checks'!J408+405/100000,"")</f>
        <v/>
      </c>
      <c r="B408">
        <f>IF(AND(LEN('Checks'!A408)&gt;0,ISNUMBER('Checks'!H408)),MAX($B$3:B407)+1,"")</f>
        <v/>
      </c>
      <c r="E408">
        <f>IFERROR(MATCH(405,$B$4:$B$503,0),"")</f>
        <v/>
      </c>
    </row>
    <row r="409">
      <c r="A409">
        <f>IF(AND(LEN('Checks'!A409)&gt;0,ISNUMBER('Checks'!J409)),'Checks'!J409+406/100000,"")</f>
        <v/>
      </c>
      <c r="B409">
        <f>IF(AND(LEN('Checks'!A409)&gt;0,ISNUMBER('Checks'!H409)),MAX($B$3:B408)+1,"")</f>
        <v/>
      </c>
      <c r="E409">
        <f>IFERROR(MATCH(406,$B$4:$B$503,0),"")</f>
        <v/>
      </c>
    </row>
    <row r="410">
      <c r="A410">
        <f>IF(AND(LEN('Checks'!A410)&gt;0,ISNUMBER('Checks'!J410)),'Checks'!J410+407/100000,"")</f>
        <v/>
      </c>
      <c r="B410">
        <f>IF(AND(LEN('Checks'!A410)&gt;0,ISNUMBER('Checks'!H410)),MAX($B$3:B409)+1,"")</f>
        <v/>
      </c>
      <c r="E410">
        <f>IFERROR(MATCH(407,$B$4:$B$503,0),"")</f>
        <v/>
      </c>
    </row>
    <row r="411">
      <c r="A411">
        <f>IF(AND(LEN('Checks'!A411)&gt;0,ISNUMBER('Checks'!J411)),'Checks'!J411+408/100000,"")</f>
        <v/>
      </c>
      <c r="B411">
        <f>IF(AND(LEN('Checks'!A411)&gt;0,ISNUMBER('Checks'!H411)),MAX($B$3:B410)+1,"")</f>
        <v/>
      </c>
      <c r="E411">
        <f>IFERROR(MATCH(408,$B$4:$B$503,0),"")</f>
        <v/>
      </c>
    </row>
    <row r="412">
      <c r="A412">
        <f>IF(AND(LEN('Checks'!A412)&gt;0,ISNUMBER('Checks'!J412)),'Checks'!J412+409/100000,"")</f>
        <v/>
      </c>
      <c r="B412">
        <f>IF(AND(LEN('Checks'!A412)&gt;0,ISNUMBER('Checks'!H412)),MAX($B$3:B411)+1,"")</f>
        <v/>
      </c>
      <c r="E412">
        <f>IFERROR(MATCH(409,$B$4:$B$503,0),"")</f>
        <v/>
      </c>
    </row>
    <row r="413">
      <c r="A413">
        <f>IF(AND(LEN('Checks'!A413)&gt;0,ISNUMBER('Checks'!J413)),'Checks'!J413+410/100000,"")</f>
        <v/>
      </c>
      <c r="B413">
        <f>IF(AND(LEN('Checks'!A413)&gt;0,ISNUMBER('Checks'!H413)),MAX($B$3:B412)+1,"")</f>
        <v/>
      </c>
      <c r="E413">
        <f>IFERROR(MATCH(410,$B$4:$B$503,0),"")</f>
        <v/>
      </c>
    </row>
    <row r="414">
      <c r="A414">
        <f>IF(AND(LEN('Checks'!A414)&gt;0,ISNUMBER('Checks'!J414)),'Checks'!J414+411/100000,"")</f>
        <v/>
      </c>
      <c r="B414">
        <f>IF(AND(LEN('Checks'!A414)&gt;0,ISNUMBER('Checks'!H414)),MAX($B$3:B413)+1,"")</f>
        <v/>
      </c>
      <c r="E414">
        <f>IFERROR(MATCH(411,$B$4:$B$503,0),"")</f>
        <v/>
      </c>
    </row>
    <row r="415">
      <c r="A415">
        <f>IF(AND(LEN('Checks'!A415)&gt;0,ISNUMBER('Checks'!J415)),'Checks'!J415+412/100000,"")</f>
        <v/>
      </c>
      <c r="B415">
        <f>IF(AND(LEN('Checks'!A415)&gt;0,ISNUMBER('Checks'!H415)),MAX($B$3:B414)+1,"")</f>
        <v/>
      </c>
      <c r="E415">
        <f>IFERROR(MATCH(412,$B$4:$B$503,0),"")</f>
        <v/>
      </c>
    </row>
    <row r="416">
      <c r="A416">
        <f>IF(AND(LEN('Checks'!A416)&gt;0,ISNUMBER('Checks'!J416)),'Checks'!J416+413/100000,"")</f>
        <v/>
      </c>
      <c r="B416">
        <f>IF(AND(LEN('Checks'!A416)&gt;0,ISNUMBER('Checks'!H416)),MAX($B$3:B415)+1,"")</f>
        <v/>
      </c>
      <c r="E416">
        <f>IFERROR(MATCH(413,$B$4:$B$503,0),"")</f>
        <v/>
      </c>
    </row>
    <row r="417">
      <c r="A417">
        <f>IF(AND(LEN('Checks'!A417)&gt;0,ISNUMBER('Checks'!J417)),'Checks'!J417+414/100000,"")</f>
        <v/>
      </c>
      <c r="B417">
        <f>IF(AND(LEN('Checks'!A417)&gt;0,ISNUMBER('Checks'!H417)),MAX($B$3:B416)+1,"")</f>
        <v/>
      </c>
      <c r="E417">
        <f>IFERROR(MATCH(414,$B$4:$B$503,0),"")</f>
        <v/>
      </c>
    </row>
    <row r="418">
      <c r="A418">
        <f>IF(AND(LEN('Checks'!A418)&gt;0,ISNUMBER('Checks'!J418)),'Checks'!J418+415/100000,"")</f>
        <v/>
      </c>
      <c r="B418">
        <f>IF(AND(LEN('Checks'!A418)&gt;0,ISNUMBER('Checks'!H418)),MAX($B$3:B417)+1,"")</f>
        <v/>
      </c>
      <c r="E418">
        <f>IFERROR(MATCH(415,$B$4:$B$503,0),"")</f>
        <v/>
      </c>
    </row>
    <row r="419">
      <c r="A419">
        <f>IF(AND(LEN('Checks'!A419)&gt;0,ISNUMBER('Checks'!J419)),'Checks'!J419+416/100000,"")</f>
        <v/>
      </c>
      <c r="B419">
        <f>IF(AND(LEN('Checks'!A419)&gt;0,ISNUMBER('Checks'!H419)),MAX($B$3:B418)+1,"")</f>
        <v/>
      </c>
      <c r="E419">
        <f>IFERROR(MATCH(416,$B$4:$B$503,0),"")</f>
        <v/>
      </c>
    </row>
    <row r="420">
      <c r="A420">
        <f>IF(AND(LEN('Checks'!A420)&gt;0,ISNUMBER('Checks'!J420)),'Checks'!J420+417/100000,"")</f>
        <v/>
      </c>
      <c r="B420">
        <f>IF(AND(LEN('Checks'!A420)&gt;0,ISNUMBER('Checks'!H420)),MAX($B$3:B419)+1,"")</f>
        <v/>
      </c>
      <c r="E420">
        <f>IFERROR(MATCH(417,$B$4:$B$503,0),"")</f>
        <v/>
      </c>
    </row>
    <row r="421">
      <c r="A421">
        <f>IF(AND(LEN('Checks'!A421)&gt;0,ISNUMBER('Checks'!J421)),'Checks'!J421+418/100000,"")</f>
        <v/>
      </c>
      <c r="B421">
        <f>IF(AND(LEN('Checks'!A421)&gt;0,ISNUMBER('Checks'!H421)),MAX($B$3:B420)+1,"")</f>
        <v/>
      </c>
      <c r="E421">
        <f>IFERROR(MATCH(418,$B$4:$B$503,0),"")</f>
        <v/>
      </c>
    </row>
    <row r="422">
      <c r="A422">
        <f>IF(AND(LEN('Checks'!A422)&gt;0,ISNUMBER('Checks'!J422)),'Checks'!J422+419/100000,"")</f>
        <v/>
      </c>
      <c r="B422">
        <f>IF(AND(LEN('Checks'!A422)&gt;0,ISNUMBER('Checks'!H422)),MAX($B$3:B421)+1,"")</f>
        <v/>
      </c>
      <c r="E422">
        <f>IFERROR(MATCH(419,$B$4:$B$503,0),"")</f>
        <v/>
      </c>
    </row>
    <row r="423">
      <c r="A423">
        <f>IF(AND(LEN('Checks'!A423)&gt;0,ISNUMBER('Checks'!J423)),'Checks'!J423+420/100000,"")</f>
        <v/>
      </c>
      <c r="B423">
        <f>IF(AND(LEN('Checks'!A423)&gt;0,ISNUMBER('Checks'!H423)),MAX($B$3:B422)+1,"")</f>
        <v/>
      </c>
      <c r="E423">
        <f>IFERROR(MATCH(420,$B$4:$B$503,0),"")</f>
        <v/>
      </c>
    </row>
    <row r="424">
      <c r="A424">
        <f>IF(AND(LEN('Checks'!A424)&gt;0,ISNUMBER('Checks'!J424)),'Checks'!J424+421/100000,"")</f>
        <v/>
      </c>
      <c r="B424">
        <f>IF(AND(LEN('Checks'!A424)&gt;0,ISNUMBER('Checks'!H424)),MAX($B$3:B423)+1,"")</f>
        <v/>
      </c>
      <c r="E424">
        <f>IFERROR(MATCH(421,$B$4:$B$503,0),"")</f>
        <v/>
      </c>
    </row>
    <row r="425">
      <c r="A425">
        <f>IF(AND(LEN('Checks'!A425)&gt;0,ISNUMBER('Checks'!J425)),'Checks'!J425+422/100000,"")</f>
        <v/>
      </c>
      <c r="B425">
        <f>IF(AND(LEN('Checks'!A425)&gt;0,ISNUMBER('Checks'!H425)),MAX($B$3:B424)+1,"")</f>
        <v/>
      </c>
      <c r="E425">
        <f>IFERROR(MATCH(422,$B$4:$B$503,0),"")</f>
        <v/>
      </c>
    </row>
    <row r="426">
      <c r="A426">
        <f>IF(AND(LEN('Checks'!A426)&gt;0,ISNUMBER('Checks'!J426)),'Checks'!J426+423/100000,"")</f>
        <v/>
      </c>
      <c r="B426">
        <f>IF(AND(LEN('Checks'!A426)&gt;0,ISNUMBER('Checks'!H426)),MAX($B$3:B425)+1,"")</f>
        <v/>
      </c>
      <c r="E426">
        <f>IFERROR(MATCH(423,$B$4:$B$503,0),"")</f>
        <v/>
      </c>
    </row>
    <row r="427">
      <c r="A427">
        <f>IF(AND(LEN('Checks'!A427)&gt;0,ISNUMBER('Checks'!J427)),'Checks'!J427+424/100000,"")</f>
        <v/>
      </c>
      <c r="B427">
        <f>IF(AND(LEN('Checks'!A427)&gt;0,ISNUMBER('Checks'!H427)),MAX($B$3:B426)+1,"")</f>
        <v/>
      </c>
      <c r="E427">
        <f>IFERROR(MATCH(424,$B$4:$B$503,0),"")</f>
        <v/>
      </c>
    </row>
    <row r="428">
      <c r="A428">
        <f>IF(AND(LEN('Checks'!A428)&gt;0,ISNUMBER('Checks'!J428)),'Checks'!J428+425/100000,"")</f>
        <v/>
      </c>
      <c r="B428">
        <f>IF(AND(LEN('Checks'!A428)&gt;0,ISNUMBER('Checks'!H428)),MAX($B$3:B427)+1,"")</f>
        <v/>
      </c>
      <c r="E428">
        <f>IFERROR(MATCH(425,$B$4:$B$503,0),"")</f>
        <v/>
      </c>
    </row>
    <row r="429">
      <c r="A429">
        <f>IF(AND(LEN('Checks'!A429)&gt;0,ISNUMBER('Checks'!J429)),'Checks'!J429+426/100000,"")</f>
        <v/>
      </c>
      <c r="B429">
        <f>IF(AND(LEN('Checks'!A429)&gt;0,ISNUMBER('Checks'!H429)),MAX($B$3:B428)+1,"")</f>
        <v/>
      </c>
      <c r="E429">
        <f>IFERROR(MATCH(426,$B$4:$B$503,0),"")</f>
        <v/>
      </c>
    </row>
    <row r="430">
      <c r="A430">
        <f>IF(AND(LEN('Checks'!A430)&gt;0,ISNUMBER('Checks'!J430)),'Checks'!J430+427/100000,"")</f>
        <v/>
      </c>
      <c r="B430">
        <f>IF(AND(LEN('Checks'!A430)&gt;0,ISNUMBER('Checks'!H430)),MAX($B$3:B429)+1,"")</f>
        <v/>
      </c>
      <c r="E430">
        <f>IFERROR(MATCH(427,$B$4:$B$503,0),"")</f>
        <v/>
      </c>
    </row>
    <row r="431">
      <c r="A431">
        <f>IF(AND(LEN('Checks'!A431)&gt;0,ISNUMBER('Checks'!J431)),'Checks'!J431+428/100000,"")</f>
        <v/>
      </c>
      <c r="B431">
        <f>IF(AND(LEN('Checks'!A431)&gt;0,ISNUMBER('Checks'!H431)),MAX($B$3:B430)+1,"")</f>
        <v/>
      </c>
      <c r="E431">
        <f>IFERROR(MATCH(428,$B$4:$B$503,0),"")</f>
        <v/>
      </c>
    </row>
    <row r="432">
      <c r="A432">
        <f>IF(AND(LEN('Checks'!A432)&gt;0,ISNUMBER('Checks'!J432)),'Checks'!J432+429/100000,"")</f>
        <v/>
      </c>
      <c r="B432">
        <f>IF(AND(LEN('Checks'!A432)&gt;0,ISNUMBER('Checks'!H432)),MAX($B$3:B431)+1,"")</f>
        <v/>
      </c>
      <c r="E432">
        <f>IFERROR(MATCH(429,$B$4:$B$503,0),"")</f>
        <v/>
      </c>
    </row>
    <row r="433">
      <c r="A433">
        <f>IF(AND(LEN('Checks'!A433)&gt;0,ISNUMBER('Checks'!J433)),'Checks'!J433+430/100000,"")</f>
        <v/>
      </c>
      <c r="B433">
        <f>IF(AND(LEN('Checks'!A433)&gt;0,ISNUMBER('Checks'!H433)),MAX($B$3:B432)+1,"")</f>
        <v/>
      </c>
      <c r="E433">
        <f>IFERROR(MATCH(430,$B$4:$B$503,0),"")</f>
        <v/>
      </c>
    </row>
    <row r="434">
      <c r="A434">
        <f>IF(AND(LEN('Checks'!A434)&gt;0,ISNUMBER('Checks'!J434)),'Checks'!J434+431/100000,"")</f>
        <v/>
      </c>
      <c r="B434">
        <f>IF(AND(LEN('Checks'!A434)&gt;0,ISNUMBER('Checks'!H434)),MAX($B$3:B433)+1,"")</f>
        <v/>
      </c>
      <c r="E434">
        <f>IFERROR(MATCH(431,$B$4:$B$503,0),"")</f>
        <v/>
      </c>
    </row>
    <row r="435">
      <c r="A435">
        <f>IF(AND(LEN('Checks'!A435)&gt;0,ISNUMBER('Checks'!J435)),'Checks'!J435+432/100000,"")</f>
        <v/>
      </c>
      <c r="B435">
        <f>IF(AND(LEN('Checks'!A435)&gt;0,ISNUMBER('Checks'!H435)),MAX($B$3:B434)+1,"")</f>
        <v/>
      </c>
      <c r="E435">
        <f>IFERROR(MATCH(432,$B$4:$B$503,0),"")</f>
        <v/>
      </c>
    </row>
    <row r="436">
      <c r="A436">
        <f>IF(AND(LEN('Checks'!A436)&gt;0,ISNUMBER('Checks'!J436)),'Checks'!J436+433/100000,"")</f>
        <v/>
      </c>
      <c r="B436">
        <f>IF(AND(LEN('Checks'!A436)&gt;0,ISNUMBER('Checks'!H436)),MAX($B$3:B435)+1,"")</f>
        <v/>
      </c>
      <c r="E436">
        <f>IFERROR(MATCH(433,$B$4:$B$503,0),"")</f>
        <v/>
      </c>
    </row>
    <row r="437">
      <c r="A437">
        <f>IF(AND(LEN('Checks'!A437)&gt;0,ISNUMBER('Checks'!J437)),'Checks'!J437+434/100000,"")</f>
        <v/>
      </c>
      <c r="B437">
        <f>IF(AND(LEN('Checks'!A437)&gt;0,ISNUMBER('Checks'!H437)),MAX($B$3:B436)+1,"")</f>
        <v/>
      </c>
      <c r="E437">
        <f>IFERROR(MATCH(434,$B$4:$B$503,0),"")</f>
        <v/>
      </c>
    </row>
    <row r="438">
      <c r="A438">
        <f>IF(AND(LEN('Checks'!A438)&gt;0,ISNUMBER('Checks'!J438)),'Checks'!J438+435/100000,"")</f>
        <v/>
      </c>
      <c r="B438">
        <f>IF(AND(LEN('Checks'!A438)&gt;0,ISNUMBER('Checks'!H438)),MAX($B$3:B437)+1,"")</f>
        <v/>
      </c>
      <c r="E438">
        <f>IFERROR(MATCH(435,$B$4:$B$503,0),"")</f>
        <v/>
      </c>
    </row>
    <row r="439">
      <c r="A439">
        <f>IF(AND(LEN('Checks'!A439)&gt;0,ISNUMBER('Checks'!J439)),'Checks'!J439+436/100000,"")</f>
        <v/>
      </c>
      <c r="B439">
        <f>IF(AND(LEN('Checks'!A439)&gt;0,ISNUMBER('Checks'!H439)),MAX($B$3:B438)+1,"")</f>
        <v/>
      </c>
      <c r="E439">
        <f>IFERROR(MATCH(436,$B$4:$B$503,0),"")</f>
        <v/>
      </c>
    </row>
    <row r="440">
      <c r="A440">
        <f>IF(AND(LEN('Checks'!A440)&gt;0,ISNUMBER('Checks'!J440)),'Checks'!J440+437/100000,"")</f>
        <v/>
      </c>
      <c r="B440">
        <f>IF(AND(LEN('Checks'!A440)&gt;0,ISNUMBER('Checks'!H440)),MAX($B$3:B439)+1,"")</f>
        <v/>
      </c>
      <c r="E440">
        <f>IFERROR(MATCH(437,$B$4:$B$503,0),"")</f>
        <v/>
      </c>
    </row>
    <row r="441">
      <c r="A441">
        <f>IF(AND(LEN('Checks'!A441)&gt;0,ISNUMBER('Checks'!J441)),'Checks'!J441+438/100000,"")</f>
        <v/>
      </c>
      <c r="B441">
        <f>IF(AND(LEN('Checks'!A441)&gt;0,ISNUMBER('Checks'!H441)),MAX($B$3:B440)+1,"")</f>
        <v/>
      </c>
      <c r="E441">
        <f>IFERROR(MATCH(438,$B$4:$B$503,0),"")</f>
        <v/>
      </c>
    </row>
    <row r="442">
      <c r="A442">
        <f>IF(AND(LEN('Checks'!A442)&gt;0,ISNUMBER('Checks'!J442)),'Checks'!J442+439/100000,"")</f>
        <v/>
      </c>
      <c r="B442">
        <f>IF(AND(LEN('Checks'!A442)&gt;0,ISNUMBER('Checks'!H442)),MAX($B$3:B441)+1,"")</f>
        <v/>
      </c>
      <c r="E442">
        <f>IFERROR(MATCH(439,$B$4:$B$503,0),"")</f>
        <v/>
      </c>
    </row>
    <row r="443">
      <c r="A443">
        <f>IF(AND(LEN('Checks'!A443)&gt;0,ISNUMBER('Checks'!J443)),'Checks'!J443+440/100000,"")</f>
        <v/>
      </c>
      <c r="B443">
        <f>IF(AND(LEN('Checks'!A443)&gt;0,ISNUMBER('Checks'!H443)),MAX($B$3:B442)+1,"")</f>
        <v/>
      </c>
      <c r="E443">
        <f>IFERROR(MATCH(440,$B$4:$B$503,0),"")</f>
        <v/>
      </c>
    </row>
    <row r="444">
      <c r="A444">
        <f>IF(AND(LEN('Checks'!A444)&gt;0,ISNUMBER('Checks'!J444)),'Checks'!J444+441/100000,"")</f>
        <v/>
      </c>
      <c r="B444">
        <f>IF(AND(LEN('Checks'!A444)&gt;0,ISNUMBER('Checks'!H444)),MAX($B$3:B443)+1,"")</f>
        <v/>
      </c>
      <c r="E444">
        <f>IFERROR(MATCH(441,$B$4:$B$503,0),"")</f>
        <v/>
      </c>
    </row>
    <row r="445">
      <c r="A445">
        <f>IF(AND(LEN('Checks'!A445)&gt;0,ISNUMBER('Checks'!J445)),'Checks'!J445+442/100000,"")</f>
        <v/>
      </c>
      <c r="B445">
        <f>IF(AND(LEN('Checks'!A445)&gt;0,ISNUMBER('Checks'!H445)),MAX($B$3:B444)+1,"")</f>
        <v/>
      </c>
      <c r="E445">
        <f>IFERROR(MATCH(442,$B$4:$B$503,0),"")</f>
        <v/>
      </c>
    </row>
    <row r="446">
      <c r="A446">
        <f>IF(AND(LEN('Checks'!A446)&gt;0,ISNUMBER('Checks'!J446)),'Checks'!J446+443/100000,"")</f>
        <v/>
      </c>
      <c r="B446">
        <f>IF(AND(LEN('Checks'!A446)&gt;0,ISNUMBER('Checks'!H446)),MAX($B$3:B445)+1,"")</f>
        <v/>
      </c>
      <c r="E446">
        <f>IFERROR(MATCH(443,$B$4:$B$503,0),"")</f>
        <v/>
      </c>
    </row>
    <row r="447">
      <c r="A447">
        <f>IF(AND(LEN('Checks'!A447)&gt;0,ISNUMBER('Checks'!J447)),'Checks'!J447+444/100000,"")</f>
        <v/>
      </c>
      <c r="B447">
        <f>IF(AND(LEN('Checks'!A447)&gt;0,ISNUMBER('Checks'!H447)),MAX($B$3:B446)+1,"")</f>
        <v/>
      </c>
      <c r="E447">
        <f>IFERROR(MATCH(444,$B$4:$B$503,0),"")</f>
        <v/>
      </c>
    </row>
    <row r="448">
      <c r="A448">
        <f>IF(AND(LEN('Checks'!A448)&gt;0,ISNUMBER('Checks'!J448)),'Checks'!J448+445/100000,"")</f>
        <v/>
      </c>
      <c r="B448">
        <f>IF(AND(LEN('Checks'!A448)&gt;0,ISNUMBER('Checks'!H448)),MAX($B$3:B447)+1,"")</f>
        <v/>
      </c>
      <c r="E448">
        <f>IFERROR(MATCH(445,$B$4:$B$503,0),"")</f>
        <v/>
      </c>
    </row>
    <row r="449">
      <c r="A449">
        <f>IF(AND(LEN('Checks'!A449)&gt;0,ISNUMBER('Checks'!J449)),'Checks'!J449+446/100000,"")</f>
        <v/>
      </c>
      <c r="B449">
        <f>IF(AND(LEN('Checks'!A449)&gt;0,ISNUMBER('Checks'!H449)),MAX($B$3:B448)+1,"")</f>
        <v/>
      </c>
      <c r="E449">
        <f>IFERROR(MATCH(446,$B$4:$B$503,0),"")</f>
        <v/>
      </c>
    </row>
    <row r="450">
      <c r="A450">
        <f>IF(AND(LEN('Checks'!A450)&gt;0,ISNUMBER('Checks'!J450)),'Checks'!J450+447/100000,"")</f>
        <v/>
      </c>
      <c r="B450">
        <f>IF(AND(LEN('Checks'!A450)&gt;0,ISNUMBER('Checks'!H450)),MAX($B$3:B449)+1,"")</f>
        <v/>
      </c>
      <c r="E450">
        <f>IFERROR(MATCH(447,$B$4:$B$503,0),"")</f>
        <v/>
      </c>
    </row>
    <row r="451">
      <c r="A451">
        <f>IF(AND(LEN('Checks'!A451)&gt;0,ISNUMBER('Checks'!J451)),'Checks'!J451+448/100000,"")</f>
        <v/>
      </c>
      <c r="B451">
        <f>IF(AND(LEN('Checks'!A451)&gt;0,ISNUMBER('Checks'!H451)),MAX($B$3:B450)+1,"")</f>
        <v/>
      </c>
      <c r="E451">
        <f>IFERROR(MATCH(448,$B$4:$B$503,0),"")</f>
        <v/>
      </c>
    </row>
    <row r="452">
      <c r="A452">
        <f>IF(AND(LEN('Checks'!A452)&gt;0,ISNUMBER('Checks'!J452)),'Checks'!J452+449/100000,"")</f>
        <v/>
      </c>
      <c r="B452">
        <f>IF(AND(LEN('Checks'!A452)&gt;0,ISNUMBER('Checks'!H452)),MAX($B$3:B451)+1,"")</f>
        <v/>
      </c>
      <c r="E452">
        <f>IFERROR(MATCH(449,$B$4:$B$503,0),"")</f>
        <v/>
      </c>
    </row>
    <row r="453">
      <c r="A453">
        <f>IF(AND(LEN('Checks'!A453)&gt;0,ISNUMBER('Checks'!J453)),'Checks'!J453+450/100000,"")</f>
        <v/>
      </c>
      <c r="B453">
        <f>IF(AND(LEN('Checks'!A453)&gt;0,ISNUMBER('Checks'!H453)),MAX($B$3:B452)+1,"")</f>
        <v/>
      </c>
      <c r="E453">
        <f>IFERROR(MATCH(450,$B$4:$B$503,0),"")</f>
        <v/>
      </c>
    </row>
    <row r="454">
      <c r="A454">
        <f>IF(AND(LEN('Checks'!A454)&gt;0,ISNUMBER('Checks'!J454)),'Checks'!J454+451/100000,"")</f>
        <v/>
      </c>
      <c r="B454">
        <f>IF(AND(LEN('Checks'!A454)&gt;0,ISNUMBER('Checks'!H454)),MAX($B$3:B453)+1,"")</f>
        <v/>
      </c>
      <c r="E454">
        <f>IFERROR(MATCH(451,$B$4:$B$503,0),"")</f>
        <v/>
      </c>
    </row>
    <row r="455">
      <c r="A455">
        <f>IF(AND(LEN('Checks'!A455)&gt;0,ISNUMBER('Checks'!J455)),'Checks'!J455+452/100000,"")</f>
        <v/>
      </c>
      <c r="B455">
        <f>IF(AND(LEN('Checks'!A455)&gt;0,ISNUMBER('Checks'!H455)),MAX($B$3:B454)+1,"")</f>
        <v/>
      </c>
      <c r="E455">
        <f>IFERROR(MATCH(452,$B$4:$B$503,0),"")</f>
        <v/>
      </c>
    </row>
    <row r="456">
      <c r="A456">
        <f>IF(AND(LEN('Checks'!A456)&gt;0,ISNUMBER('Checks'!J456)),'Checks'!J456+453/100000,"")</f>
        <v/>
      </c>
      <c r="B456">
        <f>IF(AND(LEN('Checks'!A456)&gt;0,ISNUMBER('Checks'!H456)),MAX($B$3:B455)+1,"")</f>
        <v/>
      </c>
      <c r="E456">
        <f>IFERROR(MATCH(453,$B$4:$B$503,0),"")</f>
        <v/>
      </c>
    </row>
    <row r="457">
      <c r="A457">
        <f>IF(AND(LEN('Checks'!A457)&gt;0,ISNUMBER('Checks'!J457)),'Checks'!J457+454/100000,"")</f>
        <v/>
      </c>
      <c r="B457">
        <f>IF(AND(LEN('Checks'!A457)&gt;0,ISNUMBER('Checks'!H457)),MAX($B$3:B456)+1,"")</f>
        <v/>
      </c>
      <c r="E457">
        <f>IFERROR(MATCH(454,$B$4:$B$503,0),"")</f>
        <v/>
      </c>
    </row>
    <row r="458">
      <c r="A458">
        <f>IF(AND(LEN('Checks'!A458)&gt;0,ISNUMBER('Checks'!J458)),'Checks'!J458+455/100000,"")</f>
        <v/>
      </c>
      <c r="B458">
        <f>IF(AND(LEN('Checks'!A458)&gt;0,ISNUMBER('Checks'!H458)),MAX($B$3:B457)+1,"")</f>
        <v/>
      </c>
      <c r="E458">
        <f>IFERROR(MATCH(455,$B$4:$B$503,0),"")</f>
        <v/>
      </c>
    </row>
    <row r="459">
      <c r="A459">
        <f>IF(AND(LEN('Checks'!A459)&gt;0,ISNUMBER('Checks'!J459)),'Checks'!J459+456/100000,"")</f>
        <v/>
      </c>
      <c r="B459">
        <f>IF(AND(LEN('Checks'!A459)&gt;0,ISNUMBER('Checks'!H459)),MAX($B$3:B458)+1,"")</f>
        <v/>
      </c>
      <c r="E459">
        <f>IFERROR(MATCH(456,$B$4:$B$503,0),"")</f>
        <v/>
      </c>
    </row>
    <row r="460">
      <c r="A460">
        <f>IF(AND(LEN('Checks'!A460)&gt;0,ISNUMBER('Checks'!J460)),'Checks'!J460+457/100000,"")</f>
        <v/>
      </c>
      <c r="B460">
        <f>IF(AND(LEN('Checks'!A460)&gt;0,ISNUMBER('Checks'!H460)),MAX($B$3:B459)+1,"")</f>
        <v/>
      </c>
      <c r="E460">
        <f>IFERROR(MATCH(457,$B$4:$B$503,0),"")</f>
        <v/>
      </c>
    </row>
    <row r="461">
      <c r="A461">
        <f>IF(AND(LEN('Checks'!A461)&gt;0,ISNUMBER('Checks'!J461)),'Checks'!J461+458/100000,"")</f>
        <v/>
      </c>
      <c r="B461">
        <f>IF(AND(LEN('Checks'!A461)&gt;0,ISNUMBER('Checks'!H461)),MAX($B$3:B460)+1,"")</f>
        <v/>
      </c>
      <c r="E461">
        <f>IFERROR(MATCH(458,$B$4:$B$503,0),"")</f>
        <v/>
      </c>
    </row>
    <row r="462">
      <c r="A462">
        <f>IF(AND(LEN('Checks'!A462)&gt;0,ISNUMBER('Checks'!J462)),'Checks'!J462+459/100000,"")</f>
        <v/>
      </c>
      <c r="B462">
        <f>IF(AND(LEN('Checks'!A462)&gt;0,ISNUMBER('Checks'!H462)),MAX($B$3:B461)+1,"")</f>
        <v/>
      </c>
      <c r="E462">
        <f>IFERROR(MATCH(459,$B$4:$B$503,0),"")</f>
        <v/>
      </c>
    </row>
    <row r="463">
      <c r="A463">
        <f>IF(AND(LEN('Checks'!A463)&gt;0,ISNUMBER('Checks'!J463)),'Checks'!J463+460/100000,"")</f>
        <v/>
      </c>
      <c r="B463">
        <f>IF(AND(LEN('Checks'!A463)&gt;0,ISNUMBER('Checks'!H463)),MAX($B$3:B462)+1,"")</f>
        <v/>
      </c>
      <c r="E463">
        <f>IFERROR(MATCH(460,$B$4:$B$503,0),"")</f>
        <v/>
      </c>
    </row>
    <row r="464">
      <c r="A464">
        <f>IF(AND(LEN('Checks'!A464)&gt;0,ISNUMBER('Checks'!J464)),'Checks'!J464+461/100000,"")</f>
        <v/>
      </c>
      <c r="B464">
        <f>IF(AND(LEN('Checks'!A464)&gt;0,ISNUMBER('Checks'!H464)),MAX($B$3:B463)+1,"")</f>
        <v/>
      </c>
      <c r="E464">
        <f>IFERROR(MATCH(461,$B$4:$B$503,0),"")</f>
        <v/>
      </c>
    </row>
    <row r="465">
      <c r="A465">
        <f>IF(AND(LEN('Checks'!A465)&gt;0,ISNUMBER('Checks'!J465)),'Checks'!J465+462/100000,"")</f>
        <v/>
      </c>
      <c r="B465">
        <f>IF(AND(LEN('Checks'!A465)&gt;0,ISNUMBER('Checks'!H465)),MAX($B$3:B464)+1,"")</f>
        <v/>
      </c>
      <c r="E465">
        <f>IFERROR(MATCH(462,$B$4:$B$503,0),"")</f>
        <v/>
      </c>
    </row>
    <row r="466">
      <c r="A466">
        <f>IF(AND(LEN('Checks'!A466)&gt;0,ISNUMBER('Checks'!J466)),'Checks'!J466+463/100000,"")</f>
        <v/>
      </c>
      <c r="B466">
        <f>IF(AND(LEN('Checks'!A466)&gt;0,ISNUMBER('Checks'!H466)),MAX($B$3:B465)+1,"")</f>
        <v/>
      </c>
      <c r="E466">
        <f>IFERROR(MATCH(463,$B$4:$B$503,0),"")</f>
        <v/>
      </c>
    </row>
    <row r="467">
      <c r="A467">
        <f>IF(AND(LEN('Checks'!A467)&gt;0,ISNUMBER('Checks'!J467)),'Checks'!J467+464/100000,"")</f>
        <v/>
      </c>
      <c r="B467">
        <f>IF(AND(LEN('Checks'!A467)&gt;0,ISNUMBER('Checks'!H467)),MAX($B$3:B466)+1,"")</f>
        <v/>
      </c>
      <c r="E467">
        <f>IFERROR(MATCH(464,$B$4:$B$503,0),"")</f>
        <v/>
      </c>
    </row>
    <row r="468">
      <c r="A468">
        <f>IF(AND(LEN('Checks'!A468)&gt;0,ISNUMBER('Checks'!J468)),'Checks'!J468+465/100000,"")</f>
        <v/>
      </c>
      <c r="B468">
        <f>IF(AND(LEN('Checks'!A468)&gt;0,ISNUMBER('Checks'!H468)),MAX($B$3:B467)+1,"")</f>
        <v/>
      </c>
      <c r="E468">
        <f>IFERROR(MATCH(465,$B$4:$B$503,0),"")</f>
        <v/>
      </c>
    </row>
    <row r="469">
      <c r="A469">
        <f>IF(AND(LEN('Checks'!A469)&gt;0,ISNUMBER('Checks'!J469)),'Checks'!J469+466/100000,"")</f>
        <v/>
      </c>
      <c r="B469">
        <f>IF(AND(LEN('Checks'!A469)&gt;0,ISNUMBER('Checks'!H469)),MAX($B$3:B468)+1,"")</f>
        <v/>
      </c>
      <c r="E469">
        <f>IFERROR(MATCH(466,$B$4:$B$503,0),"")</f>
        <v/>
      </c>
    </row>
    <row r="470">
      <c r="A470">
        <f>IF(AND(LEN('Checks'!A470)&gt;0,ISNUMBER('Checks'!J470)),'Checks'!J470+467/100000,"")</f>
        <v/>
      </c>
      <c r="B470">
        <f>IF(AND(LEN('Checks'!A470)&gt;0,ISNUMBER('Checks'!H470)),MAX($B$3:B469)+1,"")</f>
        <v/>
      </c>
      <c r="E470">
        <f>IFERROR(MATCH(467,$B$4:$B$503,0),"")</f>
        <v/>
      </c>
    </row>
    <row r="471">
      <c r="A471">
        <f>IF(AND(LEN('Checks'!A471)&gt;0,ISNUMBER('Checks'!J471)),'Checks'!J471+468/100000,"")</f>
        <v/>
      </c>
      <c r="B471">
        <f>IF(AND(LEN('Checks'!A471)&gt;0,ISNUMBER('Checks'!H471)),MAX($B$3:B470)+1,"")</f>
        <v/>
      </c>
      <c r="E471">
        <f>IFERROR(MATCH(468,$B$4:$B$503,0),"")</f>
        <v/>
      </c>
    </row>
    <row r="472">
      <c r="A472">
        <f>IF(AND(LEN('Checks'!A472)&gt;0,ISNUMBER('Checks'!J472)),'Checks'!J472+469/100000,"")</f>
        <v/>
      </c>
      <c r="B472">
        <f>IF(AND(LEN('Checks'!A472)&gt;0,ISNUMBER('Checks'!H472)),MAX($B$3:B471)+1,"")</f>
        <v/>
      </c>
      <c r="E472">
        <f>IFERROR(MATCH(469,$B$4:$B$503,0),"")</f>
        <v/>
      </c>
    </row>
    <row r="473">
      <c r="A473">
        <f>IF(AND(LEN('Checks'!A473)&gt;0,ISNUMBER('Checks'!J473)),'Checks'!J473+470/100000,"")</f>
        <v/>
      </c>
      <c r="B473">
        <f>IF(AND(LEN('Checks'!A473)&gt;0,ISNUMBER('Checks'!H473)),MAX($B$3:B472)+1,"")</f>
        <v/>
      </c>
      <c r="E473">
        <f>IFERROR(MATCH(470,$B$4:$B$503,0),"")</f>
        <v/>
      </c>
    </row>
    <row r="474">
      <c r="A474">
        <f>IF(AND(LEN('Checks'!A474)&gt;0,ISNUMBER('Checks'!J474)),'Checks'!J474+471/100000,"")</f>
        <v/>
      </c>
      <c r="B474">
        <f>IF(AND(LEN('Checks'!A474)&gt;0,ISNUMBER('Checks'!H474)),MAX($B$3:B473)+1,"")</f>
        <v/>
      </c>
      <c r="E474">
        <f>IFERROR(MATCH(471,$B$4:$B$503,0),"")</f>
        <v/>
      </c>
    </row>
    <row r="475">
      <c r="A475">
        <f>IF(AND(LEN('Checks'!A475)&gt;0,ISNUMBER('Checks'!J475)),'Checks'!J475+472/100000,"")</f>
        <v/>
      </c>
      <c r="B475">
        <f>IF(AND(LEN('Checks'!A475)&gt;0,ISNUMBER('Checks'!H475)),MAX($B$3:B474)+1,"")</f>
        <v/>
      </c>
      <c r="E475">
        <f>IFERROR(MATCH(472,$B$4:$B$503,0),"")</f>
        <v/>
      </c>
    </row>
    <row r="476">
      <c r="A476">
        <f>IF(AND(LEN('Checks'!A476)&gt;0,ISNUMBER('Checks'!J476)),'Checks'!J476+473/100000,"")</f>
        <v/>
      </c>
      <c r="B476">
        <f>IF(AND(LEN('Checks'!A476)&gt;0,ISNUMBER('Checks'!H476)),MAX($B$3:B475)+1,"")</f>
        <v/>
      </c>
      <c r="E476">
        <f>IFERROR(MATCH(473,$B$4:$B$503,0),"")</f>
        <v/>
      </c>
    </row>
    <row r="477">
      <c r="A477">
        <f>IF(AND(LEN('Checks'!A477)&gt;0,ISNUMBER('Checks'!J477)),'Checks'!J477+474/100000,"")</f>
        <v/>
      </c>
      <c r="B477">
        <f>IF(AND(LEN('Checks'!A477)&gt;0,ISNUMBER('Checks'!H477)),MAX($B$3:B476)+1,"")</f>
        <v/>
      </c>
      <c r="E477">
        <f>IFERROR(MATCH(474,$B$4:$B$503,0),"")</f>
        <v/>
      </c>
    </row>
    <row r="478">
      <c r="A478">
        <f>IF(AND(LEN('Checks'!A478)&gt;0,ISNUMBER('Checks'!J478)),'Checks'!J478+475/100000,"")</f>
        <v/>
      </c>
      <c r="B478">
        <f>IF(AND(LEN('Checks'!A478)&gt;0,ISNUMBER('Checks'!H478)),MAX($B$3:B477)+1,"")</f>
        <v/>
      </c>
      <c r="E478">
        <f>IFERROR(MATCH(475,$B$4:$B$503,0),"")</f>
        <v/>
      </c>
    </row>
    <row r="479">
      <c r="A479">
        <f>IF(AND(LEN('Checks'!A479)&gt;0,ISNUMBER('Checks'!J479)),'Checks'!J479+476/100000,"")</f>
        <v/>
      </c>
      <c r="B479">
        <f>IF(AND(LEN('Checks'!A479)&gt;0,ISNUMBER('Checks'!H479)),MAX($B$3:B478)+1,"")</f>
        <v/>
      </c>
      <c r="E479">
        <f>IFERROR(MATCH(476,$B$4:$B$503,0),"")</f>
        <v/>
      </c>
    </row>
    <row r="480">
      <c r="A480">
        <f>IF(AND(LEN('Checks'!A480)&gt;0,ISNUMBER('Checks'!J480)),'Checks'!J480+477/100000,"")</f>
        <v/>
      </c>
      <c r="B480">
        <f>IF(AND(LEN('Checks'!A480)&gt;0,ISNUMBER('Checks'!H480)),MAX($B$3:B479)+1,"")</f>
        <v/>
      </c>
      <c r="E480">
        <f>IFERROR(MATCH(477,$B$4:$B$503,0),"")</f>
        <v/>
      </c>
    </row>
    <row r="481">
      <c r="A481">
        <f>IF(AND(LEN('Checks'!A481)&gt;0,ISNUMBER('Checks'!J481)),'Checks'!J481+478/100000,"")</f>
        <v/>
      </c>
      <c r="B481">
        <f>IF(AND(LEN('Checks'!A481)&gt;0,ISNUMBER('Checks'!H481)),MAX($B$3:B480)+1,"")</f>
        <v/>
      </c>
      <c r="E481">
        <f>IFERROR(MATCH(478,$B$4:$B$503,0),"")</f>
        <v/>
      </c>
    </row>
    <row r="482">
      <c r="A482">
        <f>IF(AND(LEN('Checks'!A482)&gt;0,ISNUMBER('Checks'!J482)),'Checks'!J482+479/100000,"")</f>
        <v/>
      </c>
      <c r="B482">
        <f>IF(AND(LEN('Checks'!A482)&gt;0,ISNUMBER('Checks'!H482)),MAX($B$3:B481)+1,"")</f>
        <v/>
      </c>
      <c r="E482">
        <f>IFERROR(MATCH(479,$B$4:$B$503,0),"")</f>
        <v/>
      </c>
    </row>
    <row r="483">
      <c r="A483">
        <f>IF(AND(LEN('Checks'!A483)&gt;0,ISNUMBER('Checks'!J483)),'Checks'!J483+480/100000,"")</f>
        <v/>
      </c>
      <c r="B483">
        <f>IF(AND(LEN('Checks'!A483)&gt;0,ISNUMBER('Checks'!H483)),MAX($B$3:B482)+1,"")</f>
        <v/>
      </c>
      <c r="E483">
        <f>IFERROR(MATCH(480,$B$4:$B$503,0),"")</f>
        <v/>
      </c>
    </row>
    <row r="484">
      <c r="A484">
        <f>IF(AND(LEN('Checks'!A484)&gt;0,ISNUMBER('Checks'!J484)),'Checks'!J484+481/100000,"")</f>
        <v/>
      </c>
      <c r="B484">
        <f>IF(AND(LEN('Checks'!A484)&gt;0,ISNUMBER('Checks'!H484)),MAX($B$3:B483)+1,"")</f>
        <v/>
      </c>
      <c r="E484">
        <f>IFERROR(MATCH(481,$B$4:$B$503,0),"")</f>
        <v/>
      </c>
    </row>
    <row r="485">
      <c r="A485">
        <f>IF(AND(LEN('Checks'!A485)&gt;0,ISNUMBER('Checks'!J485)),'Checks'!J485+482/100000,"")</f>
        <v/>
      </c>
      <c r="B485">
        <f>IF(AND(LEN('Checks'!A485)&gt;0,ISNUMBER('Checks'!H485)),MAX($B$3:B484)+1,"")</f>
        <v/>
      </c>
      <c r="E485">
        <f>IFERROR(MATCH(482,$B$4:$B$503,0),"")</f>
        <v/>
      </c>
    </row>
    <row r="486">
      <c r="A486">
        <f>IF(AND(LEN('Checks'!A486)&gt;0,ISNUMBER('Checks'!J486)),'Checks'!J486+483/100000,"")</f>
        <v/>
      </c>
      <c r="B486">
        <f>IF(AND(LEN('Checks'!A486)&gt;0,ISNUMBER('Checks'!H486)),MAX($B$3:B485)+1,"")</f>
        <v/>
      </c>
      <c r="E486">
        <f>IFERROR(MATCH(483,$B$4:$B$503,0),"")</f>
        <v/>
      </c>
    </row>
    <row r="487">
      <c r="A487">
        <f>IF(AND(LEN('Checks'!A487)&gt;0,ISNUMBER('Checks'!J487)),'Checks'!J487+484/100000,"")</f>
        <v/>
      </c>
      <c r="B487">
        <f>IF(AND(LEN('Checks'!A487)&gt;0,ISNUMBER('Checks'!H487)),MAX($B$3:B486)+1,"")</f>
        <v/>
      </c>
      <c r="E487">
        <f>IFERROR(MATCH(484,$B$4:$B$503,0),"")</f>
        <v/>
      </c>
    </row>
    <row r="488">
      <c r="A488">
        <f>IF(AND(LEN('Checks'!A488)&gt;0,ISNUMBER('Checks'!J488)),'Checks'!J488+485/100000,"")</f>
        <v/>
      </c>
      <c r="B488">
        <f>IF(AND(LEN('Checks'!A488)&gt;0,ISNUMBER('Checks'!H488)),MAX($B$3:B487)+1,"")</f>
        <v/>
      </c>
      <c r="E488">
        <f>IFERROR(MATCH(485,$B$4:$B$503,0),"")</f>
        <v/>
      </c>
    </row>
    <row r="489">
      <c r="A489">
        <f>IF(AND(LEN('Checks'!A489)&gt;0,ISNUMBER('Checks'!J489)),'Checks'!J489+486/100000,"")</f>
        <v/>
      </c>
      <c r="B489">
        <f>IF(AND(LEN('Checks'!A489)&gt;0,ISNUMBER('Checks'!H489)),MAX($B$3:B488)+1,"")</f>
        <v/>
      </c>
      <c r="E489">
        <f>IFERROR(MATCH(486,$B$4:$B$503,0),"")</f>
        <v/>
      </c>
    </row>
    <row r="490">
      <c r="A490">
        <f>IF(AND(LEN('Checks'!A490)&gt;0,ISNUMBER('Checks'!J490)),'Checks'!J490+487/100000,"")</f>
        <v/>
      </c>
      <c r="B490">
        <f>IF(AND(LEN('Checks'!A490)&gt;0,ISNUMBER('Checks'!H490)),MAX($B$3:B489)+1,"")</f>
        <v/>
      </c>
      <c r="E490">
        <f>IFERROR(MATCH(487,$B$4:$B$503,0),"")</f>
        <v/>
      </c>
    </row>
    <row r="491">
      <c r="A491">
        <f>IF(AND(LEN('Checks'!A491)&gt;0,ISNUMBER('Checks'!J491)),'Checks'!J491+488/100000,"")</f>
        <v/>
      </c>
      <c r="B491">
        <f>IF(AND(LEN('Checks'!A491)&gt;0,ISNUMBER('Checks'!H491)),MAX($B$3:B490)+1,"")</f>
        <v/>
      </c>
      <c r="E491">
        <f>IFERROR(MATCH(488,$B$4:$B$503,0),"")</f>
        <v/>
      </c>
    </row>
    <row r="492">
      <c r="A492">
        <f>IF(AND(LEN('Checks'!A492)&gt;0,ISNUMBER('Checks'!J492)),'Checks'!J492+489/100000,"")</f>
        <v/>
      </c>
      <c r="B492">
        <f>IF(AND(LEN('Checks'!A492)&gt;0,ISNUMBER('Checks'!H492)),MAX($B$3:B491)+1,"")</f>
        <v/>
      </c>
      <c r="E492">
        <f>IFERROR(MATCH(489,$B$4:$B$503,0),"")</f>
        <v/>
      </c>
    </row>
    <row r="493">
      <c r="A493">
        <f>IF(AND(LEN('Checks'!A493)&gt;0,ISNUMBER('Checks'!J493)),'Checks'!J493+490/100000,"")</f>
        <v/>
      </c>
      <c r="B493">
        <f>IF(AND(LEN('Checks'!A493)&gt;0,ISNUMBER('Checks'!H493)),MAX($B$3:B492)+1,"")</f>
        <v/>
      </c>
      <c r="E493">
        <f>IFERROR(MATCH(490,$B$4:$B$503,0),"")</f>
        <v/>
      </c>
    </row>
    <row r="494">
      <c r="A494">
        <f>IF(AND(LEN('Checks'!A494)&gt;0,ISNUMBER('Checks'!J494)),'Checks'!J494+491/100000,"")</f>
        <v/>
      </c>
      <c r="B494">
        <f>IF(AND(LEN('Checks'!A494)&gt;0,ISNUMBER('Checks'!H494)),MAX($B$3:B493)+1,"")</f>
        <v/>
      </c>
      <c r="E494">
        <f>IFERROR(MATCH(491,$B$4:$B$503,0),"")</f>
        <v/>
      </c>
    </row>
    <row r="495">
      <c r="A495">
        <f>IF(AND(LEN('Checks'!A495)&gt;0,ISNUMBER('Checks'!J495)),'Checks'!J495+492/100000,"")</f>
        <v/>
      </c>
      <c r="B495">
        <f>IF(AND(LEN('Checks'!A495)&gt;0,ISNUMBER('Checks'!H495)),MAX($B$3:B494)+1,"")</f>
        <v/>
      </c>
      <c r="E495">
        <f>IFERROR(MATCH(492,$B$4:$B$503,0),"")</f>
        <v/>
      </c>
    </row>
    <row r="496">
      <c r="A496">
        <f>IF(AND(LEN('Checks'!A496)&gt;0,ISNUMBER('Checks'!J496)),'Checks'!J496+493/100000,"")</f>
        <v/>
      </c>
      <c r="B496">
        <f>IF(AND(LEN('Checks'!A496)&gt;0,ISNUMBER('Checks'!H496)),MAX($B$3:B495)+1,"")</f>
        <v/>
      </c>
      <c r="E496">
        <f>IFERROR(MATCH(493,$B$4:$B$503,0),"")</f>
        <v/>
      </c>
    </row>
    <row r="497">
      <c r="A497">
        <f>IF(AND(LEN('Checks'!A497)&gt;0,ISNUMBER('Checks'!J497)),'Checks'!J497+494/100000,"")</f>
        <v/>
      </c>
      <c r="B497">
        <f>IF(AND(LEN('Checks'!A497)&gt;0,ISNUMBER('Checks'!H497)),MAX($B$3:B496)+1,"")</f>
        <v/>
      </c>
      <c r="E497">
        <f>IFERROR(MATCH(494,$B$4:$B$503,0),"")</f>
        <v/>
      </c>
    </row>
    <row r="498">
      <c r="A498">
        <f>IF(AND(LEN('Checks'!A498)&gt;0,ISNUMBER('Checks'!J498)),'Checks'!J498+495/100000,"")</f>
        <v/>
      </c>
      <c r="B498">
        <f>IF(AND(LEN('Checks'!A498)&gt;0,ISNUMBER('Checks'!H498)),MAX($B$3:B497)+1,"")</f>
        <v/>
      </c>
      <c r="E498">
        <f>IFERROR(MATCH(495,$B$4:$B$503,0),"")</f>
        <v/>
      </c>
    </row>
    <row r="499">
      <c r="A499">
        <f>IF(AND(LEN('Checks'!A499)&gt;0,ISNUMBER('Checks'!J499)),'Checks'!J499+496/100000,"")</f>
        <v/>
      </c>
      <c r="B499">
        <f>IF(AND(LEN('Checks'!A499)&gt;0,ISNUMBER('Checks'!H499)),MAX($B$3:B498)+1,"")</f>
        <v/>
      </c>
      <c r="E499">
        <f>IFERROR(MATCH(496,$B$4:$B$503,0),"")</f>
        <v/>
      </c>
    </row>
    <row r="500">
      <c r="A500">
        <f>IF(AND(LEN('Checks'!A500)&gt;0,ISNUMBER('Checks'!J500)),'Checks'!J500+497/100000,"")</f>
        <v/>
      </c>
      <c r="B500">
        <f>IF(AND(LEN('Checks'!A500)&gt;0,ISNUMBER('Checks'!H500)),MAX($B$3:B499)+1,"")</f>
        <v/>
      </c>
      <c r="E500">
        <f>IFERROR(MATCH(497,$B$4:$B$503,0),"")</f>
        <v/>
      </c>
    </row>
    <row r="501">
      <c r="A501">
        <f>IF(AND(LEN('Checks'!A501)&gt;0,ISNUMBER('Checks'!J501)),'Checks'!J501+498/100000,"")</f>
        <v/>
      </c>
      <c r="B501">
        <f>IF(AND(LEN('Checks'!A501)&gt;0,ISNUMBER('Checks'!H501)),MAX($B$3:B500)+1,"")</f>
        <v/>
      </c>
      <c r="E501">
        <f>IFERROR(MATCH(498,$B$4:$B$503,0),"")</f>
        <v/>
      </c>
    </row>
    <row r="502">
      <c r="A502">
        <f>IF(AND(LEN('Checks'!A502)&gt;0,ISNUMBER('Checks'!J502)),'Checks'!J502+499/100000,"")</f>
        <v/>
      </c>
      <c r="B502">
        <f>IF(AND(LEN('Checks'!A502)&gt;0,ISNUMBER('Checks'!H502)),MAX($B$3:B501)+1,"")</f>
        <v/>
      </c>
      <c r="E502">
        <f>IFERROR(MATCH(499,$B$4:$B$503,0),"")</f>
        <v/>
      </c>
    </row>
    <row r="503">
      <c r="A503">
        <f>IF(AND(LEN('Checks'!A503)&gt;0,ISNUMBER('Checks'!J503)),'Checks'!J503+500/100000,"")</f>
        <v/>
      </c>
      <c r="B503">
        <f>IF(AND(LEN('Checks'!A503)&gt;0,ISNUMBER('Checks'!H503)),MAX($B$3:B502)+1,"")</f>
        <v/>
      </c>
      <c r="E503">
        <f>IFERROR(MATCH(500,$B$4:$B$503,0),"")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ExpiryEdge</Company>
</Properties>
</file>

<file path=docProps/core.xml><?xml version="1.0" encoding="utf-8"?>
<cp:coreProperties xmlns:cp="http://schemas.openxmlformats.org/package/2006/metadata/core-properties">
  <dc:creator xmlns:dc="http://purl.org/dc/elements/1.1/">ExpiryEdge</dc:creator>
  <dc:title xmlns:dc="http://purl.org/dc/elements/1.1/">Right to work check tracker (UK) (free template)</dc:title>
  <dc:description xmlns:dc="http://purl.org/dc/elements/1.1/">Free template from expiryedge.com/templates/. October 2026 edition.</dc:description>
  <dc:subject xmlns:dc="http://purl.org/dc/elements/1.1/">Every employee's right to work check, with a follow-up-by date for time-limited permission and the date you can delete the records.</dc:subject>
  <dcterms:created xmlns:dcterms="http://purl.org/dc/terms/" xmlns:xsi="http://www.w3.org/2001/XMLSchema-instance" xsi:type="dcterms:W3CDTF">2026-09-28T09:00:00Z</dcterms:created>
  <dcterms:modified xmlns:dcterms="http://purl.org/dc/terms/" xmlns:xsi="http://www.w3.org/2001/XMLSchema-instance" xsi:type="dcterms:W3CDTF">2026-09-28T09:00:00Z</dcterms:modified>
  <cp:lastModifiedBy>ExpiryEdge</cp:lastModifiedBy>
  <cp:keywords>expiry tracker, renewal tracker, template, ExpiryEdge</cp:keywords>
</cp:coreProperties>
</file>