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icence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mport to ExpiryEdge" sheetId="4" state="visible" r:id="rId4"/>
    <sheet xmlns:r="http://schemas.openxmlformats.org/officeDocument/2006/relationships" name="Lists" sheetId="5" state="visible" r:id="rId5"/>
    <sheet xmlns:r="http://schemas.openxmlformats.org/officeDocument/2006/relationships" name="_calc" sheetId="6" state="hidden" r:id="rId6"/>
  </sheets>
  <definedNames>
    <definedName name="_xlnm.Print_Area" localSheetId="0">'Start here'!$A$1:$C$52</definedName>
    <definedName name="_xlnm.Print_Area" localSheetId="1">OFFSET('Licences'!$A$1,0,0,MAX(4,COUNTA('Licences'!$A$1:$A$503)),18)</definedName>
    <definedName name="_xlnm.Print_Titles" localSheetId="1">'Licences'!$3:$3</definedName>
    <definedName name="_xlnm.Print_Area" localSheetId="2">'Dashboard'!$A$1:$H$27</definedName>
    <definedName name="_xlnm.Print_Area" localSheetId="3">OFFSET('Import to ExpiryEdge'!$A$1,0,0,MAX(2,COUNTIF('Import to ExpiryEdge'!$A$1:$A$501,"?*")),11)</definedName>
    <definedName name="_xlnm.Print_Titles" localSheetId="3">'Import to ExpiryEdge'!$1:$1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F2A24"/>
      <sz val="10"/>
    </font>
    <font>
      <name val="Arial"/>
      <b val="1"/>
      <color rgb="001F2A24"/>
      <sz val="10"/>
    </font>
    <font>
      <name val="Arial"/>
      <color rgb="005F675C"/>
      <sz val="9"/>
    </font>
    <font>
      <name val="Arial"/>
      <b val="1"/>
      <color rgb="001F2A24"/>
      <sz val="15"/>
    </font>
    <font>
      <name val="Arial"/>
      <b val="1"/>
      <color rgb="001F2A24"/>
      <sz val="16"/>
    </font>
    <font>
      <name val="Arial"/>
      <b val="1"/>
      <color rgb="001F2A24"/>
      <sz val="12"/>
    </font>
    <font>
      <name val="Arial"/>
      <b val="1"/>
      <color rgb="00B03A21"/>
      <sz val="10"/>
    </font>
    <font>
      <name val="Arial"/>
      <b val="1"/>
      <color rgb="001F2A24"/>
      <sz val="11"/>
    </font>
    <font>
      <name val="Arial"/>
      <b val="1"/>
      <color rgb="008A5A13"/>
      <sz val="10"/>
    </font>
    <font>
      <name val="Arial"/>
      <b val="1"/>
      <color rgb="0017693A"/>
      <sz val="10"/>
    </font>
    <font>
      <name val="Arial"/>
      <color rgb="005F675C"/>
      <sz val="10"/>
    </font>
    <font>
      <name val="Arial"/>
      <b val="1"/>
      <color rgb="001F2A24"/>
      <sz val="20"/>
    </font>
    <font>
      <name val="Arial"/>
      <color rgb="00434B45"/>
      <sz val="11"/>
    </font>
    <font>
      <name val="Arial"/>
      <b val="1"/>
      <color rgb="001F2A24"/>
      <sz val="13"/>
    </font>
    <font>
      <name val="Arial"/>
      <color rgb="00434B45"/>
      <sz val="10"/>
    </font>
    <font>
      <name val="Arial"/>
      <color rgb="000E6B4F"/>
      <sz val="9"/>
      <u val="single"/>
    </font>
  </fonts>
  <fills count="9">
    <fill>
      <patternFill/>
    </fill>
    <fill>
      <patternFill patternType="gray125"/>
    </fill>
    <fill>
      <patternFill patternType="solid">
        <fgColor rgb="000E6B4F"/>
        <bgColor rgb="000E6B4F"/>
      </patternFill>
    </fill>
    <fill>
      <patternFill patternType="solid">
        <fgColor rgb="0035584B"/>
        <bgColor rgb="0035584B"/>
      </patternFill>
    </fill>
    <fill>
      <patternFill patternType="solid">
        <fgColor rgb="00F1F4EF"/>
        <bgColor rgb="00F1F4EF"/>
      </patternFill>
    </fill>
    <fill>
      <patternFill patternType="solid">
        <fgColor rgb="00F8DFD8"/>
        <bgColor rgb="00F8DFD8"/>
      </patternFill>
    </fill>
    <fill>
      <patternFill patternType="solid">
        <fgColor rgb="00FCEFD4"/>
        <bgColor rgb="00FCEFD4"/>
      </patternFill>
    </fill>
    <fill>
      <patternFill patternType="solid">
        <fgColor rgb="00FEF7E7"/>
        <bgColor rgb="00FEF7E7"/>
      </patternFill>
    </fill>
    <fill>
      <patternFill patternType="solid">
        <fgColor rgb="00D8F0DC"/>
        <bgColor rgb="00D8F0DC"/>
      </patternFill>
    </fill>
  </fills>
  <borders count="4">
    <border>
      <left/>
      <right/>
      <top/>
      <bottom/>
      <diagonal/>
    </border>
    <border>
      <left style="thin">
        <color rgb="00E0E2DA"/>
      </left>
      <right style="thin">
        <color rgb="00E0E2DA"/>
      </right>
      <top style="thin">
        <color rgb="00E0E2DA"/>
      </top>
      <bottom style="thin">
        <color rgb="00E0E2DA"/>
      </bottom>
    </border>
    <border>
      <bottom style="hair">
        <color rgb="00E0E2DA"/>
      </bottom>
    </border>
    <border>
      <bottom style="thin">
        <color rgb="00E0E2DA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4" fillId="0" borderId="0" pivotButton="0" quotePrefix="0" xfId="0"/>
    <xf numFmtId="0" fontId="15" fillId="0" borderId="0" pivotButton="0" quotePrefix="0" xfId="0"/>
    <xf numFmtId="0" fontId="3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8" fillId="5" borderId="0" pivotButton="0" quotePrefix="0" xfId="0"/>
    <xf numFmtId="0" fontId="16" fillId="0" borderId="0" pivotButton="0" quotePrefix="0" xfId="0"/>
    <xf numFmtId="0" fontId="10" fillId="6" borderId="0" pivotButton="0" quotePrefix="0" xfId="0"/>
    <xf numFmtId="0" fontId="10" fillId="7" borderId="0" pivotButton="0" quotePrefix="0" xfId="0"/>
    <xf numFmtId="0" fontId="11" fillId="8" borderId="0" pivotButton="0" quotePrefix="0" xfId="0"/>
    <xf numFmtId="0" fontId="1" fillId="3" borderId="0" pivotButton="0" quotePrefix="0" xfId="0"/>
    <xf numFmtId="0" fontId="1" fillId="2" borderId="0" pivotButton="0" quotePrefix="0" xfId="0"/>
    <xf numFmtId="0" fontId="3" fillId="0" borderId="3" applyAlignment="1" pivotButton="0" quotePrefix="0" xfId="0">
      <alignment vertical="top" wrapText="1"/>
    </xf>
    <xf numFmtId="0" fontId="16" fillId="0" borderId="3" applyAlignment="1" pivotButton="0" quotePrefix="0" xfId="0">
      <alignment vertical="top" wrapText="1"/>
    </xf>
    <xf numFmtId="0" fontId="3" fillId="4" borderId="3" applyAlignment="1" pivotButton="0" quotePrefix="0" xfId="0">
      <alignment vertical="top" wrapText="1"/>
    </xf>
    <xf numFmtId="0" fontId="17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2" fillId="0" borderId="2" pivotButton="0" quotePrefix="0" xfId="0"/>
    <xf numFmtId="165" fontId="2" fillId="0" borderId="2" applyAlignment="1" pivotButton="0" quotePrefix="0" xfId="0">
      <alignment horizontal="left"/>
    </xf>
    <xf numFmtId="1" fontId="2" fillId="0" borderId="2" applyAlignment="1" pivotButton="0" quotePrefix="0" xfId="0">
      <alignment horizontal="right"/>
    </xf>
    <xf numFmtId="165" fontId="2" fillId="4" borderId="2" applyAlignment="1" pivotButton="0" quotePrefix="0" xfId="0">
      <alignment horizontal="left"/>
    </xf>
    <xf numFmtId="1" fontId="2" fillId="4" borderId="2" applyAlignment="1" pivotButton="0" quotePrefix="0" xfId="0">
      <alignment horizontal="right"/>
    </xf>
    <xf numFmtId="0" fontId="3" fillId="4" borderId="2" pivotButton="0" quotePrefix="0" xfId="0"/>
    <xf numFmtId="3" fontId="2" fillId="0" borderId="2" pivotButton="0" quotePrefix="0" xfId="0"/>
    <xf numFmtId="0" fontId="6" fillId="0" borderId="0" pivotButton="0" quotePrefix="0" xfId="0"/>
    <xf numFmtId="165" fontId="4" fillId="0" borderId="0" applyAlignment="1" pivotButton="0" quotePrefix="0" xfId="0">
      <alignment horizontal="left"/>
    </xf>
    <xf numFmtId="0" fontId="7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8" fillId="5" borderId="3" pivotButton="0" quotePrefix="0" xfId="0"/>
    <xf numFmtId="1" fontId="9" fillId="0" borderId="3" pivotButton="0" quotePrefix="0" xfId="0"/>
    <xf numFmtId="0" fontId="10" fillId="6" borderId="3" pivotButton="0" quotePrefix="0" xfId="0"/>
    <xf numFmtId="0" fontId="10" fillId="7" borderId="3" pivotButton="0" quotePrefix="0" xfId="0"/>
    <xf numFmtId="0" fontId="11" fillId="8" borderId="3" pivotButton="0" quotePrefix="0" xfId="0"/>
    <xf numFmtId="0" fontId="3" fillId="0" borderId="3" pivotButton="0" quotePrefix="0" xfId="0"/>
    <xf numFmtId="0" fontId="12" fillId="0" borderId="3" applyAlignment="1" pivotButton="0" quotePrefix="0" xfId="0">
      <alignment horizontal="center"/>
    </xf>
    <xf numFmtId="0" fontId="2" fillId="0" borderId="3" pivotButton="0" quotePrefix="0" xfId="0"/>
    <xf numFmtId="165" fontId="2" fillId="0" borderId="3" applyAlignment="1" pivotButton="0" quotePrefix="0" xfId="0">
      <alignment horizontal="left"/>
    </xf>
    <xf numFmtId="1" fontId="2" fillId="0" borderId="3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6">
    <dxf>
      <font>
        <b val="1"/>
        <color rgb="00B03A21"/>
      </font>
      <fill>
        <patternFill patternType="solid">
          <fgColor rgb="00F8DFD8"/>
          <bgColor rgb="00F8DFD8"/>
        </patternFill>
      </fill>
    </dxf>
    <dxf>
      <font>
        <b val="1"/>
        <color rgb="008A5A13"/>
      </font>
      <fill>
        <patternFill patternType="solid">
          <fgColor rgb="00FCEFD4"/>
          <bgColor rgb="00FCEFD4"/>
        </patternFill>
      </fill>
    </dxf>
    <dxf>
      <font>
        <color rgb="008A5A13"/>
      </font>
      <fill>
        <patternFill patternType="solid">
          <fgColor rgb="00FEF7E7"/>
          <bgColor rgb="00FEF7E7"/>
        </patternFill>
      </fill>
    </dxf>
    <dxf>
      <font>
        <color rgb="0017693A"/>
      </font>
      <fill>
        <patternFill patternType="solid">
          <fgColor rgb="00D8F0DC"/>
          <bgColor rgb="00D8F0DC"/>
        </patternFill>
      </fill>
    </dxf>
    <dxf>
      <font>
        <i val="1"/>
        <color rgb="007A8178"/>
      </font>
    </dxf>
    <dxf>
      <fill>
        <patternFill patternType="solid">
          <fgColor rgb="00F7F8F4"/>
          <bgColor rgb="00F7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ExpiryEdge</author>
  </authors>
  <commentList>
    <comment ref="A3" authorId="0" shapeId="0">
      <text>
        <t>What it is and where it applies, e.g. "Street trading licence, Market Square pitch". (Required for import.)</t>
      </text>
    </comment>
    <comment ref="B3" authorId="0" shapeId="0">
      <text>
        <t>Licence, Permit, Registration, Certificate, Inspection or Other. Becomes the ExpiryEdge type.</t>
      </text>
    </comment>
    <comment ref="C3" authorId="0" shapeId="0">
      <text>
        <t>Who issues and renews it (council, state agency, regulator).</t>
      </text>
    </comment>
    <comment ref="D3" authorId="0" shapeId="0">
      <text>
        <t>Licence or permit number as printed.</t>
      </text>
    </comment>
    <comment ref="E3" authorId="0" shapeId="0">
      <text>
        <t>Which site, vehicle or premises it covers.</t>
      </text>
    </comment>
    <comment ref="F3" authorId="0" shapeId="0">
      <text>
        <t>The person responsible for renewing it.</t>
      </text>
    </comment>
    <comment ref="G3" authorId="0" shapeId="0">
      <text>
        <t>Who should be reminded. Becomes notification_email on import.</t>
      </text>
    </comment>
    <comment ref="H3" authorId="0" shapeId="0">
      <text>
        <t>Low, Medium or High. Matches the ExpiryEdge priority field.</t>
      </text>
    </comment>
    <comment ref="I3" authorId="0" shapeId="0">
      <text>
        <t>Date it was issued or last renewed.</t>
      </text>
    </comment>
    <comment ref="J3" authorId="0" shapeId="0">
      <text>
        <t>The expiry date printed on the licence. Everything else is calculated from this. (Required for import.)</t>
      </text>
    </comment>
    <comment ref="K3" authorId="0" shapeId="0">
      <text>
        <t>How many days before the date you want to start acting. Leave blank for 30.</t>
      </text>
    </comment>
    <comment ref="L3" authorId="0" shapeId="0">
      <text>
        <t>Calculated. Expiry date minus the lead time.</t>
      </text>
    </comment>
    <comment ref="M3" authorId="0" shapeId="0">
      <text>
        <t>Calculated. Days until the date; negative once it has passed.</t>
      </text>
    </comment>
    <comment ref="N3" authorId="0" shapeId="0">
      <text>
        <t>Calculated. Expired, Due ≤30 days, Due ≤90 days or OK.</t>
      </text>
    </comment>
    <comment ref="O3" authorId="0" shapeId="0">
      <text>
        <t>What renewal costs, if you know it.</t>
      </text>
    </comment>
    <comment ref="P3" authorId="0" shapeId="0">
      <text>
        <t>ISO code, e.g. GBP or USD.</t>
      </text>
    </comment>
    <comment ref="Q3" authorId="0" shapeId="0">
      <text>
        <t>Link to the certificate or document in your shared drive.</t>
      </text>
    </comment>
    <comment ref="R3" authorId="0" shapeId="0">
      <text>
        <t>Anything the next person needs to know.</t>
      </text>
    </comment>
  </commentList>
</comments>
</file>

<file path=xl/comments/comment2.xml><?xml version="1.0" encoding="utf-8"?>
<comments xmlns="http://schemas.openxmlformats.org/spreadsheetml/2006/main">
  <authors>
    <author>ExpiryEdge</author>
  </authors>
  <commentList>
    <comment ref="A1" authorId="0" shapeId="0">
      <text>
        <t>This sheet fills itself from the tracker. Only rows with a name and a date appear. In ExpiryEdge, go to Bulk Import and upload this .xlsx (choose this sheet), or save this sheet as CSV first. Required columns: name, expiry_date, type.</t>
      </text>
    </comment>
  </commentList>
</comments>
</file>

<file path=xl/tables/table1.xml><?xml version="1.0" encoding="utf-8"?>
<table xmlns="http://schemas.openxmlformats.org/spreadsheetml/2006/main" id="1" name="tblLicences" displayName="tblLicences" ref="A3:R503" headerRowCount="1">
  <autoFilter ref="A3:R503"/>
  <tableColumns count="18">
    <tableColumn id="1" name="Licence / permit"/>
    <tableColumn id="2" name="Type"/>
    <tableColumn id="3" name="Issuing body"/>
    <tableColumn id="4" name="Reference no."/>
    <tableColumn id="5" name="Site / location"/>
    <tableColumn id="6" name="Owner"/>
    <tableColumn id="7" name="Owner email"/>
    <tableColumn id="8" name="Priority"/>
    <tableColumn id="9" name="Issue date"/>
    <tableColumn id="10" name="Expiry date"/>
    <tableColumn id="11" name="Lead time (days)"/>
    <tableColumn id="12" name="Renew-by date"/>
    <tableColumn id="13" name="Days left"/>
    <tableColumn id="14" name="Status"/>
    <tableColumn id="15" name="Renewal fee"/>
    <tableColumn id="16" name="Currency"/>
    <tableColumn id="17" name="Document link"/>
    <tableColumn id="18" name="Note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xpiryedge.com/templates/licence-permit-expiry-tracker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0E6B4F"/>
    <outlinePr summaryBelow="1" summaryRight="1"/>
    <pageSetUpPr fitToPage="1"/>
  </sheetPr>
  <dimension ref="B2:C52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6" customWidth="1" min="3" max="3"/>
  </cols>
  <sheetData>
    <row r="2">
      <c r="B2" s="1" t="inlineStr">
        <is>
          <t>Licence &amp; permit expiry tracker</t>
        </is>
      </c>
    </row>
    <row r="3">
      <c r="B3" s="2" t="inlineStr">
        <is>
          <t>Every business licence, permit and registration in one list, with a renew-by date for each.</t>
        </is>
      </c>
    </row>
    <row r="4">
      <c r="B4" s="3" t="inlineStr">
        <is>
          <t>Free template · September 2026 edition · works in Excel, Google Sheets and LibreOffice</t>
        </is>
      </c>
    </row>
    <row r="6">
      <c r="B6" s="4" t="inlineStr">
        <is>
          <t>How to use it</t>
        </is>
      </c>
    </row>
    <row r="7" ht="33" customHeight="1">
      <c r="B7" s="5" t="inlineStr">
        <is>
          <t>1. Clear the examples</t>
        </is>
      </c>
      <c r="C7" s="6" t="inlineStr">
        <is>
          <t>Rows on the "Licences" sheet that start with "Example –" are samples. Delete them, or type over them.</t>
        </is>
      </c>
    </row>
    <row r="8" ht="33" customHeight="1">
      <c r="B8" s="5" t="inlineStr">
        <is>
          <t>2. Add your own rows</t>
        </is>
      </c>
      <c r="C8" s="6" t="inlineStr">
        <is>
          <t>Type in the white columns. The date is the one that matters: copy it from the document itself. Shaded columns calculate the days left, the status and the date to act by.</t>
        </is>
      </c>
    </row>
    <row r="9" ht="33" customHeight="1">
      <c r="B9" s="5" t="inlineStr">
        <is>
          <t>3. Check it weekly</t>
        </is>
      </c>
      <c r="C9" s="6" t="inlineStr">
        <is>
          <t>Open the Dashboard sheet: it counts what has expired or is due soon and lists the next 10 dates. Filter the status column to see only what needs action.</t>
        </is>
      </c>
    </row>
    <row r="11">
      <c r="B11" s="4" t="inlineStr">
        <is>
          <t>Colour key</t>
        </is>
      </c>
    </row>
    <row r="12">
      <c r="B12" s="7" t="inlineStr">
        <is>
          <t>Expired</t>
        </is>
      </c>
      <c r="C12" s="8" t="inlineStr">
        <is>
          <t>The date has passed.</t>
        </is>
      </c>
    </row>
    <row r="13">
      <c r="B13" s="9" t="inlineStr">
        <is>
          <t>Due ≤30 days</t>
        </is>
      </c>
      <c r="C13" s="8" t="inlineStr">
        <is>
          <t>Due within 30 days. Act now.</t>
        </is>
      </c>
    </row>
    <row r="14">
      <c r="B14" s="10" t="inlineStr">
        <is>
          <t>Due ≤90 days</t>
        </is>
      </c>
      <c r="C14" s="8" t="inlineStr">
        <is>
          <t>Due within 90 days. Plan it.</t>
        </is>
      </c>
    </row>
    <row r="15">
      <c r="B15" s="11" t="inlineStr">
        <is>
          <t>OK</t>
        </is>
      </c>
      <c r="C15" s="8" t="inlineStr">
        <is>
          <t>More than 90 days away.</t>
        </is>
      </c>
    </row>
    <row r="16">
      <c r="B16" s="12" t="inlineStr">
        <is>
          <t>Calculated column</t>
        </is>
      </c>
      <c r="C16" s="8" t="inlineStr">
        <is>
          <t>Dark header and shaded cells: filled in by formula, no need to type.</t>
        </is>
      </c>
    </row>
    <row r="17">
      <c r="B17" s="13" t="inlineStr">
        <is>
          <t>Your input</t>
        </is>
      </c>
      <c r="C17" s="8" t="inlineStr">
        <is>
          <t>Green header: type here. Hover a header to see what it expects.</t>
        </is>
      </c>
    </row>
    <row r="19">
      <c r="B19" s="4" t="inlineStr">
        <is>
          <t>Columns on "Licences"</t>
        </is>
      </c>
    </row>
    <row r="20">
      <c r="B20" s="13" t="inlineStr">
        <is>
          <t>Column</t>
        </is>
      </c>
      <c r="C20" s="13" t="inlineStr">
        <is>
          <t>What to enter</t>
        </is>
      </c>
    </row>
    <row r="21" ht="18" customHeight="1">
      <c r="B21" s="14" t="inlineStr">
        <is>
          <t>Licence / permit *</t>
        </is>
      </c>
      <c r="C21" s="15" t="inlineStr">
        <is>
          <t>What it is and where it applies, e.g. "Street trading licence, Market Square pitch".</t>
        </is>
      </c>
    </row>
    <row r="22" ht="18" customHeight="1">
      <c r="B22" s="14" t="inlineStr">
        <is>
          <t>Type</t>
        </is>
      </c>
      <c r="C22" s="15" t="inlineStr">
        <is>
          <t>Licence, Permit, Registration, Certificate, Inspection or Other. Becomes the ExpiryEdge type.</t>
        </is>
      </c>
    </row>
    <row r="23" ht="18" customHeight="1">
      <c r="B23" s="14" t="inlineStr">
        <is>
          <t>Issuing body</t>
        </is>
      </c>
      <c r="C23" s="15" t="inlineStr">
        <is>
          <t>Who issues and renews it (council, state agency, regulator).</t>
        </is>
      </c>
    </row>
    <row r="24" ht="18" customHeight="1">
      <c r="B24" s="14" t="inlineStr">
        <is>
          <t>Reference no.</t>
        </is>
      </c>
      <c r="C24" s="15" t="inlineStr">
        <is>
          <t>Licence or permit number as printed.</t>
        </is>
      </c>
    </row>
    <row r="25" ht="18" customHeight="1">
      <c r="B25" s="14" t="inlineStr">
        <is>
          <t>Site / location</t>
        </is>
      </c>
      <c r="C25" s="15" t="inlineStr">
        <is>
          <t>Which site, vehicle or premises it covers.</t>
        </is>
      </c>
    </row>
    <row r="26" ht="18" customHeight="1">
      <c r="B26" s="14" t="inlineStr">
        <is>
          <t>Owner</t>
        </is>
      </c>
      <c r="C26" s="15" t="inlineStr">
        <is>
          <t>The person responsible for renewing it.</t>
        </is>
      </c>
    </row>
    <row r="27" ht="18" customHeight="1">
      <c r="B27" s="14" t="inlineStr">
        <is>
          <t>Owner email</t>
        </is>
      </c>
      <c r="C27" s="15" t="inlineStr">
        <is>
          <t>Who should be reminded. Becomes notification_email on import.</t>
        </is>
      </c>
    </row>
    <row r="28" ht="18" customHeight="1">
      <c r="B28" s="14" t="inlineStr">
        <is>
          <t>Priority</t>
        </is>
      </c>
      <c r="C28" s="15" t="inlineStr">
        <is>
          <t>Low, Medium or High. Matches the ExpiryEdge priority field.</t>
        </is>
      </c>
    </row>
    <row r="29" ht="18" customHeight="1">
      <c r="B29" s="14" t="inlineStr">
        <is>
          <t>Issue date</t>
        </is>
      </c>
      <c r="C29" s="15" t="inlineStr">
        <is>
          <t>Date it was issued or last renewed.</t>
        </is>
      </c>
    </row>
    <row r="30" ht="18" customHeight="1">
      <c r="B30" s="14" t="inlineStr">
        <is>
          <t>Expiry date *</t>
        </is>
      </c>
      <c r="C30" s="15" t="inlineStr">
        <is>
          <t>The expiry date printed on the licence. Everything else is calculated from this.</t>
        </is>
      </c>
    </row>
    <row r="31" ht="18" customHeight="1">
      <c r="B31" s="14" t="inlineStr">
        <is>
          <t>Lead time (days)</t>
        </is>
      </c>
      <c r="C31" s="15" t="inlineStr">
        <is>
          <t>How many days before the date you want to start acting. Leave blank for 30.</t>
        </is>
      </c>
    </row>
    <row r="32" ht="18" customHeight="1">
      <c r="B32" s="16" t="inlineStr">
        <is>
          <t>Renew-by date</t>
        </is>
      </c>
      <c r="C32" s="15" t="inlineStr">
        <is>
          <t>Calculated. Expiry date minus the lead time.</t>
        </is>
      </c>
    </row>
    <row r="33" ht="18" customHeight="1">
      <c r="B33" s="16" t="inlineStr">
        <is>
          <t>Days left</t>
        </is>
      </c>
      <c r="C33" s="15" t="inlineStr">
        <is>
          <t>Calculated. Days until the date; negative once it has passed.</t>
        </is>
      </c>
    </row>
    <row r="34" ht="18" customHeight="1">
      <c r="B34" s="16" t="inlineStr">
        <is>
          <t>Status</t>
        </is>
      </c>
      <c r="C34" s="15" t="inlineStr">
        <is>
          <t>Calculated. Expired, Due ≤30 days, Due ≤90 days or OK.</t>
        </is>
      </c>
    </row>
    <row r="35" ht="18" customHeight="1">
      <c r="B35" s="14" t="inlineStr">
        <is>
          <t>Renewal fee</t>
        </is>
      </c>
      <c r="C35" s="15" t="inlineStr">
        <is>
          <t>What renewal costs, if you know it.</t>
        </is>
      </c>
    </row>
    <row r="36" ht="18" customHeight="1">
      <c r="B36" s="14" t="inlineStr">
        <is>
          <t>Currency</t>
        </is>
      </c>
      <c r="C36" s="15" t="inlineStr">
        <is>
          <t>ISO code, e.g. GBP or USD.</t>
        </is>
      </c>
    </row>
    <row r="37" ht="18" customHeight="1">
      <c r="B37" s="14" t="inlineStr">
        <is>
          <t>Document link</t>
        </is>
      </c>
      <c r="C37" s="15" t="inlineStr">
        <is>
          <t>Link to the certificate or document in your shared drive.</t>
        </is>
      </c>
    </row>
    <row r="38" ht="18" customHeight="1">
      <c r="B38" s="14" t="inlineStr">
        <is>
          <t>Notes</t>
        </is>
      </c>
      <c r="C38" s="15" t="inlineStr">
        <is>
          <t>Anything the next person needs to know.</t>
        </is>
      </c>
    </row>
    <row r="39">
      <c r="B39" s="3" t="inlineStr">
        <is>
          <t>* needed for the import sheet.</t>
        </is>
      </c>
    </row>
    <row r="41">
      <c r="B41" s="4" t="inlineStr">
        <is>
          <t>Other sheets</t>
        </is>
      </c>
    </row>
    <row r="42" ht="18" customHeight="1">
      <c r="B42" s="5" t="inlineStr">
        <is>
          <t>Dashboard</t>
        </is>
      </c>
      <c r="C42" s="6" t="inlineStr">
        <is>
          <t>Counts by status and the next 10 dates, always as of today.</t>
        </is>
      </c>
    </row>
    <row r="43" ht="48" customHeight="1">
      <c r="B43" s="5" t="inlineStr">
        <is>
          <t>Import to ExpiryEdge</t>
        </is>
      </c>
      <c r="C43" s="6" t="inlineStr">
        <is>
          <t>The same rows laid out in the ExpiryEdge bulk-import columns (name, expiry_date, type, ...). If you ever move this list into ExpiryEdge, upload this file in Bulk Import and pick this sheet, or save the sheet as CSV. It fills itself; you never need to edit it.</t>
        </is>
      </c>
    </row>
    <row r="44" ht="18" customHeight="1">
      <c r="B44" s="5" t="inlineStr">
        <is>
          <t>Lists</t>
        </is>
      </c>
      <c r="C44" s="6" t="inlineStr">
        <is>
          <t>The options behind the dropdowns. Add your own there.</t>
        </is>
      </c>
    </row>
    <row r="46">
      <c r="B46" s="4" t="inlineStr">
        <is>
          <t>Good to know</t>
        </is>
      </c>
    </row>
    <row r="47">
      <c r="B47" s="8" t="inlineStr">
        <is>
          <t>·  Formulas are filled down for 500 rows. Need more? Copy the last row down.</t>
        </is>
      </c>
    </row>
    <row r="48">
      <c r="B48" s="8" t="inlineStr">
        <is>
          <t>·  Dates must be real dates, not text. If a status says "Check date", retype that date.</t>
        </is>
      </c>
    </row>
    <row r="49">
      <c r="B49" s="8" t="inlineStr">
        <is>
          <t>·  The file only changes when someone opens it. It cannot send reminders on its own.</t>
        </is>
      </c>
    </row>
    <row r="50">
      <c r="B50" s="8" t="inlineStr">
        <is>
          <t>·  This is a free template, not legal advice. Check dates and requirements against the official source for your situation.</t>
        </is>
      </c>
    </row>
    <row r="52">
      <c r="B52" s="17" t="inlineStr">
        <is>
          <t>Made by ExpiryEdge · expiryedge.com</t>
        </is>
      </c>
    </row>
  </sheetData>
  <hyperlinks>
    <hyperlink xmlns:r="http://schemas.openxmlformats.org/officeDocument/2006/relationships" ref="B52" r:id="rId1"/>
  </hyperlinks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7CD9AE"/>
    <outlinePr summaryBelow="1" summaryRight="1"/>
    <pageSetUpPr fitToPage="1"/>
  </sheetPr>
  <dimension ref="A1:R503"/>
  <sheetViews>
    <sheetView showGridLines="0" tabSelected="0" zoomScale="10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24" customWidth="1" min="3" max="3"/>
    <col width="16" customWidth="1" min="4" max="4"/>
    <col width="20" customWidth="1" min="5" max="5"/>
    <col width="16" customWidth="1" min="6" max="6"/>
    <col width="26" customWidth="1" min="7" max="7"/>
    <col width="10" customWidth="1" min="8" max="8"/>
    <col width="13" customWidth="1" min="9" max="9"/>
    <col width="13" customWidth="1" min="10" max="10"/>
    <col width="11" customWidth="1" min="11" max="11"/>
    <col width="13" customWidth="1" min="12" max="12"/>
    <col width="10" customWidth="1" min="13" max="13"/>
    <col width="14" customWidth="1" min="14" max="14"/>
    <col width="12" customWidth="1" min="15" max="15"/>
    <col width="10" customWidth="1" min="16" max="16"/>
    <col width="26" customWidth="1" min="17" max="17"/>
    <col width="36" customWidth="1" min="18" max="18"/>
  </cols>
  <sheetData>
    <row r="1" ht="24" customHeight="1">
      <c r="A1" s="18" t="inlineStr">
        <is>
          <t>Licence &amp; permit tracker</t>
        </is>
      </c>
    </row>
    <row r="2" ht="16" customHeight="1">
      <c r="A2" s="3" t="inlineStr">
        <is>
          <t>Type in the white columns. Shaded columns are calculated, so leave them alone. Rows starting "Example –" are samples: delete them (or type over them) when you add your own.</t>
        </is>
      </c>
    </row>
    <row r="3" ht="32" customHeight="1">
      <c r="A3" s="19" t="inlineStr">
        <is>
          <t>Licence / permit</t>
        </is>
      </c>
      <c r="B3" s="19" t="inlineStr">
        <is>
          <t>Type</t>
        </is>
      </c>
      <c r="C3" s="19" t="inlineStr">
        <is>
          <t>Issuing body</t>
        </is>
      </c>
      <c r="D3" s="19" t="inlineStr">
        <is>
          <t>Reference no.</t>
        </is>
      </c>
      <c r="E3" s="19" t="inlineStr">
        <is>
          <t>Site / location</t>
        </is>
      </c>
      <c r="F3" s="19" t="inlineStr">
        <is>
          <t>Owner</t>
        </is>
      </c>
      <c r="G3" s="19" t="inlineStr">
        <is>
          <t>Owner email</t>
        </is>
      </c>
      <c r="H3" s="19" t="inlineStr">
        <is>
          <t>Priority</t>
        </is>
      </c>
      <c r="I3" s="19" t="inlineStr">
        <is>
          <t>Issue date</t>
        </is>
      </c>
      <c r="J3" s="19" t="inlineStr">
        <is>
          <t>Expiry date</t>
        </is>
      </c>
      <c r="K3" s="19" t="inlineStr">
        <is>
          <t>Lead time (days)</t>
        </is>
      </c>
      <c r="L3" s="20" t="inlineStr">
        <is>
          <t>Renew-by date</t>
        </is>
      </c>
      <c r="M3" s="20" t="inlineStr">
        <is>
          <t>Days left</t>
        </is>
      </c>
      <c r="N3" s="20" t="inlineStr">
        <is>
          <t>Status</t>
        </is>
      </c>
      <c r="O3" s="19" t="inlineStr">
        <is>
          <t>Renewal fee</t>
        </is>
      </c>
      <c r="P3" s="19" t="inlineStr">
        <is>
          <t>Currency</t>
        </is>
      </c>
      <c r="Q3" s="19" t="inlineStr">
        <is>
          <t>Document link</t>
        </is>
      </c>
      <c r="R3" s="19" t="inlineStr">
        <is>
          <t>Notes</t>
        </is>
      </c>
    </row>
    <row r="4">
      <c r="A4" s="21" t="inlineStr">
        <is>
          <t>Example – Street trading consent, Market Square pitch</t>
        </is>
      </c>
      <c r="B4" s="21" t="inlineStr">
        <is>
          <t>Licence</t>
        </is>
      </c>
      <c r="C4" s="21" t="inlineStr">
        <is>
          <t>Example District Council</t>
        </is>
      </c>
      <c r="D4" s="21" t="inlineStr">
        <is>
          <t>STC-000123</t>
        </is>
      </c>
      <c r="E4" s="21" t="inlineStr">
        <is>
          <t>Market Square</t>
        </is>
      </c>
      <c r="F4" s="21" t="inlineStr">
        <is>
          <t>Alex Sample</t>
        </is>
      </c>
      <c r="G4" s="21" t="inlineStr">
        <is>
          <t>alex@example.com</t>
        </is>
      </c>
      <c r="H4" s="21" t="inlineStr">
        <is>
          <t>High</t>
        </is>
      </c>
      <c r="I4" s="22" t="n">
        <v>45931</v>
      </c>
      <c r="J4" s="22" t="n">
        <v>46295</v>
      </c>
      <c r="K4" s="23" t="n">
        <v>45</v>
      </c>
      <c r="L4" s="24">
        <f>IF(ISNUMBER(J4),J4-IF(ISNUMBER(K4),K4,30),"")</f>
        <v/>
      </c>
      <c r="M4" s="25">
        <f>IF(J4="","",IF(ISNUMBER(J4),J4-TODAY(),"Check date"))</f>
        <v/>
      </c>
      <c r="N4" s="26">
        <f>IF(M4="","",IF(ISNUMBER(M4),IF(M4&lt;0,"Expired",IF(M4&lt;=30,"Due ≤30 days",IF(M4&lt;=90,"Due ≤90 days","OK"))),"Check date"))</f>
        <v/>
      </c>
      <c r="O4" s="27" t="n">
        <v>150</v>
      </c>
      <c r="P4" s="21" t="inlineStr">
        <is>
          <t>GBP</t>
        </is>
      </c>
      <c r="Q4" s="21" t="n"/>
      <c r="R4" s="21" t="n"/>
    </row>
    <row r="5">
      <c r="A5" s="21" t="inlineStr">
        <is>
          <t>Example – Waste carrier registration</t>
        </is>
      </c>
      <c r="B5" s="21" t="inlineStr">
        <is>
          <t>Registration</t>
        </is>
      </c>
      <c r="C5" s="21" t="inlineStr">
        <is>
          <t>Example regulator</t>
        </is>
      </c>
      <c r="D5" s="21" t="inlineStr">
        <is>
          <t>CBDU000456</t>
        </is>
      </c>
      <c r="E5" s="21" t="inlineStr">
        <is>
          <t>All vans</t>
        </is>
      </c>
      <c r="F5" s="21" t="inlineStr">
        <is>
          <t>Jo Placeholder</t>
        </is>
      </c>
      <c r="G5" s="21" t="inlineStr">
        <is>
          <t>jo@example.com</t>
        </is>
      </c>
      <c r="H5" s="21" t="inlineStr">
        <is>
          <t>High</t>
        </is>
      </c>
      <c r="I5" s="22" t="n">
        <v>45245</v>
      </c>
      <c r="J5" s="22" t="n">
        <v>46340</v>
      </c>
      <c r="K5" s="23" t="n">
        <v>60</v>
      </c>
      <c r="L5" s="24">
        <f>IF(ISNUMBER(J5),J5-IF(ISNUMBER(K5),K5,30),"")</f>
        <v/>
      </c>
      <c r="M5" s="25">
        <f>IF(J5="","",IF(ISNUMBER(J5),J5-TODAY(),"Check date"))</f>
        <v/>
      </c>
      <c r="N5" s="26">
        <f>IF(M5="","",IF(ISNUMBER(M5),IF(M5&lt;0,"Expired",IF(M5&lt;=30,"Due ≤30 days",IF(M5&lt;=90,"Due ≤90 days","OK"))),"Check date"))</f>
        <v/>
      </c>
      <c r="O5" s="27" t="n">
        <v>0</v>
      </c>
      <c r="P5" s="21" t="inlineStr">
        <is>
          <t>GBP</t>
        </is>
      </c>
      <c r="Q5" s="21" t="n"/>
      <c r="R5" s="21" t="n"/>
    </row>
    <row r="6">
      <c r="A6" s="21" t="inlineStr">
        <is>
          <t>Example – Pavement licence, 12 Sample Street</t>
        </is>
      </c>
      <c r="B6" s="21" t="inlineStr">
        <is>
          <t>Licence</t>
        </is>
      </c>
      <c r="C6" s="21" t="inlineStr">
        <is>
          <t>Example District Council</t>
        </is>
      </c>
      <c r="D6" s="21" t="inlineStr">
        <is>
          <t>PL-000789</t>
        </is>
      </c>
      <c r="E6" s="21" t="inlineStr">
        <is>
          <t>12 Sample Street</t>
        </is>
      </c>
      <c r="F6" s="21" t="inlineStr">
        <is>
          <t>Chris Demo</t>
        </is>
      </c>
      <c r="G6" s="21" t="inlineStr">
        <is>
          <t>chris@example.com</t>
        </is>
      </c>
      <c r="H6" s="21" t="inlineStr">
        <is>
          <t>Medium</t>
        </is>
      </c>
      <c r="I6" s="22" t="n">
        <v>45657</v>
      </c>
      <c r="J6" s="22" t="n">
        <v>46387</v>
      </c>
      <c r="K6" s="23" t="n">
        <v>45</v>
      </c>
      <c r="L6" s="24">
        <f>IF(ISNUMBER(J6),J6-IF(ISNUMBER(K6),K6,30),"")</f>
        <v/>
      </c>
      <c r="M6" s="25">
        <f>IF(J6="","",IF(ISNUMBER(J6),J6-TODAY(),"Check date"))</f>
        <v/>
      </c>
      <c r="N6" s="26">
        <f>IF(M6="","",IF(ISNUMBER(M6),IF(M6&lt;0,"Expired",IF(M6&lt;=30,"Due ≤30 days",IF(M6&lt;=90,"Due ≤90 days","OK"))),"Check date"))</f>
        <v/>
      </c>
      <c r="O6" s="27" t="n">
        <v>300</v>
      </c>
      <c r="P6" s="21" t="inlineStr">
        <is>
          <t>GBP</t>
        </is>
      </c>
      <c r="Q6" s="21" t="n"/>
      <c r="R6" s="21" t="n"/>
    </row>
    <row r="7">
      <c r="A7" s="21" t="inlineStr">
        <is>
          <t>Example – Skip permit, Sample Road</t>
        </is>
      </c>
      <c r="B7" s="21" t="inlineStr">
        <is>
          <t>Permit</t>
        </is>
      </c>
      <c r="C7" s="21" t="inlineStr">
        <is>
          <t>Example Highways Authority</t>
        </is>
      </c>
      <c r="D7" s="21" t="inlineStr">
        <is>
          <t>SK-000321</t>
        </is>
      </c>
      <c r="E7" s="21" t="inlineStr">
        <is>
          <t>Sample Road</t>
        </is>
      </c>
      <c r="F7" s="21" t="inlineStr">
        <is>
          <t>Alex Sample</t>
        </is>
      </c>
      <c r="G7" s="21" t="inlineStr">
        <is>
          <t>alex@example.com</t>
        </is>
      </c>
      <c r="H7" s="21" t="inlineStr">
        <is>
          <t>Low</t>
        </is>
      </c>
      <c r="I7" s="22" t="n">
        <v>46266</v>
      </c>
      <c r="J7" s="22" t="n">
        <v>46310</v>
      </c>
      <c r="K7" s="23" t="n">
        <v>7</v>
      </c>
      <c r="L7" s="24">
        <f>IF(ISNUMBER(J7),J7-IF(ISNUMBER(K7),K7,30),"")</f>
        <v/>
      </c>
      <c r="M7" s="25">
        <f>IF(J7="","",IF(ISNUMBER(J7),J7-TODAY(),"Check date"))</f>
        <v/>
      </c>
      <c r="N7" s="26">
        <f>IF(M7="","",IF(ISNUMBER(M7),IF(M7&lt;0,"Expired",IF(M7&lt;=30,"Due ≤30 days",IF(M7&lt;=90,"Due ≤90 days","OK"))),"Check date"))</f>
        <v/>
      </c>
      <c r="O7" s="27" t="n">
        <v>40</v>
      </c>
      <c r="P7" s="21" t="inlineStr">
        <is>
          <t>GBP</t>
        </is>
      </c>
      <c r="Q7" s="21" t="n"/>
      <c r="R7" s="21" t="n"/>
    </row>
    <row r="8">
      <c r="A8" s="21" t="inlineStr">
        <is>
          <t>Example – Scrap metal dealer licence</t>
        </is>
      </c>
      <c r="B8" s="21" t="inlineStr">
        <is>
          <t>Licence</t>
        </is>
      </c>
      <c r="C8" s="21" t="inlineStr">
        <is>
          <t>Example District Council</t>
        </is>
      </c>
      <c r="D8" s="21" t="inlineStr">
        <is>
          <t>SMD-000654</t>
        </is>
      </c>
      <c r="E8" s="21" t="inlineStr">
        <is>
          <t>Yard 2</t>
        </is>
      </c>
      <c r="F8" s="21" t="inlineStr">
        <is>
          <t>Jo Placeholder</t>
        </is>
      </c>
      <c r="G8" s="21" t="inlineStr">
        <is>
          <t>jo@example.com</t>
        </is>
      </c>
      <c r="H8" s="21" t="inlineStr">
        <is>
          <t>Medium</t>
        </is>
      </c>
      <c r="I8" s="22" t="n">
        <v>45473</v>
      </c>
      <c r="J8" s="22" t="n">
        <v>46568</v>
      </c>
      <c r="K8" s="23" t="n">
        <v>90</v>
      </c>
      <c r="L8" s="24">
        <f>IF(ISNUMBER(J8),J8-IF(ISNUMBER(K8),K8,30),"")</f>
        <v/>
      </c>
      <c r="M8" s="25">
        <f>IF(J8="","",IF(ISNUMBER(J8),J8-TODAY(),"Check date"))</f>
        <v/>
      </c>
      <c r="N8" s="26">
        <f>IF(M8="","",IF(ISNUMBER(M8),IF(M8&lt;0,"Expired",IF(M8&lt;=30,"Due ≤30 days",IF(M8&lt;=90,"Due ≤90 days","OK"))),"Check date"))</f>
        <v/>
      </c>
      <c r="O8" s="27" t="n">
        <v>250</v>
      </c>
      <c r="P8" s="21" t="inlineStr">
        <is>
          <t>GBP</t>
        </is>
      </c>
      <c r="Q8" s="21" t="n"/>
      <c r="R8" s="21" t="n"/>
    </row>
    <row r="9">
      <c r="A9" s="21" t="inlineStr">
        <is>
          <t>Example – Lift thorough examination report</t>
        </is>
      </c>
      <c r="B9" s="21" t="inlineStr">
        <is>
          <t>Inspection</t>
        </is>
      </c>
      <c r="C9" s="21" t="inlineStr">
        <is>
          <t>Example inspection body</t>
        </is>
      </c>
      <c r="D9" s="21" t="inlineStr">
        <is>
          <t>LE-000987</t>
        </is>
      </c>
      <c r="E9" s="21" t="inlineStr">
        <is>
          <t>12 Sample Street</t>
        </is>
      </c>
      <c r="F9" s="21" t="inlineStr">
        <is>
          <t>Chris Demo</t>
        </is>
      </c>
      <c r="G9" s="21" t="inlineStr">
        <is>
          <t>chris@example.com</t>
        </is>
      </c>
      <c r="H9" s="21" t="inlineStr">
        <is>
          <t>Medium</t>
        </is>
      </c>
      <c r="I9" s="22" t="n">
        <v>46073</v>
      </c>
      <c r="J9" s="22" t="n">
        <v>46254</v>
      </c>
      <c r="K9" s="23" t="n">
        <v>60</v>
      </c>
      <c r="L9" s="24">
        <f>IF(ISNUMBER(J9),J9-IF(ISNUMBER(K9),K9,30),"")</f>
        <v/>
      </c>
      <c r="M9" s="25">
        <f>IF(J9="","",IF(ISNUMBER(J9),J9-TODAY(),"Check date"))</f>
        <v/>
      </c>
      <c r="N9" s="26">
        <f>IF(M9="","",IF(ISNUMBER(M9),IF(M9&lt;0,"Expired",IF(M9&lt;=30,"Due ≤30 days",IF(M9&lt;=90,"Due ≤90 days","OK"))),"Check date"))</f>
        <v/>
      </c>
      <c r="O9" s="27" t="n">
        <v>0</v>
      </c>
      <c r="P9" s="21" t="inlineStr">
        <is>
          <t>GBP</t>
        </is>
      </c>
      <c r="Q9" s="21" t="n"/>
      <c r="R9" s="21" t="n"/>
    </row>
    <row r="10">
      <c r="A10" s="21" t="n"/>
      <c r="B10" s="21" t="n"/>
      <c r="C10" s="21" t="n"/>
      <c r="D10" s="21" t="n"/>
      <c r="E10" s="21" t="n"/>
      <c r="F10" s="21" t="n"/>
      <c r="G10" s="21" t="n"/>
      <c r="H10" s="21" t="n"/>
      <c r="I10" s="22" t="n"/>
      <c r="J10" s="22" t="n"/>
      <c r="K10" s="23" t="n"/>
      <c r="L10" s="24">
        <f>IF(ISNUMBER(J10),J10-IF(ISNUMBER(K10),K10,30),"")</f>
        <v/>
      </c>
      <c r="M10" s="25">
        <f>IF(J10="","",IF(ISNUMBER(J10),J10-TODAY(),"Check date"))</f>
        <v/>
      </c>
      <c r="N10" s="26">
        <f>IF(M10="","",IF(ISNUMBER(M10),IF(M10&lt;0,"Expired",IF(M10&lt;=30,"Due ≤30 days",IF(M10&lt;=90,"Due ≤90 days","OK"))),"Check date"))</f>
        <v/>
      </c>
      <c r="O10" s="27" t="n"/>
      <c r="P10" s="21" t="n"/>
      <c r="Q10" s="21" t="n"/>
      <c r="R10" s="21" t="n"/>
    </row>
    <row r="11">
      <c r="A11" s="21" t="n"/>
      <c r="B11" s="21" t="n"/>
      <c r="C11" s="21" t="n"/>
      <c r="D11" s="21" t="n"/>
      <c r="E11" s="21" t="n"/>
      <c r="F11" s="21" t="n"/>
      <c r="G11" s="21" t="n"/>
      <c r="H11" s="21" t="n"/>
      <c r="I11" s="22" t="n"/>
      <c r="J11" s="22" t="n"/>
      <c r="K11" s="23" t="n"/>
      <c r="L11" s="24">
        <f>IF(ISNUMBER(J11),J11-IF(ISNUMBER(K11),K11,30),"")</f>
        <v/>
      </c>
      <c r="M11" s="25">
        <f>IF(J11="","",IF(ISNUMBER(J11),J11-TODAY(),"Check date"))</f>
        <v/>
      </c>
      <c r="N11" s="26">
        <f>IF(M11="","",IF(ISNUMBER(M11),IF(M11&lt;0,"Expired",IF(M11&lt;=30,"Due ≤30 days",IF(M11&lt;=90,"Due ≤90 days","OK"))),"Check date"))</f>
        <v/>
      </c>
      <c r="O11" s="27" t="n"/>
      <c r="P11" s="21" t="n"/>
      <c r="Q11" s="21" t="n"/>
      <c r="R11" s="21" t="n"/>
    </row>
    <row r="12">
      <c r="A12" s="21" t="n"/>
      <c r="B12" s="21" t="n"/>
      <c r="C12" s="21" t="n"/>
      <c r="D12" s="21" t="n"/>
      <c r="E12" s="21" t="n"/>
      <c r="F12" s="21" t="n"/>
      <c r="G12" s="21" t="n"/>
      <c r="H12" s="21" t="n"/>
      <c r="I12" s="22" t="n"/>
      <c r="J12" s="22" t="n"/>
      <c r="K12" s="23" t="n"/>
      <c r="L12" s="24">
        <f>IF(ISNUMBER(J12),J12-IF(ISNUMBER(K12),K12,30),"")</f>
        <v/>
      </c>
      <c r="M12" s="25">
        <f>IF(J12="","",IF(ISNUMBER(J12),J12-TODAY(),"Check date"))</f>
        <v/>
      </c>
      <c r="N12" s="26">
        <f>IF(M12="","",IF(ISNUMBER(M12),IF(M12&lt;0,"Expired",IF(M12&lt;=30,"Due ≤30 days",IF(M12&lt;=90,"Due ≤90 days","OK"))),"Check date"))</f>
        <v/>
      </c>
      <c r="O12" s="27" t="n"/>
      <c r="P12" s="21" t="n"/>
      <c r="Q12" s="21" t="n"/>
      <c r="R12" s="21" t="n"/>
    </row>
    <row r="13">
      <c r="A13" s="21" t="n"/>
      <c r="B13" s="21" t="n"/>
      <c r="C13" s="21" t="n"/>
      <c r="D13" s="21" t="n"/>
      <c r="E13" s="21" t="n"/>
      <c r="F13" s="21" t="n"/>
      <c r="G13" s="21" t="n"/>
      <c r="H13" s="21" t="n"/>
      <c r="I13" s="22" t="n"/>
      <c r="J13" s="22" t="n"/>
      <c r="K13" s="23" t="n"/>
      <c r="L13" s="24">
        <f>IF(ISNUMBER(J13),J13-IF(ISNUMBER(K13),K13,30),"")</f>
        <v/>
      </c>
      <c r="M13" s="25">
        <f>IF(J13="","",IF(ISNUMBER(J13),J13-TODAY(),"Check date"))</f>
        <v/>
      </c>
      <c r="N13" s="26">
        <f>IF(M13="","",IF(ISNUMBER(M13),IF(M13&lt;0,"Expired",IF(M13&lt;=30,"Due ≤30 days",IF(M13&lt;=90,"Due ≤90 days","OK"))),"Check date"))</f>
        <v/>
      </c>
      <c r="O13" s="27" t="n"/>
      <c r="P13" s="21" t="n"/>
      <c r="Q13" s="21" t="n"/>
      <c r="R13" s="21" t="n"/>
    </row>
    <row r="14">
      <c r="A14" s="21" t="n"/>
      <c r="B14" s="21" t="n"/>
      <c r="C14" s="21" t="n"/>
      <c r="D14" s="21" t="n"/>
      <c r="E14" s="21" t="n"/>
      <c r="F14" s="21" t="n"/>
      <c r="G14" s="21" t="n"/>
      <c r="H14" s="21" t="n"/>
      <c r="I14" s="22" t="n"/>
      <c r="J14" s="22" t="n"/>
      <c r="K14" s="23" t="n"/>
      <c r="L14" s="24">
        <f>IF(ISNUMBER(J14),J14-IF(ISNUMBER(K14),K14,30),"")</f>
        <v/>
      </c>
      <c r="M14" s="25">
        <f>IF(J14="","",IF(ISNUMBER(J14),J14-TODAY(),"Check date"))</f>
        <v/>
      </c>
      <c r="N14" s="26">
        <f>IF(M14="","",IF(ISNUMBER(M14),IF(M14&lt;0,"Expired",IF(M14&lt;=30,"Due ≤30 days",IF(M14&lt;=90,"Due ≤90 days","OK"))),"Check date"))</f>
        <v/>
      </c>
      <c r="O14" s="27" t="n"/>
      <c r="P14" s="21" t="n"/>
      <c r="Q14" s="21" t="n"/>
      <c r="R14" s="21" t="n"/>
    </row>
    <row r="15">
      <c r="A15" s="21" t="n"/>
      <c r="B15" s="21" t="n"/>
      <c r="C15" s="21" t="n"/>
      <c r="D15" s="21" t="n"/>
      <c r="E15" s="21" t="n"/>
      <c r="F15" s="21" t="n"/>
      <c r="G15" s="21" t="n"/>
      <c r="H15" s="21" t="n"/>
      <c r="I15" s="22" t="n"/>
      <c r="J15" s="22" t="n"/>
      <c r="K15" s="23" t="n"/>
      <c r="L15" s="24">
        <f>IF(ISNUMBER(J15),J15-IF(ISNUMBER(K15),K15,30),"")</f>
        <v/>
      </c>
      <c r="M15" s="25">
        <f>IF(J15="","",IF(ISNUMBER(J15),J15-TODAY(),"Check date"))</f>
        <v/>
      </c>
      <c r="N15" s="26">
        <f>IF(M15="","",IF(ISNUMBER(M15),IF(M15&lt;0,"Expired",IF(M15&lt;=30,"Due ≤30 days",IF(M15&lt;=90,"Due ≤90 days","OK"))),"Check date"))</f>
        <v/>
      </c>
      <c r="O15" s="27" t="n"/>
      <c r="P15" s="21" t="n"/>
      <c r="Q15" s="21" t="n"/>
      <c r="R15" s="21" t="n"/>
    </row>
    <row r="16">
      <c r="A16" s="21" t="n"/>
      <c r="B16" s="21" t="n"/>
      <c r="C16" s="21" t="n"/>
      <c r="D16" s="21" t="n"/>
      <c r="E16" s="21" t="n"/>
      <c r="F16" s="21" t="n"/>
      <c r="G16" s="21" t="n"/>
      <c r="H16" s="21" t="n"/>
      <c r="I16" s="22" t="n"/>
      <c r="J16" s="22" t="n"/>
      <c r="K16" s="23" t="n"/>
      <c r="L16" s="24">
        <f>IF(ISNUMBER(J16),J16-IF(ISNUMBER(K16),K16,30),"")</f>
        <v/>
      </c>
      <c r="M16" s="25">
        <f>IF(J16="","",IF(ISNUMBER(J16),J16-TODAY(),"Check date"))</f>
        <v/>
      </c>
      <c r="N16" s="26">
        <f>IF(M16="","",IF(ISNUMBER(M16),IF(M16&lt;0,"Expired",IF(M16&lt;=30,"Due ≤30 days",IF(M16&lt;=90,"Due ≤90 days","OK"))),"Check date"))</f>
        <v/>
      </c>
      <c r="O16" s="27" t="n"/>
      <c r="P16" s="21" t="n"/>
      <c r="Q16" s="21" t="n"/>
      <c r="R16" s="21" t="n"/>
    </row>
    <row r="17">
      <c r="A17" s="21" t="n"/>
      <c r="B17" s="21" t="n"/>
      <c r="C17" s="21" t="n"/>
      <c r="D17" s="21" t="n"/>
      <c r="E17" s="21" t="n"/>
      <c r="F17" s="21" t="n"/>
      <c r="G17" s="21" t="n"/>
      <c r="H17" s="21" t="n"/>
      <c r="I17" s="22" t="n"/>
      <c r="J17" s="22" t="n"/>
      <c r="K17" s="23" t="n"/>
      <c r="L17" s="24">
        <f>IF(ISNUMBER(J17),J17-IF(ISNUMBER(K17),K17,30),"")</f>
        <v/>
      </c>
      <c r="M17" s="25">
        <f>IF(J17="","",IF(ISNUMBER(J17),J17-TODAY(),"Check date"))</f>
        <v/>
      </c>
      <c r="N17" s="26">
        <f>IF(M17="","",IF(ISNUMBER(M17),IF(M17&lt;0,"Expired",IF(M17&lt;=30,"Due ≤30 days",IF(M17&lt;=90,"Due ≤90 days","OK"))),"Check date"))</f>
        <v/>
      </c>
      <c r="O17" s="27" t="n"/>
      <c r="P17" s="21" t="n"/>
      <c r="Q17" s="21" t="n"/>
      <c r="R17" s="21" t="n"/>
    </row>
    <row r="18">
      <c r="A18" s="21" t="n"/>
      <c r="B18" s="21" t="n"/>
      <c r="C18" s="21" t="n"/>
      <c r="D18" s="21" t="n"/>
      <c r="E18" s="21" t="n"/>
      <c r="F18" s="21" t="n"/>
      <c r="G18" s="21" t="n"/>
      <c r="H18" s="21" t="n"/>
      <c r="I18" s="22" t="n"/>
      <c r="J18" s="22" t="n"/>
      <c r="K18" s="23" t="n"/>
      <c r="L18" s="24">
        <f>IF(ISNUMBER(J18),J18-IF(ISNUMBER(K18),K18,30),"")</f>
        <v/>
      </c>
      <c r="M18" s="25">
        <f>IF(J18="","",IF(ISNUMBER(J18),J18-TODAY(),"Check date"))</f>
        <v/>
      </c>
      <c r="N18" s="26">
        <f>IF(M18="","",IF(ISNUMBER(M18),IF(M18&lt;0,"Expired",IF(M18&lt;=30,"Due ≤30 days",IF(M18&lt;=90,"Due ≤90 days","OK"))),"Check date"))</f>
        <v/>
      </c>
      <c r="O18" s="27" t="n"/>
      <c r="P18" s="21" t="n"/>
      <c r="Q18" s="21" t="n"/>
      <c r="R18" s="21" t="n"/>
    </row>
    <row r="19">
      <c r="A19" s="21" t="n"/>
      <c r="B19" s="21" t="n"/>
      <c r="C19" s="21" t="n"/>
      <c r="D19" s="21" t="n"/>
      <c r="E19" s="21" t="n"/>
      <c r="F19" s="21" t="n"/>
      <c r="G19" s="21" t="n"/>
      <c r="H19" s="21" t="n"/>
      <c r="I19" s="22" t="n"/>
      <c r="J19" s="22" t="n"/>
      <c r="K19" s="23" t="n"/>
      <c r="L19" s="24">
        <f>IF(ISNUMBER(J19),J19-IF(ISNUMBER(K19),K19,30),"")</f>
        <v/>
      </c>
      <c r="M19" s="25">
        <f>IF(J19="","",IF(ISNUMBER(J19),J19-TODAY(),"Check date"))</f>
        <v/>
      </c>
      <c r="N19" s="26">
        <f>IF(M19="","",IF(ISNUMBER(M19),IF(M19&lt;0,"Expired",IF(M19&lt;=30,"Due ≤30 days",IF(M19&lt;=90,"Due ≤90 days","OK"))),"Check date"))</f>
        <v/>
      </c>
      <c r="O19" s="27" t="n"/>
      <c r="P19" s="21" t="n"/>
      <c r="Q19" s="21" t="n"/>
      <c r="R19" s="21" t="n"/>
    </row>
    <row r="20">
      <c r="A20" s="21" t="n"/>
      <c r="B20" s="21" t="n"/>
      <c r="C20" s="21" t="n"/>
      <c r="D20" s="21" t="n"/>
      <c r="E20" s="21" t="n"/>
      <c r="F20" s="21" t="n"/>
      <c r="G20" s="21" t="n"/>
      <c r="H20" s="21" t="n"/>
      <c r="I20" s="22" t="n"/>
      <c r="J20" s="22" t="n"/>
      <c r="K20" s="23" t="n"/>
      <c r="L20" s="24">
        <f>IF(ISNUMBER(J20),J20-IF(ISNUMBER(K20),K20,30),"")</f>
        <v/>
      </c>
      <c r="M20" s="25">
        <f>IF(J20="","",IF(ISNUMBER(J20),J20-TODAY(),"Check date"))</f>
        <v/>
      </c>
      <c r="N20" s="26">
        <f>IF(M20="","",IF(ISNUMBER(M20),IF(M20&lt;0,"Expired",IF(M20&lt;=30,"Due ≤30 days",IF(M20&lt;=90,"Due ≤90 days","OK"))),"Check date"))</f>
        <v/>
      </c>
      <c r="O20" s="27" t="n"/>
      <c r="P20" s="21" t="n"/>
      <c r="Q20" s="21" t="n"/>
      <c r="R20" s="21" t="n"/>
    </row>
    <row r="21">
      <c r="A21" s="21" t="n"/>
      <c r="B21" s="21" t="n"/>
      <c r="C21" s="21" t="n"/>
      <c r="D21" s="21" t="n"/>
      <c r="E21" s="21" t="n"/>
      <c r="F21" s="21" t="n"/>
      <c r="G21" s="21" t="n"/>
      <c r="H21" s="21" t="n"/>
      <c r="I21" s="22" t="n"/>
      <c r="J21" s="22" t="n"/>
      <c r="K21" s="23" t="n"/>
      <c r="L21" s="24">
        <f>IF(ISNUMBER(J21),J21-IF(ISNUMBER(K21),K21,30),"")</f>
        <v/>
      </c>
      <c r="M21" s="25">
        <f>IF(J21="","",IF(ISNUMBER(J21),J21-TODAY(),"Check date"))</f>
        <v/>
      </c>
      <c r="N21" s="26">
        <f>IF(M21="","",IF(ISNUMBER(M21),IF(M21&lt;0,"Expired",IF(M21&lt;=30,"Due ≤30 days",IF(M21&lt;=90,"Due ≤90 days","OK"))),"Check date"))</f>
        <v/>
      </c>
      <c r="O21" s="27" t="n"/>
      <c r="P21" s="21" t="n"/>
      <c r="Q21" s="21" t="n"/>
      <c r="R21" s="21" t="n"/>
    </row>
    <row r="22">
      <c r="A22" s="21" t="n"/>
      <c r="B22" s="21" t="n"/>
      <c r="C22" s="21" t="n"/>
      <c r="D22" s="21" t="n"/>
      <c r="E22" s="21" t="n"/>
      <c r="F22" s="21" t="n"/>
      <c r="G22" s="21" t="n"/>
      <c r="H22" s="21" t="n"/>
      <c r="I22" s="22" t="n"/>
      <c r="J22" s="22" t="n"/>
      <c r="K22" s="23" t="n"/>
      <c r="L22" s="24">
        <f>IF(ISNUMBER(J22),J22-IF(ISNUMBER(K22),K22,30),"")</f>
        <v/>
      </c>
      <c r="M22" s="25">
        <f>IF(J22="","",IF(ISNUMBER(J22),J22-TODAY(),"Check date"))</f>
        <v/>
      </c>
      <c r="N22" s="26">
        <f>IF(M22="","",IF(ISNUMBER(M22),IF(M22&lt;0,"Expired",IF(M22&lt;=30,"Due ≤30 days",IF(M22&lt;=90,"Due ≤90 days","OK"))),"Check date"))</f>
        <v/>
      </c>
      <c r="O22" s="27" t="n"/>
      <c r="P22" s="21" t="n"/>
      <c r="Q22" s="21" t="n"/>
      <c r="R22" s="21" t="n"/>
    </row>
    <row r="23">
      <c r="A23" s="21" t="n"/>
      <c r="B23" s="21" t="n"/>
      <c r="C23" s="21" t="n"/>
      <c r="D23" s="21" t="n"/>
      <c r="E23" s="21" t="n"/>
      <c r="F23" s="21" t="n"/>
      <c r="G23" s="21" t="n"/>
      <c r="H23" s="21" t="n"/>
      <c r="I23" s="22" t="n"/>
      <c r="J23" s="22" t="n"/>
      <c r="K23" s="23" t="n"/>
      <c r="L23" s="24">
        <f>IF(ISNUMBER(J23),J23-IF(ISNUMBER(K23),K23,30),"")</f>
        <v/>
      </c>
      <c r="M23" s="25">
        <f>IF(J23="","",IF(ISNUMBER(J23),J23-TODAY(),"Check date"))</f>
        <v/>
      </c>
      <c r="N23" s="26">
        <f>IF(M23="","",IF(ISNUMBER(M23),IF(M23&lt;0,"Expired",IF(M23&lt;=30,"Due ≤30 days",IF(M23&lt;=90,"Due ≤90 days","OK"))),"Check date"))</f>
        <v/>
      </c>
      <c r="O23" s="27" t="n"/>
      <c r="P23" s="21" t="n"/>
      <c r="Q23" s="21" t="n"/>
      <c r="R23" s="21" t="n"/>
    </row>
    <row r="24">
      <c r="A24" s="21" t="n"/>
      <c r="B24" s="21" t="n"/>
      <c r="C24" s="21" t="n"/>
      <c r="D24" s="21" t="n"/>
      <c r="E24" s="21" t="n"/>
      <c r="F24" s="21" t="n"/>
      <c r="G24" s="21" t="n"/>
      <c r="H24" s="21" t="n"/>
      <c r="I24" s="22" t="n"/>
      <c r="J24" s="22" t="n"/>
      <c r="K24" s="23" t="n"/>
      <c r="L24" s="24">
        <f>IF(ISNUMBER(J24),J24-IF(ISNUMBER(K24),K24,30),"")</f>
        <v/>
      </c>
      <c r="M24" s="25">
        <f>IF(J24="","",IF(ISNUMBER(J24),J24-TODAY(),"Check date"))</f>
        <v/>
      </c>
      <c r="N24" s="26">
        <f>IF(M24="","",IF(ISNUMBER(M24),IF(M24&lt;0,"Expired",IF(M24&lt;=30,"Due ≤30 days",IF(M24&lt;=90,"Due ≤90 days","OK"))),"Check date"))</f>
        <v/>
      </c>
      <c r="O24" s="27" t="n"/>
      <c r="P24" s="21" t="n"/>
      <c r="Q24" s="21" t="n"/>
      <c r="R24" s="21" t="n"/>
    </row>
    <row r="25">
      <c r="A25" s="21" t="n"/>
      <c r="B25" s="21" t="n"/>
      <c r="C25" s="21" t="n"/>
      <c r="D25" s="21" t="n"/>
      <c r="E25" s="21" t="n"/>
      <c r="F25" s="21" t="n"/>
      <c r="G25" s="21" t="n"/>
      <c r="H25" s="21" t="n"/>
      <c r="I25" s="22" t="n"/>
      <c r="J25" s="22" t="n"/>
      <c r="K25" s="23" t="n"/>
      <c r="L25" s="24">
        <f>IF(ISNUMBER(J25),J25-IF(ISNUMBER(K25),K25,30),"")</f>
        <v/>
      </c>
      <c r="M25" s="25">
        <f>IF(J25="","",IF(ISNUMBER(J25),J25-TODAY(),"Check date"))</f>
        <v/>
      </c>
      <c r="N25" s="26">
        <f>IF(M25="","",IF(ISNUMBER(M25),IF(M25&lt;0,"Expired",IF(M25&lt;=30,"Due ≤30 days",IF(M25&lt;=90,"Due ≤90 days","OK"))),"Check date"))</f>
        <v/>
      </c>
      <c r="O25" s="27" t="n"/>
      <c r="P25" s="21" t="n"/>
      <c r="Q25" s="21" t="n"/>
      <c r="R25" s="21" t="n"/>
    </row>
    <row r="26">
      <c r="A26" s="21" t="n"/>
      <c r="B26" s="21" t="n"/>
      <c r="C26" s="21" t="n"/>
      <c r="D26" s="21" t="n"/>
      <c r="E26" s="21" t="n"/>
      <c r="F26" s="21" t="n"/>
      <c r="G26" s="21" t="n"/>
      <c r="H26" s="21" t="n"/>
      <c r="I26" s="22" t="n"/>
      <c r="J26" s="22" t="n"/>
      <c r="K26" s="23" t="n"/>
      <c r="L26" s="24">
        <f>IF(ISNUMBER(J26),J26-IF(ISNUMBER(K26),K26,30),"")</f>
        <v/>
      </c>
      <c r="M26" s="25">
        <f>IF(J26="","",IF(ISNUMBER(J26),J26-TODAY(),"Check date"))</f>
        <v/>
      </c>
      <c r="N26" s="26">
        <f>IF(M26="","",IF(ISNUMBER(M26),IF(M26&lt;0,"Expired",IF(M26&lt;=30,"Due ≤30 days",IF(M26&lt;=90,"Due ≤90 days","OK"))),"Check date"))</f>
        <v/>
      </c>
      <c r="O26" s="27" t="n"/>
      <c r="P26" s="21" t="n"/>
      <c r="Q26" s="21" t="n"/>
      <c r="R26" s="21" t="n"/>
    </row>
    <row r="27">
      <c r="A27" s="21" t="n"/>
      <c r="B27" s="21" t="n"/>
      <c r="C27" s="21" t="n"/>
      <c r="D27" s="21" t="n"/>
      <c r="E27" s="21" t="n"/>
      <c r="F27" s="21" t="n"/>
      <c r="G27" s="21" t="n"/>
      <c r="H27" s="21" t="n"/>
      <c r="I27" s="22" t="n"/>
      <c r="J27" s="22" t="n"/>
      <c r="K27" s="23" t="n"/>
      <c r="L27" s="24">
        <f>IF(ISNUMBER(J27),J27-IF(ISNUMBER(K27),K27,30),"")</f>
        <v/>
      </c>
      <c r="M27" s="25">
        <f>IF(J27="","",IF(ISNUMBER(J27),J27-TODAY(),"Check date"))</f>
        <v/>
      </c>
      <c r="N27" s="26">
        <f>IF(M27="","",IF(ISNUMBER(M27),IF(M27&lt;0,"Expired",IF(M27&lt;=30,"Due ≤30 days",IF(M27&lt;=90,"Due ≤90 days","OK"))),"Check date"))</f>
        <v/>
      </c>
      <c r="O27" s="27" t="n"/>
      <c r="P27" s="21" t="n"/>
      <c r="Q27" s="21" t="n"/>
      <c r="R27" s="21" t="n"/>
    </row>
    <row r="28">
      <c r="A28" s="21" t="n"/>
      <c r="B28" s="21" t="n"/>
      <c r="C28" s="21" t="n"/>
      <c r="D28" s="21" t="n"/>
      <c r="E28" s="21" t="n"/>
      <c r="F28" s="21" t="n"/>
      <c r="G28" s="21" t="n"/>
      <c r="H28" s="21" t="n"/>
      <c r="I28" s="22" t="n"/>
      <c r="J28" s="22" t="n"/>
      <c r="K28" s="23" t="n"/>
      <c r="L28" s="24">
        <f>IF(ISNUMBER(J28),J28-IF(ISNUMBER(K28),K28,30),"")</f>
        <v/>
      </c>
      <c r="M28" s="25">
        <f>IF(J28="","",IF(ISNUMBER(J28),J28-TODAY(),"Check date"))</f>
        <v/>
      </c>
      <c r="N28" s="26">
        <f>IF(M28="","",IF(ISNUMBER(M28),IF(M28&lt;0,"Expired",IF(M28&lt;=30,"Due ≤30 days",IF(M28&lt;=90,"Due ≤90 days","OK"))),"Check date"))</f>
        <v/>
      </c>
      <c r="O28" s="27" t="n"/>
      <c r="P28" s="21" t="n"/>
      <c r="Q28" s="21" t="n"/>
      <c r="R28" s="21" t="n"/>
    </row>
    <row r="29">
      <c r="A29" s="21" t="n"/>
      <c r="B29" s="21" t="n"/>
      <c r="C29" s="21" t="n"/>
      <c r="D29" s="21" t="n"/>
      <c r="E29" s="21" t="n"/>
      <c r="F29" s="21" t="n"/>
      <c r="G29" s="21" t="n"/>
      <c r="H29" s="21" t="n"/>
      <c r="I29" s="22" t="n"/>
      <c r="J29" s="22" t="n"/>
      <c r="K29" s="23" t="n"/>
      <c r="L29" s="24">
        <f>IF(ISNUMBER(J29),J29-IF(ISNUMBER(K29),K29,30),"")</f>
        <v/>
      </c>
      <c r="M29" s="25">
        <f>IF(J29="","",IF(ISNUMBER(J29),J29-TODAY(),"Check date"))</f>
        <v/>
      </c>
      <c r="N29" s="26">
        <f>IF(M29="","",IF(ISNUMBER(M29),IF(M29&lt;0,"Expired",IF(M29&lt;=30,"Due ≤30 days",IF(M29&lt;=90,"Due ≤90 days","OK"))),"Check date"))</f>
        <v/>
      </c>
      <c r="O29" s="27" t="n"/>
      <c r="P29" s="21" t="n"/>
      <c r="Q29" s="21" t="n"/>
      <c r="R29" s="21" t="n"/>
    </row>
    <row r="30">
      <c r="A30" s="21" t="n"/>
      <c r="B30" s="21" t="n"/>
      <c r="C30" s="21" t="n"/>
      <c r="D30" s="21" t="n"/>
      <c r="E30" s="21" t="n"/>
      <c r="F30" s="21" t="n"/>
      <c r="G30" s="21" t="n"/>
      <c r="H30" s="21" t="n"/>
      <c r="I30" s="22" t="n"/>
      <c r="J30" s="22" t="n"/>
      <c r="K30" s="23" t="n"/>
      <c r="L30" s="24">
        <f>IF(ISNUMBER(J30),J30-IF(ISNUMBER(K30),K30,30),"")</f>
        <v/>
      </c>
      <c r="M30" s="25">
        <f>IF(J30="","",IF(ISNUMBER(J30),J30-TODAY(),"Check date"))</f>
        <v/>
      </c>
      <c r="N30" s="26">
        <f>IF(M30="","",IF(ISNUMBER(M30),IF(M30&lt;0,"Expired",IF(M30&lt;=30,"Due ≤30 days",IF(M30&lt;=90,"Due ≤90 days","OK"))),"Check date"))</f>
        <v/>
      </c>
      <c r="O30" s="27" t="n"/>
      <c r="P30" s="21" t="n"/>
      <c r="Q30" s="21" t="n"/>
      <c r="R30" s="21" t="n"/>
    </row>
    <row r="31">
      <c r="A31" s="21" t="n"/>
      <c r="B31" s="21" t="n"/>
      <c r="C31" s="21" t="n"/>
      <c r="D31" s="21" t="n"/>
      <c r="E31" s="21" t="n"/>
      <c r="F31" s="21" t="n"/>
      <c r="G31" s="21" t="n"/>
      <c r="H31" s="21" t="n"/>
      <c r="I31" s="22" t="n"/>
      <c r="J31" s="22" t="n"/>
      <c r="K31" s="23" t="n"/>
      <c r="L31" s="24">
        <f>IF(ISNUMBER(J31),J31-IF(ISNUMBER(K31),K31,30),"")</f>
        <v/>
      </c>
      <c r="M31" s="25">
        <f>IF(J31="","",IF(ISNUMBER(J31),J31-TODAY(),"Check date"))</f>
        <v/>
      </c>
      <c r="N31" s="26">
        <f>IF(M31="","",IF(ISNUMBER(M31),IF(M31&lt;0,"Expired",IF(M31&lt;=30,"Due ≤30 days",IF(M31&lt;=90,"Due ≤90 days","OK"))),"Check date"))</f>
        <v/>
      </c>
      <c r="O31" s="27" t="n"/>
      <c r="P31" s="21" t="n"/>
      <c r="Q31" s="21" t="n"/>
      <c r="R31" s="21" t="n"/>
    </row>
    <row r="32">
      <c r="A32" s="21" t="n"/>
      <c r="B32" s="21" t="n"/>
      <c r="C32" s="21" t="n"/>
      <c r="D32" s="21" t="n"/>
      <c r="E32" s="21" t="n"/>
      <c r="F32" s="21" t="n"/>
      <c r="G32" s="21" t="n"/>
      <c r="H32" s="21" t="n"/>
      <c r="I32" s="22" t="n"/>
      <c r="J32" s="22" t="n"/>
      <c r="K32" s="23" t="n"/>
      <c r="L32" s="24">
        <f>IF(ISNUMBER(J32),J32-IF(ISNUMBER(K32),K32,30),"")</f>
        <v/>
      </c>
      <c r="M32" s="25">
        <f>IF(J32="","",IF(ISNUMBER(J32),J32-TODAY(),"Check date"))</f>
        <v/>
      </c>
      <c r="N32" s="26">
        <f>IF(M32="","",IF(ISNUMBER(M32),IF(M32&lt;0,"Expired",IF(M32&lt;=30,"Due ≤30 days",IF(M32&lt;=90,"Due ≤90 days","OK"))),"Check date"))</f>
        <v/>
      </c>
      <c r="O32" s="27" t="n"/>
      <c r="P32" s="21" t="n"/>
      <c r="Q32" s="21" t="n"/>
      <c r="R32" s="21" t="n"/>
    </row>
    <row r="33">
      <c r="A33" s="21" t="n"/>
      <c r="B33" s="21" t="n"/>
      <c r="C33" s="21" t="n"/>
      <c r="D33" s="21" t="n"/>
      <c r="E33" s="21" t="n"/>
      <c r="F33" s="21" t="n"/>
      <c r="G33" s="21" t="n"/>
      <c r="H33" s="21" t="n"/>
      <c r="I33" s="22" t="n"/>
      <c r="J33" s="22" t="n"/>
      <c r="K33" s="23" t="n"/>
      <c r="L33" s="24">
        <f>IF(ISNUMBER(J33),J33-IF(ISNUMBER(K33),K33,30),"")</f>
        <v/>
      </c>
      <c r="M33" s="25">
        <f>IF(J33="","",IF(ISNUMBER(J33),J33-TODAY(),"Check date"))</f>
        <v/>
      </c>
      <c r="N33" s="26">
        <f>IF(M33="","",IF(ISNUMBER(M33),IF(M33&lt;0,"Expired",IF(M33&lt;=30,"Due ≤30 days",IF(M33&lt;=90,"Due ≤90 days","OK"))),"Check date"))</f>
        <v/>
      </c>
      <c r="O33" s="27" t="n"/>
      <c r="P33" s="21" t="n"/>
      <c r="Q33" s="21" t="n"/>
      <c r="R33" s="21" t="n"/>
    </row>
    <row r="34">
      <c r="A34" s="21" t="n"/>
      <c r="B34" s="21" t="n"/>
      <c r="C34" s="21" t="n"/>
      <c r="D34" s="21" t="n"/>
      <c r="E34" s="21" t="n"/>
      <c r="F34" s="21" t="n"/>
      <c r="G34" s="21" t="n"/>
      <c r="H34" s="21" t="n"/>
      <c r="I34" s="22" t="n"/>
      <c r="J34" s="22" t="n"/>
      <c r="K34" s="23" t="n"/>
      <c r="L34" s="24">
        <f>IF(ISNUMBER(J34),J34-IF(ISNUMBER(K34),K34,30),"")</f>
        <v/>
      </c>
      <c r="M34" s="25">
        <f>IF(J34="","",IF(ISNUMBER(J34),J34-TODAY(),"Check date"))</f>
        <v/>
      </c>
      <c r="N34" s="26">
        <f>IF(M34="","",IF(ISNUMBER(M34),IF(M34&lt;0,"Expired",IF(M34&lt;=30,"Due ≤30 days",IF(M34&lt;=90,"Due ≤90 days","OK"))),"Check date"))</f>
        <v/>
      </c>
      <c r="O34" s="27" t="n"/>
      <c r="P34" s="21" t="n"/>
      <c r="Q34" s="21" t="n"/>
      <c r="R34" s="21" t="n"/>
    </row>
    <row r="35">
      <c r="A35" s="21" t="n"/>
      <c r="B35" s="21" t="n"/>
      <c r="C35" s="21" t="n"/>
      <c r="D35" s="21" t="n"/>
      <c r="E35" s="21" t="n"/>
      <c r="F35" s="21" t="n"/>
      <c r="G35" s="21" t="n"/>
      <c r="H35" s="21" t="n"/>
      <c r="I35" s="22" t="n"/>
      <c r="J35" s="22" t="n"/>
      <c r="K35" s="23" t="n"/>
      <c r="L35" s="24">
        <f>IF(ISNUMBER(J35),J35-IF(ISNUMBER(K35),K35,30),"")</f>
        <v/>
      </c>
      <c r="M35" s="25">
        <f>IF(J35="","",IF(ISNUMBER(J35),J35-TODAY(),"Check date"))</f>
        <v/>
      </c>
      <c r="N35" s="26">
        <f>IF(M35="","",IF(ISNUMBER(M35),IF(M35&lt;0,"Expired",IF(M35&lt;=30,"Due ≤30 days",IF(M35&lt;=90,"Due ≤90 days","OK"))),"Check date"))</f>
        <v/>
      </c>
      <c r="O35" s="27" t="n"/>
      <c r="P35" s="21" t="n"/>
      <c r="Q35" s="21" t="n"/>
      <c r="R35" s="21" t="n"/>
    </row>
    <row r="36">
      <c r="A36" s="21" t="n"/>
      <c r="B36" s="21" t="n"/>
      <c r="C36" s="21" t="n"/>
      <c r="D36" s="21" t="n"/>
      <c r="E36" s="21" t="n"/>
      <c r="F36" s="21" t="n"/>
      <c r="G36" s="21" t="n"/>
      <c r="H36" s="21" t="n"/>
      <c r="I36" s="22" t="n"/>
      <c r="J36" s="22" t="n"/>
      <c r="K36" s="23" t="n"/>
      <c r="L36" s="24">
        <f>IF(ISNUMBER(J36),J36-IF(ISNUMBER(K36),K36,30),"")</f>
        <v/>
      </c>
      <c r="M36" s="25">
        <f>IF(J36="","",IF(ISNUMBER(J36),J36-TODAY(),"Check date"))</f>
        <v/>
      </c>
      <c r="N36" s="26">
        <f>IF(M36="","",IF(ISNUMBER(M36),IF(M36&lt;0,"Expired",IF(M36&lt;=30,"Due ≤30 days",IF(M36&lt;=90,"Due ≤90 days","OK"))),"Check date"))</f>
        <v/>
      </c>
      <c r="O36" s="27" t="n"/>
      <c r="P36" s="21" t="n"/>
      <c r="Q36" s="21" t="n"/>
      <c r="R36" s="21" t="n"/>
    </row>
    <row r="37">
      <c r="A37" s="21" t="n"/>
      <c r="B37" s="21" t="n"/>
      <c r="C37" s="21" t="n"/>
      <c r="D37" s="21" t="n"/>
      <c r="E37" s="21" t="n"/>
      <c r="F37" s="21" t="n"/>
      <c r="G37" s="21" t="n"/>
      <c r="H37" s="21" t="n"/>
      <c r="I37" s="22" t="n"/>
      <c r="J37" s="22" t="n"/>
      <c r="K37" s="23" t="n"/>
      <c r="L37" s="24">
        <f>IF(ISNUMBER(J37),J37-IF(ISNUMBER(K37),K37,30),"")</f>
        <v/>
      </c>
      <c r="M37" s="25">
        <f>IF(J37="","",IF(ISNUMBER(J37),J37-TODAY(),"Check date"))</f>
        <v/>
      </c>
      <c r="N37" s="26">
        <f>IF(M37="","",IF(ISNUMBER(M37),IF(M37&lt;0,"Expired",IF(M37&lt;=30,"Due ≤30 days",IF(M37&lt;=90,"Due ≤90 days","OK"))),"Check date"))</f>
        <v/>
      </c>
      <c r="O37" s="27" t="n"/>
      <c r="P37" s="21" t="n"/>
      <c r="Q37" s="21" t="n"/>
      <c r="R37" s="21" t="n"/>
    </row>
    <row r="38">
      <c r="A38" s="21" t="n"/>
      <c r="B38" s="21" t="n"/>
      <c r="C38" s="21" t="n"/>
      <c r="D38" s="21" t="n"/>
      <c r="E38" s="21" t="n"/>
      <c r="F38" s="21" t="n"/>
      <c r="G38" s="21" t="n"/>
      <c r="H38" s="21" t="n"/>
      <c r="I38" s="22" t="n"/>
      <c r="J38" s="22" t="n"/>
      <c r="K38" s="23" t="n"/>
      <c r="L38" s="24">
        <f>IF(ISNUMBER(J38),J38-IF(ISNUMBER(K38),K38,30),"")</f>
        <v/>
      </c>
      <c r="M38" s="25">
        <f>IF(J38="","",IF(ISNUMBER(J38),J38-TODAY(),"Check date"))</f>
        <v/>
      </c>
      <c r="N38" s="26">
        <f>IF(M38="","",IF(ISNUMBER(M38),IF(M38&lt;0,"Expired",IF(M38&lt;=30,"Due ≤30 days",IF(M38&lt;=90,"Due ≤90 days","OK"))),"Check date"))</f>
        <v/>
      </c>
      <c r="O38" s="27" t="n"/>
      <c r="P38" s="21" t="n"/>
      <c r="Q38" s="21" t="n"/>
      <c r="R38" s="21" t="n"/>
    </row>
    <row r="39">
      <c r="A39" s="21" t="n"/>
      <c r="B39" s="21" t="n"/>
      <c r="C39" s="21" t="n"/>
      <c r="D39" s="21" t="n"/>
      <c r="E39" s="21" t="n"/>
      <c r="F39" s="21" t="n"/>
      <c r="G39" s="21" t="n"/>
      <c r="H39" s="21" t="n"/>
      <c r="I39" s="22" t="n"/>
      <c r="J39" s="22" t="n"/>
      <c r="K39" s="23" t="n"/>
      <c r="L39" s="24">
        <f>IF(ISNUMBER(J39),J39-IF(ISNUMBER(K39),K39,30),"")</f>
        <v/>
      </c>
      <c r="M39" s="25">
        <f>IF(J39="","",IF(ISNUMBER(J39),J39-TODAY(),"Check date"))</f>
        <v/>
      </c>
      <c r="N39" s="26">
        <f>IF(M39="","",IF(ISNUMBER(M39),IF(M39&lt;0,"Expired",IF(M39&lt;=30,"Due ≤30 days",IF(M39&lt;=90,"Due ≤90 days","OK"))),"Check date"))</f>
        <v/>
      </c>
      <c r="O39" s="27" t="n"/>
      <c r="P39" s="21" t="n"/>
      <c r="Q39" s="21" t="n"/>
      <c r="R39" s="21" t="n"/>
    </row>
    <row r="40">
      <c r="A40" s="21" t="n"/>
      <c r="B40" s="21" t="n"/>
      <c r="C40" s="21" t="n"/>
      <c r="D40" s="21" t="n"/>
      <c r="E40" s="21" t="n"/>
      <c r="F40" s="21" t="n"/>
      <c r="G40" s="21" t="n"/>
      <c r="H40" s="21" t="n"/>
      <c r="I40" s="22" t="n"/>
      <c r="J40" s="22" t="n"/>
      <c r="K40" s="23" t="n"/>
      <c r="L40" s="24">
        <f>IF(ISNUMBER(J40),J40-IF(ISNUMBER(K40),K40,30),"")</f>
        <v/>
      </c>
      <c r="M40" s="25">
        <f>IF(J40="","",IF(ISNUMBER(J40),J40-TODAY(),"Check date"))</f>
        <v/>
      </c>
      <c r="N40" s="26">
        <f>IF(M40="","",IF(ISNUMBER(M40),IF(M40&lt;0,"Expired",IF(M40&lt;=30,"Due ≤30 days",IF(M40&lt;=90,"Due ≤90 days","OK"))),"Check date"))</f>
        <v/>
      </c>
      <c r="O40" s="27" t="n"/>
      <c r="P40" s="21" t="n"/>
      <c r="Q40" s="21" t="n"/>
      <c r="R40" s="21" t="n"/>
    </row>
    <row r="41">
      <c r="A41" s="21" t="n"/>
      <c r="B41" s="21" t="n"/>
      <c r="C41" s="21" t="n"/>
      <c r="D41" s="21" t="n"/>
      <c r="E41" s="21" t="n"/>
      <c r="F41" s="21" t="n"/>
      <c r="G41" s="21" t="n"/>
      <c r="H41" s="21" t="n"/>
      <c r="I41" s="22" t="n"/>
      <c r="J41" s="22" t="n"/>
      <c r="K41" s="23" t="n"/>
      <c r="L41" s="24">
        <f>IF(ISNUMBER(J41),J41-IF(ISNUMBER(K41),K41,30),"")</f>
        <v/>
      </c>
      <c r="M41" s="25">
        <f>IF(J41="","",IF(ISNUMBER(J41),J41-TODAY(),"Check date"))</f>
        <v/>
      </c>
      <c r="N41" s="26">
        <f>IF(M41="","",IF(ISNUMBER(M41),IF(M41&lt;0,"Expired",IF(M41&lt;=30,"Due ≤30 days",IF(M41&lt;=90,"Due ≤90 days","OK"))),"Check date"))</f>
        <v/>
      </c>
      <c r="O41" s="27" t="n"/>
      <c r="P41" s="21" t="n"/>
      <c r="Q41" s="21" t="n"/>
      <c r="R41" s="21" t="n"/>
    </row>
    <row r="42">
      <c r="A42" s="21" t="n"/>
      <c r="B42" s="21" t="n"/>
      <c r="C42" s="21" t="n"/>
      <c r="D42" s="21" t="n"/>
      <c r="E42" s="21" t="n"/>
      <c r="F42" s="21" t="n"/>
      <c r="G42" s="21" t="n"/>
      <c r="H42" s="21" t="n"/>
      <c r="I42" s="22" t="n"/>
      <c r="J42" s="22" t="n"/>
      <c r="K42" s="23" t="n"/>
      <c r="L42" s="24">
        <f>IF(ISNUMBER(J42),J42-IF(ISNUMBER(K42),K42,30),"")</f>
        <v/>
      </c>
      <c r="M42" s="25">
        <f>IF(J42="","",IF(ISNUMBER(J42),J42-TODAY(),"Check date"))</f>
        <v/>
      </c>
      <c r="N42" s="26">
        <f>IF(M42="","",IF(ISNUMBER(M42),IF(M42&lt;0,"Expired",IF(M42&lt;=30,"Due ≤30 days",IF(M42&lt;=90,"Due ≤90 days","OK"))),"Check date"))</f>
        <v/>
      </c>
      <c r="O42" s="27" t="n"/>
      <c r="P42" s="21" t="n"/>
      <c r="Q42" s="21" t="n"/>
      <c r="R42" s="21" t="n"/>
    </row>
    <row r="43">
      <c r="A43" s="21" t="n"/>
      <c r="B43" s="21" t="n"/>
      <c r="C43" s="21" t="n"/>
      <c r="D43" s="21" t="n"/>
      <c r="E43" s="21" t="n"/>
      <c r="F43" s="21" t="n"/>
      <c r="G43" s="21" t="n"/>
      <c r="H43" s="21" t="n"/>
      <c r="I43" s="22" t="n"/>
      <c r="J43" s="22" t="n"/>
      <c r="K43" s="23" t="n"/>
      <c r="L43" s="24">
        <f>IF(ISNUMBER(J43),J43-IF(ISNUMBER(K43),K43,30),"")</f>
        <v/>
      </c>
      <c r="M43" s="25">
        <f>IF(J43="","",IF(ISNUMBER(J43),J43-TODAY(),"Check date"))</f>
        <v/>
      </c>
      <c r="N43" s="26">
        <f>IF(M43="","",IF(ISNUMBER(M43),IF(M43&lt;0,"Expired",IF(M43&lt;=30,"Due ≤30 days",IF(M43&lt;=90,"Due ≤90 days","OK"))),"Check date"))</f>
        <v/>
      </c>
      <c r="O43" s="27" t="n"/>
      <c r="P43" s="21" t="n"/>
      <c r="Q43" s="21" t="n"/>
      <c r="R43" s="21" t="n"/>
    </row>
    <row r="44">
      <c r="A44" s="21" t="n"/>
      <c r="B44" s="21" t="n"/>
      <c r="C44" s="21" t="n"/>
      <c r="D44" s="21" t="n"/>
      <c r="E44" s="21" t="n"/>
      <c r="F44" s="21" t="n"/>
      <c r="G44" s="21" t="n"/>
      <c r="H44" s="21" t="n"/>
      <c r="I44" s="22" t="n"/>
      <c r="J44" s="22" t="n"/>
      <c r="K44" s="23" t="n"/>
      <c r="L44" s="24">
        <f>IF(ISNUMBER(J44),J44-IF(ISNUMBER(K44),K44,30),"")</f>
        <v/>
      </c>
      <c r="M44" s="25">
        <f>IF(J44="","",IF(ISNUMBER(J44),J44-TODAY(),"Check date"))</f>
        <v/>
      </c>
      <c r="N44" s="26">
        <f>IF(M44="","",IF(ISNUMBER(M44),IF(M44&lt;0,"Expired",IF(M44&lt;=30,"Due ≤30 days",IF(M44&lt;=90,"Due ≤90 days","OK"))),"Check date"))</f>
        <v/>
      </c>
      <c r="O44" s="27" t="n"/>
      <c r="P44" s="21" t="n"/>
      <c r="Q44" s="21" t="n"/>
      <c r="R44" s="21" t="n"/>
    </row>
    <row r="45">
      <c r="A45" s="21" t="n"/>
      <c r="B45" s="21" t="n"/>
      <c r="C45" s="21" t="n"/>
      <c r="D45" s="21" t="n"/>
      <c r="E45" s="21" t="n"/>
      <c r="F45" s="21" t="n"/>
      <c r="G45" s="21" t="n"/>
      <c r="H45" s="21" t="n"/>
      <c r="I45" s="22" t="n"/>
      <c r="J45" s="22" t="n"/>
      <c r="K45" s="23" t="n"/>
      <c r="L45" s="24">
        <f>IF(ISNUMBER(J45),J45-IF(ISNUMBER(K45),K45,30),"")</f>
        <v/>
      </c>
      <c r="M45" s="25">
        <f>IF(J45="","",IF(ISNUMBER(J45),J45-TODAY(),"Check date"))</f>
        <v/>
      </c>
      <c r="N45" s="26">
        <f>IF(M45="","",IF(ISNUMBER(M45),IF(M45&lt;0,"Expired",IF(M45&lt;=30,"Due ≤30 days",IF(M45&lt;=90,"Due ≤90 days","OK"))),"Check date"))</f>
        <v/>
      </c>
      <c r="O45" s="27" t="n"/>
      <c r="P45" s="21" t="n"/>
      <c r="Q45" s="21" t="n"/>
      <c r="R45" s="21" t="n"/>
    </row>
    <row r="46">
      <c r="A46" s="21" t="n"/>
      <c r="B46" s="21" t="n"/>
      <c r="C46" s="21" t="n"/>
      <c r="D46" s="21" t="n"/>
      <c r="E46" s="21" t="n"/>
      <c r="F46" s="21" t="n"/>
      <c r="G46" s="21" t="n"/>
      <c r="H46" s="21" t="n"/>
      <c r="I46" s="22" t="n"/>
      <c r="J46" s="22" t="n"/>
      <c r="K46" s="23" t="n"/>
      <c r="L46" s="24">
        <f>IF(ISNUMBER(J46),J46-IF(ISNUMBER(K46),K46,30),"")</f>
        <v/>
      </c>
      <c r="M46" s="25">
        <f>IF(J46="","",IF(ISNUMBER(J46),J46-TODAY(),"Check date"))</f>
        <v/>
      </c>
      <c r="N46" s="26">
        <f>IF(M46="","",IF(ISNUMBER(M46),IF(M46&lt;0,"Expired",IF(M46&lt;=30,"Due ≤30 days",IF(M46&lt;=90,"Due ≤90 days","OK"))),"Check date"))</f>
        <v/>
      </c>
      <c r="O46" s="27" t="n"/>
      <c r="P46" s="21" t="n"/>
      <c r="Q46" s="21" t="n"/>
      <c r="R46" s="21" t="n"/>
    </row>
    <row r="47">
      <c r="A47" s="21" t="n"/>
      <c r="B47" s="21" t="n"/>
      <c r="C47" s="21" t="n"/>
      <c r="D47" s="21" t="n"/>
      <c r="E47" s="21" t="n"/>
      <c r="F47" s="21" t="n"/>
      <c r="G47" s="21" t="n"/>
      <c r="H47" s="21" t="n"/>
      <c r="I47" s="22" t="n"/>
      <c r="J47" s="22" t="n"/>
      <c r="K47" s="23" t="n"/>
      <c r="L47" s="24">
        <f>IF(ISNUMBER(J47),J47-IF(ISNUMBER(K47),K47,30),"")</f>
        <v/>
      </c>
      <c r="M47" s="25">
        <f>IF(J47="","",IF(ISNUMBER(J47),J47-TODAY(),"Check date"))</f>
        <v/>
      </c>
      <c r="N47" s="26">
        <f>IF(M47="","",IF(ISNUMBER(M47),IF(M47&lt;0,"Expired",IF(M47&lt;=30,"Due ≤30 days",IF(M47&lt;=90,"Due ≤90 days","OK"))),"Check date"))</f>
        <v/>
      </c>
      <c r="O47" s="27" t="n"/>
      <c r="P47" s="21" t="n"/>
      <c r="Q47" s="21" t="n"/>
      <c r="R47" s="21" t="n"/>
    </row>
    <row r="48">
      <c r="A48" s="21" t="n"/>
      <c r="B48" s="21" t="n"/>
      <c r="C48" s="21" t="n"/>
      <c r="D48" s="21" t="n"/>
      <c r="E48" s="21" t="n"/>
      <c r="F48" s="21" t="n"/>
      <c r="G48" s="21" t="n"/>
      <c r="H48" s="21" t="n"/>
      <c r="I48" s="22" t="n"/>
      <c r="J48" s="22" t="n"/>
      <c r="K48" s="23" t="n"/>
      <c r="L48" s="24">
        <f>IF(ISNUMBER(J48),J48-IF(ISNUMBER(K48),K48,30),"")</f>
        <v/>
      </c>
      <c r="M48" s="25">
        <f>IF(J48="","",IF(ISNUMBER(J48),J48-TODAY(),"Check date"))</f>
        <v/>
      </c>
      <c r="N48" s="26">
        <f>IF(M48="","",IF(ISNUMBER(M48),IF(M48&lt;0,"Expired",IF(M48&lt;=30,"Due ≤30 days",IF(M48&lt;=90,"Due ≤90 days","OK"))),"Check date"))</f>
        <v/>
      </c>
      <c r="O48" s="27" t="n"/>
      <c r="P48" s="21" t="n"/>
      <c r="Q48" s="21" t="n"/>
      <c r="R48" s="21" t="n"/>
    </row>
    <row r="49">
      <c r="A49" s="21" t="n"/>
      <c r="B49" s="21" t="n"/>
      <c r="C49" s="21" t="n"/>
      <c r="D49" s="21" t="n"/>
      <c r="E49" s="21" t="n"/>
      <c r="F49" s="21" t="n"/>
      <c r="G49" s="21" t="n"/>
      <c r="H49" s="21" t="n"/>
      <c r="I49" s="22" t="n"/>
      <c r="J49" s="22" t="n"/>
      <c r="K49" s="23" t="n"/>
      <c r="L49" s="24">
        <f>IF(ISNUMBER(J49),J49-IF(ISNUMBER(K49),K49,30),"")</f>
        <v/>
      </c>
      <c r="M49" s="25">
        <f>IF(J49="","",IF(ISNUMBER(J49),J49-TODAY(),"Check date"))</f>
        <v/>
      </c>
      <c r="N49" s="26">
        <f>IF(M49="","",IF(ISNUMBER(M49),IF(M49&lt;0,"Expired",IF(M49&lt;=30,"Due ≤30 days",IF(M49&lt;=90,"Due ≤90 days","OK"))),"Check date"))</f>
        <v/>
      </c>
      <c r="O49" s="27" t="n"/>
      <c r="P49" s="21" t="n"/>
      <c r="Q49" s="21" t="n"/>
      <c r="R49" s="21" t="n"/>
    </row>
    <row r="50">
      <c r="A50" s="21" t="n"/>
      <c r="B50" s="21" t="n"/>
      <c r="C50" s="21" t="n"/>
      <c r="D50" s="21" t="n"/>
      <c r="E50" s="21" t="n"/>
      <c r="F50" s="21" t="n"/>
      <c r="G50" s="21" t="n"/>
      <c r="H50" s="21" t="n"/>
      <c r="I50" s="22" t="n"/>
      <c r="J50" s="22" t="n"/>
      <c r="K50" s="23" t="n"/>
      <c r="L50" s="24">
        <f>IF(ISNUMBER(J50),J50-IF(ISNUMBER(K50),K50,30),"")</f>
        <v/>
      </c>
      <c r="M50" s="25">
        <f>IF(J50="","",IF(ISNUMBER(J50),J50-TODAY(),"Check date"))</f>
        <v/>
      </c>
      <c r="N50" s="26">
        <f>IF(M50="","",IF(ISNUMBER(M50),IF(M50&lt;0,"Expired",IF(M50&lt;=30,"Due ≤30 days",IF(M50&lt;=90,"Due ≤90 days","OK"))),"Check date"))</f>
        <v/>
      </c>
      <c r="O50" s="27" t="n"/>
      <c r="P50" s="21" t="n"/>
      <c r="Q50" s="21" t="n"/>
      <c r="R50" s="21" t="n"/>
    </row>
    <row r="51">
      <c r="A51" s="21" t="n"/>
      <c r="B51" s="21" t="n"/>
      <c r="C51" s="21" t="n"/>
      <c r="D51" s="21" t="n"/>
      <c r="E51" s="21" t="n"/>
      <c r="F51" s="21" t="n"/>
      <c r="G51" s="21" t="n"/>
      <c r="H51" s="21" t="n"/>
      <c r="I51" s="22" t="n"/>
      <c r="J51" s="22" t="n"/>
      <c r="K51" s="23" t="n"/>
      <c r="L51" s="24">
        <f>IF(ISNUMBER(J51),J51-IF(ISNUMBER(K51),K51,30),"")</f>
        <v/>
      </c>
      <c r="M51" s="25">
        <f>IF(J51="","",IF(ISNUMBER(J51),J51-TODAY(),"Check date"))</f>
        <v/>
      </c>
      <c r="N51" s="26">
        <f>IF(M51="","",IF(ISNUMBER(M51),IF(M51&lt;0,"Expired",IF(M51&lt;=30,"Due ≤30 days",IF(M51&lt;=90,"Due ≤90 days","OK"))),"Check date"))</f>
        <v/>
      </c>
      <c r="O51" s="27" t="n"/>
      <c r="P51" s="21" t="n"/>
      <c r="Q51" s="21" t="n"/>
      <c r="R51" s="21" t="n"/>
    </row>
    <row r="52">
      <c r="A52" s="21" t="n"/>
      <c r="B52" s="21" t="n"/>
      <c r="C52" s="21" t="n"/>
      <c r="D52" s="21" t="n"/>
      <c r="E52" s="21" t="n"/>
      <c r="F52" s="21" t="n"/>
      <c r="G52" s="21" t="n"/>
      <c r="H52" s="21" t="n"/>
      <c r="I52" s="22" t="n"/>
      <c r="J52" s="22" t="n"/>
      <c r="K52" s="23" t="n"/>
      <c r="L52" s="24">
        <f>IF(ISNUMBER(J52),J52-IF(ISNUMBER(K52),K52,30),"")</f>
        <v/>
      </c>
      <c r="M52" s="25">
        <f>IF(J52="","",IF(ISNUMBER(J52),J52-TODAY(),"Check date"))</f>
        <v/>
      </c>
      <c r="N52" s="26">
        <f>IF(M52="","",IF(ISNUMBER(M52),IF(M52&lt;0,"Expired",IF(M52&lt;=30,"Due ≤30 days",IF(M52&lt;=90,"Due ≤90 days","OK"))),"Check date"))</f>
        <v/>
      </c>
      <c r="O52" s="27" t="n"/>
      <c r="P52" s="21" t="n"/>
      <c r="Q52" s="21" t="n"/>
      <c r="R52" s="21" t="n"/>
    </row>
    <row r="53">
      <c r="A53" s="21" t="n"/>
      <c r="B53" s="21" t="n"/>
      <c r="C53" s="21" t="n"/>
      <c r="D53" s="21" t="n"/>
      <c r="E53" s="21" t="n"/>
      <c r="F53" s="21" t="n"/>
      <c r="G53" s="21" t="n"/>
      <c r="H53" s="21" t="n"/>
      <c r="I53" s="22" t="n"/>
      <c r="J53" s="22" t="n"/>
      <c r="K53" s="23" t="n"/>
      <c r="L53" s="24">
        <f>IF(ISNUMBER(J53),J53-IF(ISNUMBER(K53),K53,30),"")</f>
        <v/>
      </c>
      <c r="M53" s="25">
        <f>IF(J53="","",IF(ISNUMBER(J53),J53-TODAY(),"Check date"))</f>
        <v/>
      </c>
      <c r="N53" s="26">
        <f>IF(M53="","",IF(ISNUMBER(M53),IF(M53&lt;0,"Expired",IF(M53&lt;=30,"Due ≤30 days",IF(M53&lt;=90,"Due ≤90 days","OK"))),"Check date"))</f>
        <v/>
      </c>
      <c r="O53" s="27" t="n"/>
      <c r="P53" s="21" t="n"/>
      <c r="Q53" s="21" t="n"/>
      <c r="R53" s="21" t="n"/>
    </row>
    <row r="54">
      <c r="A54" s="21" t="n"/>
      <c r="B54" s="21" t="n"/>
      <c r="C54" s="21" t="n"/>
      <c r="D54" s="21" t="n"/>
      <c r="E54" s="21" t="n"/>
      <c r="F54" s="21" t="n"/>
      <c r="G54" s="21" t="n"/>
      <c r="H54" s="21" t="n"/>
      <c r="I54" s="22" t="n"/>
      <c r="J54" s="22" t="n"/>
      <c r="K54" s="23" t="n"/>
      <c r="L54" s="24">
        <f>IF(ISNUMBER(J54),J54-IF(ISNUMBER(K54),K54,30),"")</f>
        <v/>
      </c>
      <c r="M54" s="25">
        <f>IF(J54="","",IF(ISNUMBER(J54),J54-TODAY(),"Check date"))</f>
        <v/>
      </c>
      <c r="N54" s="26">
        <f>IF(M54="","",IF(ISNUMBER(M54),IF(M54&lt;0,"Expired",IF(M54&lt;=30,"Due ≤30 days",IF(M54&lt;=90,"Due ≤90 days","OK"))),"Check date"))</f>
        <v/>
      </c>
      <c r="O54" s="27" t="n"/>
      <c r="P54" s="21" t="n"/>
      <c r="Q54" s="21" t="n"/>
      <c r="R54" s="21" t="n"/>
    </row>
    <row r="55">
      <c r="A55" s="21" t="n"/>
      <c r="B55" s="21" t="n"/>
      <c r="C55" s="21" t="n"/>
      <c r="D55" s="21" t="n"/>
      <c r="E55" s="21" t="n"/>
      <c r="F55" s="21" t="n"/>
      <c r="G55" s="21" t="n"/>
      <c r="H55" s="21" t="n"/>
      <c r="I55" s="22" t="n"/>
      <c r="J55" s="22" t="n"/>
      <c r="K55" s="23" t="n"/>
      <c r="L55" s="24">
        <f>IF(ISNUMBER(J55),J55-IF(ISNUMBER(K55),K55,30),"")</f>
        <v/>
      </c>
      <c r="M55" s="25">
        <f>IF(J55="","",IF(ISNUMBER(J55),J55-TODAY(),"Check date"))</f>
        <v/>
      </c>
      <c r="N55" s="26">
        <f>IF(M55="","",IF(ISNUMBER(M55),IF(M55&lt;0,"Expired",IF(M55&lt;=30,"Due ≤30 days",IF(M55&lt;=90,"Due ≤90 days","OK"))),"Check date"))</f>
        <v/>
      </c>
      <c r="O55" s="27" t="n"/>
      <c r="P55" s="21" t="n"/>
      <c r="Q55" s="21" t="n"/>
      <c r="R55" s="21" t="n"/>
    </row>
    <row r="56">
      <c r="A56" s="21" t="n"/>
      <c r="B56" s="21" t="n"/>
      <c r="C56" s="21" t="n"/>
      <c r="D56" s="21" t="n"/>
      <c r="E56" s="21" t="n"/>
      <c r="F56" s="21" t="n"/>
      <c r="G56" s="21" t="n"/>
      <c r="H56" s="21" t="n"/>
      <c r="I56" s="22" t="n"/>
      <c r="J56" s="22" t="n"/>
      <c r="K56" s="23" t="n"/>
      <c r="L56" s="24">
        <f>IF(ISNUMBER(J56),J56-IF(ISNUMBER(K56),K56,30),"")</f>
        <v/>
      </c>
      <c r="M56" s="25">
        <f>IF(J56="","",IF(ISNUMBER(J56),J56-TODAY(),"Check date"))</f>
        <v/>
      </c>
      <c r="N56" s="26">
        <f>IF(M56="","",IF(ISNUMBER(M56),IF(M56&lt;0,"Expired",IF(M56&lt;=30,"Due ≤30 days",IF(M56&lt;=90,"Due ≤90 days","OK"))),"Check date"))</f>
        <v/>
      </c>
      <c r="O56" s="27" t="n"/>
      <c r="P56" s="21" t="n"/>
      <c r="Q56" s="21" t="n"/>
      <c r="R56" s="21" t="n"/>
    </row>
    <row r="57">
      <c r="A57" s="21" t="n"/>
      <c r="B57" s="21" t="n"/>
      <c r="C57" s="21" t="n"/>
      <c r="D57" s="21" t="n"/>
      <c r="E57" s="21" t="n"/>
      <c r="F57" s="21" t="n"/>
      <c r="G57" s="21" t="n"/>
      <c r="H57" s="21" t="n"/>
      <c r="I57" s="22" t="n"/>
      <c r="J57" s="22" t="n"/>
      <c r="K57" s="23" t="n"/>
      <c r="L57" s="24">
        <f>IF(ISNUMBER(J57),J57-IF(ISNUMBER(K57),K57,30),"")</f>
        <v/>
      </c>
      <c r="M57" s="25">
        <f>IF(J57="","",IF(ISNUMBER(J57),J57-TODAY(),"Check date"))</f>
        <v/>
      </c>
      <c r="N57" s="26">
        <f>IF(M57="","",IF(ISNUMBER(M57),IF(M57&lt;0,"Expired",IF(M57&lt;=30,"Due ≤30 days",IF(M57&lt;=90,"Due ≤90 days","OK"))),"Check date"))</f>
        <v/>
      </c>
      <c r="O57" s="27" t="n"/>
      <c r="P57" s="21" t="n"/>
      <c r="Q57" s="21" t="n"/>
      <c r="R57" s="21" t="n"/>
    </row>
    <row r="58">
      <c r="A58" s="21" t="n"/>
      <c r="B58" s="21" t="n"/>
      <c r="C58" s="21" t="n"/>
      <c r="D58" s="21" t="n"/>
      <c r="E58" s="21" t="n"/>
      <c r="F58" s="21" t="n"/>
      <c r="G58" s="21" t="n"/>
      <c r="H58" s="21" t="n"/>
      <c r="I58" s="22" t="n"/>
      <c r="J58" s="22" t="n"/>
      <c r="K58" s="23" t="n"/>
      <c r="L58" s="24">
        <f>IF(ISNUMBER(J58),J58-IF(ISNUMBER(K58),K58,30),"")</f>
        <v/>
      </c>
      <c r="M58" s="25">
        <f>IF(J58="","",IF(ISNUMBER(J58),J58-TODAY(),"Check date"))</f>
        <v/>
      </c>
      <c r="N58" s="26">
        <f>IF(M58="","",IF(ISNUMBER(M58),IF(M58&lt;0,"Expired",IF(M58&lt;=30,"Due ≤30 days",IF(M58&lt;=90,"Due ≤90 days","OK"))),"Check date"))</f>
        <v/>
      </c>
      <c r="O58" s="27" t="n"/>
      <c r="P58" s="21" t="n"/>
      <c r="Q58" s="21" t="n"/>
      <c r="R58" s="21" t="n"/>
    </row>
    <row r="59">
      <c r="A59" s="21" t="n"/>
      <c r="B59" s="21" t="n"/>
      <c r="C59" s="21" t="n"/>
      <c r="D59" s="21" t="n"/>
      <c r="E59" s="21" t="n"/>
      <c r="F59" s="21" t="n"/>
      <c r="G59" s="21" t="n"/>
      <c r="H59" s="21" t="n"/>
      <c r="I59" s="22" t="n"/>
      <c r="J59" s="22" t="n"/>
      <c r="K59" s="23" t="n"/>
      <c r="L59" s="24">
        <f>IF(ISNUMBER(J59),J59-IF(ISNUMBER(K59),K59,30),"")</f>
        <v/>
      </c>
      <c r="M59" s="25">
        <f>IF(J59="","",IF(ISNUMBER(J59),J59-TODAY(),"Check date"))</f>
        <v/>
      </c>
      <c r="N59" s="26">
        <f>IF(M59="","",IF(ISNUMBER(M59),IF(M59&lt;0,"Expired",IF(M59&lt;=30,"Due ≤30 days",IF(M59&lt;=90,"Due ≤90 days","OK"))),"Check date"))</f>
        <v/>
      </c>
      <c r="O59" s="27" t="n"/>
      <c r="P59" s="21" t="n"/>
      <c r="Q59" s="21" t="n"/>
      <c r="R59" s="21" t="n"/>
    </row>
    <row r="60">
      <c r="A60" s="21" t="n"/>
      <c r="B60" s="21" t="n"/>
      <c r="C60" s="21" t="n"/>
      <c r="D60" s="21" t="n"/>
      <c r="E60" s="21" t="n"/>
      <c r="F60" s="21" t="n"/>
      <c r="G60" s="21" t="n"/>
      <c r="H60" s="21" t="n"/>
      <c r="I60" s="22" t="n"/>
      <c r="J60" s="22" t="n"/>
      <c r="K60" s="23" t="n"/>
      <c r="L60" s="24">
        <f>IF(ISNUMBER(J60),J60-IF(ISNUMBER(K60),K60,30),"")</f>
        <v/>
      </c>
      <c r="M60" s="25">
        <f>IF(J60="","",IF(ISNUMBER(J60),J60-TODAY(),"Check date"))</f>
        <v/>
      </c>
      <c r="N60" s="26">
        <f>IF(M60="","",IF(ISNUMBER(M60),IF(M60&lt;0,"Expired",IF(M60&lt;=30,"Due ≤30 days",IF(M60&lt;=90,"Due ≤90 days","OK"))),"Check date"))</f>
        <v/>
      </c>
      <c r="O60" s="27" t="n"/>
      <c r="P60" s="21" t="n"/>
      <c r="Q60" s="21" t="n"/>
      <c r="R60" s="21" t="n"/>
    </row>
    <row r="61">
      <c r="A61" s="21" t="n"/>
      <c r="B61" s="21" t="n"/>
      <c r="C61" s="21" t="n"/>
      <c r="D61" s="21" t="n"/>
      <c r="E61" s="21" t="n"/>
      <c r="F61" s="21" t="n"/>
      <c r="G61" s="21" t="n"/>
      <c r="H61" s="21" t="n"/>
      <c r="I61" s="22" t="n"/>
      <c r="J61" s="22" t="n"/>
      <c r="K61" s="23" t="n"/>
      <c r="L61" s="24">
        <f>IF(ISNUMBER(J61),J61-IF(ISNUMBER(K61),K61,30),"")</f>
        <v/>
      </c>
      <c r="M61" s="25">
        <f>IF(J61="","",IF(ISNUMBER(J61),J61-TODAY(),"Check date"))</f>
        <v/>
      </c>
      <c r="N61" s="26">
        <f>IF(M61="","",IF(ISNUMBER(M61),IF(M61&lt;0,"Expired",IF(M61&lt;=30,"Due ≤30 days",IF(M61&lt;=90,"Due ≤90 days","OK"))),"Check date"))</f>
        <v/>
      </c>
      <c r="O61" s="27" t="n"/>
      <c r="P61" s="21" t="n"/>
      <c r="Q61" s="21" t="n"/>
      <c r="R61" s="21" t="n"/>
    </row>
    <row r="62">
      <c r="A62" s="21" t="n"/>
      <c r="B62" s="21" t="n"/>
      <c r="C62" s="21" t="n"/>
      <c r="D62" s="21" t="n"/>
      <c r="E62" s="21" t="n"/>
      <c r="F62" s="21" t="n"/>
      <c r="G62" s="21" t="n"/>
      <c r="H62" s="21" t="n"/>
      <c r="I62" s="22" t="n"/>
      <c r="J62" s="22" t="n"/>
      <c r="K62" s="23" t="n"/>
      <c r="L62" s="24">
        <f>IF(ISNUMBER(J62),J62-IF(ISNUMBER(K62),K62,30),"")</f>
        <v/>
      </c>
      <c r="M62" s="25">
        <f>IF(J62="","",IF(ISNUMBER(J62),J62-TODAY(),"Check date"))</f>
        <v/>
      </c>
      <c r="N62" s="26">
        <f>IF(M62="","",IF(ISNUMBER(M62),IF(M62&lt;0,"Expired",IF(M62&lt;=30,"Due ≤30 days",IF(M62&lt;=90,"Due ≤90 days","OK"))),"Check date"))</f>
        <v/>
      </c>
      <c r="O62" s="27" t="n"/>
      <c r="P62" s="21" t="n"/>
      <c r="Q62" s="21" t="n"/>
      <c r="R62" s="21" t="n"/>
    </row>
    <row r="63">
      <c r="A63" s="21" t="n"/>
      <c r="B63" s="21" t="n"/>
      <c r="C63" s="21" t="n"/>
      <c r="D63" s="21" t="n"/>
      <c r="E63" s="21" t="n"/>
      <c r="F63" s="21" t="n"/>
      <c r="G63" s="21" t="n"/>
      <c r="H63" s="21" t="n"/>
      <c r="I63" s="22" t="n"/>
      <c r="J63" s="22" t="n"/>
      <c r="K63" s="23" t="n"/>
      <c r="L63" s="24">
        <f>IF(ISNUMBER(J63),J63-IF(ISNUMBER(K63),K63,30),"")</f>
        <v/>
      </c>
      <c r="M63" s="25">
        <f>IF(J63="","",IF(ISNUMBER(J63),J63-TODAY(),"Check date"))</f>
        <v/>
      </c>
      <c r="N63" s="26">
        <f>IF(M63="","",IF(ISNUMBER(M63),IF(M63&lt;0,"Expired",IF(M63&lt;=30,"Due ≤30 days",IF(M63&lt;=90,"Due ≤90 days","OK"))),"Check date"))</f>
        <v/>
      </c>
      <c r="O63" s="27" t="n"/>
      <c r="P63" s="21" t="n"/>
      <c r="Q63" s="21" t="n"/>
      <c r="R63" s="21" t="n"/>
    </row>
    <row r="64">
      <c r="A64" s="21" t="n"/>
      <c r="B64" s="21" t="n"/>
      <c r="C64" s="21" t="n"/>
      <c r="D64" s="21" t="n"/>
      <c r="E64" s="21" t="n"/>
      <c r="F64" s="21" t="n"/>
      <c r="G64" s="21" t="n"/>
      <c r="H64" s="21" t="n"/>
      <c r="I64" s="22" t="n"/>
      <c r="J64" s="22" t="n"/>
      <c r="K64" s="23" t="n"/>
      <c r="L64" s="24">
        <f>IF(ISNUMBER(J64),J64-IF(ISNUMBER(K64),K64,30),"")</f>
        <v/>
      </c>
      <c r="M64" s="25">
        <f>IF(J64="","",IF(ISNUMBER(J64),J64-TODAY(),"Check date"))</f>
        <v/>
      </c>
      <c r="N64" s="26">
        <f>IF(M64="","",IF(ISNUMBER(M64),IF(M64&lt;0,"Expired",IF(M64&lt;=30,"Due ≤30 days",IF(M64&lt;=90,"Due ≤90 days","OK"))),"Check date"))</f>
        <v/>
      </c>
      <c r="O64" s="27" t="n"/>
      <c r="P64" s="21" t="n"/>
      <c r="Q64" s="21" t="n"/>
      <c r="R64" s="21" t="n"/>
    </row>
    <row r="65">
      <c r="A65" s="21" t="n"/>
      <c r="B65" s="21" t="n"/>
      <c r="C65" s="21" t="n"/>
      <c r="D65" s="21" t="n"/>
      <c r="E65" s="21" t="n"/>
      <c r="F65" s="21" t="n"/>
      <c r="G65" s="21" t="n"/>
      <c r="H65" s="21" t="n"/>
      <c r="I65" s="22" t="n"/>
      <c r="J65" s="22" t="n"/>
      <c r="K65" s="23" t="n"/>
      <c r="L65" s="24">
        <f>IF(ISNUMBER(J65),J65-IF(ISNUMBER(K65),K65,30),"")</f>
        <v/>
      </c>
      <c r="M65" s="25">
        <f>IF(J65="","",IF(ISNUMBER(J65),J65-TODAY(),"Check date"))</f>
        <v/>
      </c>
      <c r="N65" s="26">
        <f>IF(M65="","",IF(ISNUMBER(M65),IF(M65&lt;0,"Expired",IF(M65&lt;=30,"Due ≤30 days",IF(M65&lt;=90,"Due ≤90 days","OK"))),"Check date"))</f>
        <v/>
      </c>
      <c r="O65" s="27" t="n"/>
      <c r="P65" s="21" t="n"/>
      <c r="Q65" s="21" t="n"/>
      <c r="R65" s="21" t="n"/>
    </row>
    <row r="66">
      <c r="A66" s="21" t="n"/>
      <c r="B66" s="21" t="n"/>
      <c r="C66" s="21" t="n"/>
      <c r="D66" s="21" t="n"/>
      <c r="E66" s="21" t="n"/>
      <c r="F66" s="21" t="n"/>
      <c r="G66" s="21" t="n"/>
      <c r="H66" s="21" t="n"/>
      <c r="I66" s="22" t="n"/>
      <c r="J66" s="22" t="n"/>
      <c r="K66" s="23" t="n"/>
      <c r="L66" s="24">
        <f>IF(ISNUMBER(J66),J66-IF(ISNUMBER(K66),K66,30),"")</f>
        <v/>
      </c>
      <c r="M66" s="25">
        <f>IF(J66="","",IF(ISNUMBER(J66),J66-TODAY(),"Check date"))</f>
        <v/>
      </c>
      <c r="N66" s="26">
        <f>IF(M66="","",IF(ISNUMBER(M66),IF(M66&lt;0,"Expired",IF(M66&lt;=30,"Due ≤30 days",IF(M66&lt;=90,"Due ≤90 days","OK"))),"Check date"))</f>
        <v/>
      </c>
      <c r="O66" s="27" t="n"/>
      <c r="P66" s="21" t="n"/>
      <c r="Q66" s="21" t="n"/>
      <c r="R66" s="21" t="n"/>
    </row>
    <row r="67">
      <c r="A67" s="21" t="n"/>
      <c r="B67" s="21" t="n"/>
      <c r="C67" s="21" t="n"/>
      <c r="D67" s="21" t="n"/>
      <c r="E67" s="21" t="n"/>
      <c r="F67" s="21" t="n"/>
      <c r="G67" s="21" t="n"/>
      <c r="H67" s="21" t="n"/>
      <c r="I67" s="22" t="n"/>
      <c r="J67" s="22" t="n"/>
      <c r="K67" s="23" t="n"/>
      <c r="L67" s="24">
        <f>IF(ISNUMBER(J67),J67-IF(ISNUMBER(K67),K67,30),"")</f>
        <v/>
      </c>
      <c r="M67" s="25">
        <f>IF(J67="","",IF(ISNUMBER(J67),J67-TODAY(),"Check date"))</f>
        <v/>
      </c>
      <c r="N67" s="26">
        <f>IF(M67="","",IF(ISNUMBER(M67),IF(M67&lt;0,"Expired",IF(M67&lt;=30,"Due ≤30 days",IF(M67&lt;=90,"Due ≤90 days","OK"))),"Check date"))</f>
        <v/>
      </c>
      <c r="O67" s="27" t="n"/>
      <c r="P67" s="21" t="n"/>
      <c r="Q67" s="21" t="n"/>
      <c r="R67" s="21" t="n"/>
    </row>
    <row r="68">
      <c r="A68" s="21" t="n"/>
      <c r="B68" s="21" t="n"/>
      <c r="C68" s="21" t="n"/>
      <c r="D68" s="21" t="n"/>
      <c r="E68" s="21" t="n"/>
      <c r="F68" s="21" t="n"/>
      <c r="G68" s="21" t="n"/>
      <c r="H68" s="21" t="n"/>
      <c r="I68" s="22" t="n"/>
      <c r="J68" s="22" t="n"/>
      <c r="K68" s="23" t="n"/>
      <c r="L68" s="24">
        <f>IF(ISNUMBER(J68),J68-IF(ISNUMBER(K68),K68,30),"")</f>
        <v/>
      </c>
      <c r="M68" s="25">
        <f>IF(J68="","",IF(ISNUMBER(J68),J68-TODAY(),"Check date"))</f>
        <v/>
      </c>
      <c r="N68" s="26">
        <f>IF(M68="","",IF(ISNUMBER(M68),IF(M68&lt;0,"Expired",IF(M68&lt;=30,"Due ≤30 days",IF(M68&lt;=90,"Due ≤90 days","OK"))),"Check date"))</f>
        <v/>
      </c>
      <c r="O68" s="27" t="n"/>
      <c r="P68" s="21" t="n"/>
      <c r="Q68" s="21" t="n"/>
      <c r="R68" s="21" t="n"/>
    </row>
    <row r="69">
      <c r="A69" s="21" t="n"/>
      <c r="B69" s="21" t="n"/>
      <c r="C69" s="21" t="n"/>
      <c r="D69" s="21" t="n"/>
      <c r="E69" s="21" t="n"/>
      <c r="F69" s="21" t="n"/>
      <c r="G69" s="21" t="n"/>
      <c r="H69" s="21" t="n"/>
      <c r="I69" s="22" t="n"/>
      <c r="J69" s="22" t="n"/>
      <c r="K69" s="23" t="n"/>
      <c r="L69" s="24">
        <f>IF(ISNUMBER(J69),J69-IF(ISNUMBER(K69),K69,30),"")</f>
        <v/>
      </c>
      <c r="M69" s="25">
        <f>IF(J69="","",IF(ISNUMBER(J69),J69-TODAY(),"Check date"))</f>
        <v/>
      </c>
      <c r="N69" s="26">
        <f>IF(M69="","",IF(ISNUMBER(M69),IF(M69&lt;0,"Expired",IF(M69&lt;=30,"Due ≤30 days",IF(M69&lt;=90,"Due ≤90 days","OK"))),"Check date"))</f>
        <v/>
      </c>
      <c r="O69" s="27" t="n"/>
      <c r="P69" s="21" t="n"/>
      <c r="Q69" s="21" t="n"/>
      <c r="R69" s="21" t="n"/>
    </row>
    <row r="70">
      <c r="A70" s="21" t="n"/>
      <c r="B70" s="21" t="n"/>
      <c r="C70" s="21" t="n"/>
      <c r="D70" s="21" t="n"/>
      <c r="E70" s="21" t="n"/>
      <c r="F70" s="21" t="n"/>
      <c r="G70" s="21" t="n"/>
      <c r="H70" s="21" t="n"/>
      <c r="I70" s="22" t="n"/>
      <c r="J70" s="22" t="n"/>
      <c r="K70" s="23" t="n"/>
      <c r="L70" s="24">
        <f>IF(ISNUMBER(J70),J70-IF(ISNUMBER(K70),K70,30),"")</f>
        <v/>
      </c>
      <c r="M70" s="25">
        <f>IF(J70="","",IF(ISNUMBER(J70),J70-TODAY(),"Check date"))</f>
        <v/>
      </c>
      <c r="N70" s="26">
        <f>IF(M70="","",IF(ISNUMBER(M70),IF(M70&lt;0,"Expired",IF(M70&lt;=30,"Due ≤30 days",IF(M70&lt;=90,"Due ≤90 days","OK"))),"Check date"))</f>
        <v/>
      </c>
      <c r="O70" s="27" t="n"/>
      <c r="P70" s="21" t="n"/>
      <c r="Q70" s="21" t="n"/>
      <c r="R70" s="21" t="n"/>
    </row>
    <row r="71">
      <c r="A71" s="21" t="n"/>
      <c r="B71" s="21" t="n"/>
      <c r="C71" s="21" t="n"/>
      <c r="D71" s="21" t="n"/>
      <c r="E71" s="21" t="n"/>
      <c r="F71" s="21" t="n"/>
      <c r="G71" s="21" t="n"/>
      <c r="H71" s="21" t="n"/>
      <c r="I71" s="22" t="n"/>
      <c r="J71" s="22" t="n"/>
      <c r="K71" s="23" t="n"/>
      <c r="L71" s="24">
        <f>IF(ISNUMBER(J71),J71-IF(ISNUMBER(K71),K71,30),"")</f>
        <v/>
      </c>
      <c r="M71" s="25">
        <f>IF(J71="","",IF(ISNUMBER(J71),J71-TODAY(),"Check date"))</f>
        <v/>
      </c>
      <c r="N71" s="26">
        <f>IF(M71="","",IF(ISNUMBER(M71),IF(M71&lt;0,"Expired",IF(M71&lt;=30,"Due ≤30 days",IF(M71&lt;=90,"Due ≤90 days","OK"))),"Check date"))</f>
        <v/>
      </c>
      <c r="O71" s="27" t="n"/>
      <c r="P71" s="21" t="n"/>
      <c r="Q71" s="21" t="n"/>
      <c r="R71" s="21" t="n"/>
    </row>
    <row r="72">
      <c r="A72" s="21" t="n"/>
      <c r="B72" s="21" t="n"/>
      <c r="C72" s="21" t="n"/>
      <c r="D72" s="21" t="n"/>
      <c r="E72" s="21" t="n"/>
      <c r="F72" s="21" t="n"/>
      <c r="G72" s="21" t="n"/>
      <c r="H72" s="21" t="n"/>
      <c r="I72" s="22" t="n"/>
      <c r="J72" s="22" t="n"/>
      <c r="K72" s="23" t="n"/>
      <c r="L72" s="24">
        <f>IF(ISNUMBER(J72),J72-IF(ISNUMBER(K72),K72,30),"")</f>
        <v/>
      </c>
      <c r="M72" s="25">
        <f>IF(J72="","",IF(ISNUMBER(J72),J72-TODAY(),"Check date"))</f>
        <v/>
      </c>
      <c r="N72" s="26">
        <f>IF(M72="","",IF(ISNUMBER(M72),IF(M72&lt;0,"Expired",IF(M72&lt;=30,"Due ≤30 days",IF(M72&lt;=90,"Due ≤90 days","OK"))),"Check date"))</f>
        <v/>
      </c>
      <c r="O72" s="27" t="n"/>
      <c r="P72" s="21" t="n"/>
      <c r="Q72" s="21" t="n"/>
      <c r="R72" s="21" t="n"/>
    </row>
    <row r="73">
      <c r="A73" s="21" t="n"/>
      <c r="B73" s="21" t="n"/>
      <c r="C73" s="21" t="n"/>
      <c r="D73" s="21" t="n"/>
      <c r="E73" s="21" t="n"/>
      <c r="F73" s="21" t="n"/>
      <c r="G73" s="21" t="n"/>
      <c r="H73" s="21" t="n"/>
      <c r="I73" s="22" t="n"/>
      <c r="J73" s="22" t="n"/>
      <c r="K73" s="23" t="n"/>
      <c r="L73" s="24">
        <f>IF(ISNUMBER(J73),J73-IF(ISNUMBER(K73),K73,30),"")</f>
        <v/>
      </c>
      <c r="M73" s="25">
        <f>IF(J73="","",IF(ISNUMBER(J73),J73-TODAY(),"Check date"))</f>
        <v/>
      </c>
      <c r="N73" s="26">
        <f>IF(M73="","",IF(ISNUMBER(M73),IF(M73&lt;0,"Expired",IF(M73&lt;=30,"Due ≤30 days",IF(M73&lt;=90,"Due ≤90 days","OK"))),"Check date"))</f>
        <v/>
      </c>
      <c r="O73" s="27" t="n"/>
      <c r="P73" s="21" t="n"/>
      <c r="Q73" s="21" t="n"/>
      <c r="R73" s="21" t="n"/>
    </row>
    <row r="74">
      <c r="A74" s="21" t="n"/>
      <c r="B74" s="21" t="n"/>
      <c r="C74" s="21" t="n"/>
      <c r="D74" s="21" t="n"/>
      <c r="E74" s="21" t="n"/>
      <c r="F74" s="21" t="n"/>
      <c r="G74" s="21" t="n"/>
      <c r="H74" s="21" t="n"/>
      <c r="I74" s="22" t="n"/>
      <c r="J74" s="22" t="n"/>
      <c r="K74" s="23" t="n"/>
      <c r="L74" s="24">
        <f>IF(ISNUMBER(J74),J74-IF(ISNUMBER(K74),K74,30),"")</f>
        <v/>
      </c>
      <c r="M74" s="25">
        <f>IF(J74="","",IF(ISNUMBER(J74),J74-TODAY(),"Check date"))</f>
        <v/>
      </c>
      <c r="N74" s="26">
        <f>IF(M74="","",IF(ISNUMBER(M74),IF(M74&lt;0,"Expired",IF(M74&lt;=30,"Due ≤30 days",IF(M74&lt;=90,"Due ≤90 days","OK"))),"Check date"))</f>
        <v/>
      </c>
      <c r="O74" s="27" t="n"/>
      <c r="P74" s="21" t="n"/>
      <c r="Q74" s="21" t="n"/>
      <c r="R74" s="21" t="n"/>
    </row>
    <row r="75">
      <c r="A75" s="21" t="n"/>
      <c r="B75" s="21" t="n"/>
      <c r="C75" s="21" t="n"/>
      <c r="D75" s="21" t="n"/>
      <c r="E75" s="21" t="n"/>
      <c r="F75" s="21" t="n"/>
      <c r="G75" s="21" t="n"/>
      <c r="H75" s="21" t="n"/>
      <c r="I75" s="22" t="n"/>
      <c r="J75" s="22" t="n"/>
      <c r="K75" s="23" t="n"/>
      <c r="L75" s="24">
        <f>IF(ISNUMBER(J75),J75-IF(ISNUMBER(K75),K75,30),"")</f>
        <v/>
      </c>
      <c r="M75" s="25">
        <f>IF(J75="","",IF(ISNUMBER(J75),J75-TODAY(),"Check date"))</f>
        <v/>
      </c>
      <c r="N75" s="26">
        <f>IF(M75="","",IF(ISNUMBER(M75),IF(M75&lt;0,"Expired",IF(M75&lt;=30,"Due ≤30 days",IF(M75&lt;=90,"Due ≤90 days","OK"))),"Check date"))</f>
        <v/>
      </c>
      <c r="O75" s="27" t="n"/>
      <c r="P75" s="21" t="n"/>
      <c r="Q75" s="21" t="n"/>
      <c r="R75" s="21" t="n"/>
    </row>
    <row r="76">
      <c r="A76" s="21" t="n"/>
      <c r="B76" s="21" t="n"/>
      <c r="C76" s="21" t="n"/>
      <c r="D76" s="21" t="n"/>
      <c r="E76" s="21" t="n"/>
      <c r="F76" s="21" t="n"/>
      <c r="G76" s="21" t="n"/>
      <c r="H76" s="21" t="n"/>
      <c r="I76" s="22" t="n"/>
      <c r="J76" s="22" t="n"/>
      <c r="K76" s="23" t="n"/>
      <c r="L76" s="24">
        <f>IF(ISNUMBER(J76),J76-IF(ISNUMBER(K76),K76,30),"")</f>
        <v/>
      </c>
      <c r="M76" s="25">
        <f>IF(J76="","",IF(ISNUMBER(J76),J76-TODAY(),"Check date"))</f>
        <v/>
      </c>
      <c r="N76" s="26">
        <f>IF(M76="","",IF(ISNUMBER(M76),IF(M76&lt;0,"Expired",IF(M76&lt;=30,"Due ≤30 days",IF(M76&lt;=90,"Due ≤90 days","OK"))),"Check date"))</f>
        <v/>
      </c>
      <c r="O76" s="27" t="n"/>
      <c r="P76" s="21" t="n"/>
      <c r="Q76" s="21" t="n"/>
      <c r="R76" s="21" t="n"/>
    </row>
    <row r="77">
      <c r="A77" s="21" t="n"/>
      <c r="B77" s="21" t="n"/>
      <c r="C77" s="21" t="n"/>
      <c r="D77" s="21" t="n"/>
      <c r="E77" s="21" t="n"/>
      <c r="F77" s="21" t="n"/>
      <c r="G77" s="21" t="n"/>
      <c r="H77" s="21" t="n"/>
      <c r="I77" s="22" t="n"/>
      <c r="J77" s="22" t="n"/>
      <c r="K77" s="23" t="n"/>
      <c r="L77" s="24">
        <f>IF(ISNUMBER(J77),J77-IF(ISNUMBER(K77),K77,30),"")</f>
        <v/>
      </c>
      <c r="M77" s="25">
        <f>IF(J77="","",IF(ISNUMBER(J77),J77-TODAY(),"Check date"))</f>
        <v/>
      </c>
      <c r="N77" s="26">
        <f>IF(M77="","",IF(ISNUMBER(M77),IF(M77&lt;0,"Expired",IF(M77&lt;=30,"Due ≤30 days",IF(M77&lt;=90,"Due ≤90 days","OK"))),"Check date"))</f>
        <v/>
      </c>
      <c r="O77" s="27" t="n"/>
      <c r="P77" s="21" t="n"/>
      <c r="Q77" s="21" t="n"/>
      <c r="R77" s="21" t="n"/>
    </row>
    <row r="78">
      <c r="A78" s="21" t="n"/>
      <c r="B78" s="21" t="n"/>
      <c r="C78" s="21" t="n"/>
      <c r="D78" s="21" t="n"/>
      <c r="E78" s="21" t="n"/>
      <c r="F78" s="21" t="n"/>
      <c r="G78" s="21" t="n"/>
      <c r="H78" s="21" t="n"/>
      <c r="I78" s="22" t="n"/>
      <c r="J78" s="22" t="n"/>
      <c r="K78" s="23" t="n"/>
      <c r="L78" s="24">
        <f>IF(ISNUMBER(J78),J78-IF(ISNUMBER(K78),K78,30),"")</f>
        <v/>
      </c>
      <c r="M78" s="25">
        <f>IF(J78="","",IF(ISNUMBER(J78),J78-TODAY(),"Check date"))</f>
        <v/>
      </c>
      <c r="N78" s="26">
        <f>IF(M78="","",IF(ISNUMBER(M78),IF(M78&lt;0,"Expired",IF(M78&lt;=30,"Due ≤30 days",IF(M78&lt;=90,"Due ≤90 days","OK"))),"Check date"))</f>
        <v/>
      </c>
      <c r="O78" s="27" t="n"/>
      <c r="P78" s="21" t="n"/>
      <c r="Q78" s="21" t="n"/>
      <c r="R78" s="21" t="n"/>
    </row>
    <row r="79">
      <c r="A79" s="21" t="n"/>
      <c r="B79" s="21" t="n"/>
      <c r="C79" s="21" t="n"/>
      <c r="D79" s="21" t="n"/>
      <c r="E79" s="21" t="n"/>
      <c r="F79" s="21" t="n"/>
      <c r="G79" s="21" t="n"/>
      <c r="H79" s="21" t="n"/>
      <c r="I79" s="22" t="n"/>
      <c r="J79" s="22" t="n"/>
      <c r="K79" s="23" t="n"/>
      <c r="L79" s="24">
        <f>IF(ISNUMBER(J79),J79-IF(ISNUMBER(K79),K79,30),"")</f>
        <v/>
      </c>
      <c r="M79" s="25">
        <f>IF(J79="","",IF(ISNUMBER(J79),J79-TODAY(),"Check date"))</f>
        <v/>
      </c>
      <c r="N79" s="26">
        <f>IF(M79="","",IF(ISNUMBER(M79),IF(M79&lt;0,"Expired",IF(M79&lt;=30,"Due ≤30 days",IF(M79&lt;=90,"Due ≤90 days","OK"))),"Check date"))</f>
        <v/>
      </c>
      <c r="O79" s="27" t="n"/>
      <c r="P79" s="21" t="n"/>
      <c r="Q79" s="21" t="n"/>
      <c r="R79" s="21" t="n"/>
    </row>
    <row r="80">
      <c r="A80" s="21" t="n"/>
      <c r="B80" s="21" t="n"/>
      <c r="C80" s="21" t="n"/>
      <c r="D80" s="21" t="n"/>
      <c r="E80" s="21" t="n"/>
      <c r="F80" s="21" t="n"/>
      <c r="G80" s="21" t="n"/>
      <c r="H80" s="21" t="n"/>
      <c r="I80" s="22" t="n"/>
      <c r="J80" s="22" t="n"/>
      <c r="K80" s="23" t="n"/>
      <c r="L80" s="24">
        <f>IF(ISNUMBER(J80),J80-IF(ISNUMBER(K80),K80,30),"")</f>
        <v/>
      </c>
      <c r="M80" s="25">
        <f>IF(J80="","",IF(ISNUMBER(J80),J80-TODAY(),"Check date"))</f>
        <v/>
      </c>
      <c r="N80" s="26">
        <f>IF(M80="","",IF(ISNUMBER(M80),IF(M80&lt;0,"Expired",IF(M80&lt;=30,"Due ≤30 days",IF(M80&lt;=90,"Due ≤90 days","OK"))),"Check date"))</f>
        <v/>
      </c>
      <c r="O80" s="27" t="n"/>
      <c r="P80" s="21" t="n"/>
      <c r="Q80" s="21" t="n"/>
      <c r="R80" s="21" t="n"/>
    </row>
    <row r="81">
      <c r="A81" s="21" t="n"/>
      <c r="B81" s="21" t="n"/>
      <c r="C81" s="21" t="n"/>
      <c r="D81" s="21" t="n"/>
      <c r="E81" s="21" t="n"/>
      <c r="F81" s="21" t="n"/>
      <c r="G81" s="21" t="n"/>
      <c r="H81" s="21" t="n"/>
      <c r="I81" s="22" t="n"/>
      <c r="J81" s="22" t="n"/>
      <c r="K81" s="23" t="n"/>
      <c r="L81" s="24">
        <f>IF(ISNUMBER(J81),J81-IF(ISNUMBER(K81),K81,30),"")</f>
        <v/>
      </c>
      <c r="M81" s="25">
        <f>IF(J81="","",IF(ISNUMBER(J81),J81-TODAY(),"Check date"))</f>
        <v/>
      </c>
      <c r="N81" s="26">
        <f>IF(M81="","",IF(ISNUMBER(M81),IF(M81&lt;0,"Expired",IF(M81&lt;=30,"Due ≤30 days",IF(M81&lt;=90,"Due ≤90 days","OK"))),"Check date"))</f>
        <v/>
      </c>
      <c r="O81" s="27" t="n"/>
      <c r="P81" s="21" t="n"/>
      <c r="Q81" s="21" t="n"/>
      <c r="R81" s="21" t="n"/>
    </row>
    <row r="82">
      <c r="A82" s="21" t="n"/>
      <c r="B82" s="21" t="n"/>
      <c r="C82" s="21" t="n"/>
      <c r="D82" s="21" t="n"/>
      <c r="E82" s="21" t="n"/>
      <c r="F82" s="21" t="n"/>
      <c r="G82" s="21" t="n"/>
      <c r="H82" s="21" t="n"/>
      <c r="I82" s="22" t="n"/>
      <c r="J82" s="22" t="n"/>
      <c r="K82" s="23" t="n"/>
      <c r="L82" s="24">
        <f>IF(ISNUMBER(J82),J82-IF(ISNUMBER(K82),K82,30),"")</f>
        <v/>
      </c>
      <c r="M82" s="25">
        <f>IF(J82="","",IF(ISNUMBER(J82),J82-TODAY(),"Check date"))</f>
        <v/>
      </c>
      <c r="N82" s="26">
        <f>IF(M82="","",IF(ISNUMBER(M82),IF(M82&lt;0,"Expired",IF(M82&lt;=30,"Due ≤30 days",IF(M82&lt;=90,"Due ≤90 days","OK"))),"Check date"))</f>
        <v/>
      </c>
      <c r="O82" s="27" t="n"/>
      <c r="P82" s="21" t="n"/>
      <c r="Q82" s="21" t="n"/>
      <c r="R82" s="21" t="n"/>
    </row>
    <row r="83">
      <c r="A83" s="21" t="n"/>
      <c r="B83" s="21" t="n"/>
      <c r="C83" s="21" t="n"/>
      <c r="D83" s="21" t="n"/>
      <c r="E83" s="21" t="n"/>
      <c r="F83" s="21" t="n"/>
      <c r="G83" s="21" t="n"/>
      <c r="H83" s="21" t="n"/>
      <c r="I83" s="22" t="n"/>
      <c r="J83" s="22" t="n"/>
      <c r="K83" s="23" t="n"/>
      <c r="L83" s="24">
        <f>IF(ISNUMBER(J83),J83-IF(ISNUMBER(K83),K83,30),"")</f>
        <v/>
      </c>
      <c r="M83" s="25">
        <f>IF(J83="","",IF(ISNUMBER(J83),J83-TODAY(),"Check date"))</f>
        <v/>
      </c>
      <c r="N83" s="26">
        <f>IF(M83="","",IF(ISNUMBER(M83),IF(M83&lt;0,"Expired",IF(M83&lt;=30,"Due ≤30 days",IF(M83&lt;=90,"Due ≤90 days","OK"))),"Check date"))</f>
        <v/>
      </c>
      <c r="O83" s="27" t="n"/>
      <c r="P83" s="21" t="n"/>
      <c r="Q83" s="21" t="n"/>
      <c r="R83" s="21" t="n"/>
    </row>
    <row r="84">
      <c r="A84" s="21" t="n"/>
      <c r="B84" s="21" t="n"/>
      <c r="C84" s="21" t="n"/>
      <c r="D84" s="21" t="n"/>
      <c r="E84" s="21" t="n"/>
      <c r="F84" s="21" t="n"/>
      <c r="G84" s="21" t="n"/>
      <c r="H84" s="21" t="n"/>
      <c r="I84" s="22" t="n"/>
      <c r="J84" s="22" t="n"/>
      <c r="K84" s="23" t="n"/>
      <c r="L84" s="24">
        <f>IF(ISNUMBER(J84),J84-IF(ISNUMBER(K84),K84,30),"")</f>
        <v/>
      </c>
      <c r="M84" s="25">
        <f>IF(J84="","",IF(ISNUMBER(J84),J84-TODAY(),"Check date"))</f>
        <v/>
      </c>
      <c r="N84" s="26">
        <f>IF(M84="","",IF(ISNUMBER(M84),IF(M84&lt;0,"Expired",IF(M84&lt;=30,"Due ≤30 days",IF(M84&lt;=90,"Due ≤90 days","OK"))),"Check date"))</f>
        <v/>
      </c>
      <c r="O84" s="27" t="n"/>
      <c r="P84" s="21" t="n"/>
      <c r="Q84" s="21" t="n"/>
      <c r="R84" s="21" t="n"/>
    </row>
    <row r="85">
      <c r="A85" s="21" t="n"/>
      <c r="B85" s="21" t="n"/>
      <c r="C85" s="21" t="n"/>
      <c r="D85" s="21" t="n"/>
      <c r="E85" s="21" t="n"/>
      <c r="F85" s="21" t="n"/>
      <c r="G85" s="21" t="n"/>
      <c r="H85" s="21" t="n"/>
      <c r="I85" s="22" t="n"/>
      <c r="J85" s="22" t="n"/>
      <c r="K85" s="23" t="n"/>
      <c r="L85" s="24">
        <f>IF(ISNUMBER(J85),J85-IF(ISNUMBER(K85),K85,30),"")</f>
        <v/>
      </c>
      <c r="M85" s="25">
        <f>IF(J85="","",IF(ISNUMBER(J85),J85-TODAY(),"Check date"))</f>
        <v/>
      </c>
      <c r="N85" s="26">
        <f>IF(M85="","",IF(ISNUMBER(M85),IF(M85&lt;0,"Expired",IF(M85&lt;=30,"Due ≤30 days",IF(M85&lt;=90,"Due ≤90 days","OK"))),"Check date"))</f>
        <v/>
      </c>
      <c r="O85" s="27" t="n"/>
      <c r="P85" s="21" t="n"/>
      <c r="Q85" s="21" t="n"/>
      <c r="R85" s="21" t="n"/>
    </row>
    <row r="86">
      <c r="A86" s="21" t="n"/>
      <c r="B86" s="21" t="n"/>
      <c r="C86" s="21" t="n"/>
      <c r="D86" s="21" t="n"/>
      <c r="E86" s="21" t="n"/>
      <c r="F86" s="21" t="n"/>
      <c r="G86" s="21" t="n"/>
      <c r="H86" s="21" t="n"/>
      <c r="I86" s="22" t="n"/>
      <c r="J86" s="22" t="n"/>
      <c r="K86" s="23" t="n"/>
      <c r="L86" s="24">
        <f>IF(ISNUMBER(J86),J86-IF(ISNUMBER(K86),K86,30),"")</f>
        <v/>
      </c>
      <c r="M86" s="25">
        <f>IF(J86="","",IF(ISNUMBER(J86),J86-TODAY(),"Check date"))</f>
        <v/>
      </c>
      <c r="N86" s="26">
        <f>IF(M86="","",IF(ISNUMBER(M86),IF(M86&lt;0,"Expired",IF(M86&lt;=30,"Due ≤30 days",IF(M86&lt;=90,"Due ≤90 days","OK"))),"Check date"))</f>
        <v/>
      </c>
      <c r="O86" s="27" t="n"/>
      <c r="P86" s="21" t="n"/>
      <c r="Q86" s="21" t="n"/>
      <c r="R86" s="21" t="n"/>
    </row>
    <row r="87">
      <c r="A87" s="21" t="n"/>
      <c r="B87" s="21" t="n"/>
      <c r="C87" s="21" t="n"/>
      <c r="D87" s="21" t="n"/>
      <c r="E87" s="21" t="n"/>
      <c r="F87" s="21" t="n"/>
      <c r="G87" s="21" t="n"/>
      <c r="H87" s="21" t="n"/>
      <c r="I87" s="22" t="n"/>
      <c r="J87" s="22" t="n"/>
      <c r="K87" s="23" t="n"/>
      <c r="L87" s="24">
        <f>IF(ISNUMBER(J87),J87-IF(ISNUMBER(K87),K87,30),"")</f>
        <v/>
      </c>
      <c r="M87" s="25">
        <f>IF(J87="","",IF(ISNUMBER(J87),J87-TODAY(),"Check date"))</f>
        <v/>
      </c>
      <c r="N87" s="26">
        <f>IF(M87="","",IF(ISNUMBER(M87),IF(M87&lt;0,"Expired",IF(M87&lt;=30,"Due ≤30 days",IF(M87&lt;=90,"Due ≤90 days","OK"))),"Check date"))</f>
        <v/>
      </c>
      <c r="O87" s="27" t="n"/>
      <c r="P87" s="21" t="n"/>
      <c r="Q87" s="21" t="n"/>
      <c r="R87" s="21" t="n"/>
    </row>
    <row r="88">
      <c r="A88" s="21" t="n"/>
      <c r="B88" s="21" t="n"/>
      <c r="C88" s="21" t="n"/>
      <c r="D88" s="21" t="n"/>
      <c r="E88" s="21" t="n"/>
      <c r="F88" s="21" t="n"/>
      <c r="G88" s="21" t="n"/>
      <c r="H88" s="21" t="n"/>
      <c r="I88" s="22" t="n"/>
      <c r="J88" s="22" t="n"/>
      <c r="K88" s="23" t="n"/>
      <c r="L88" s="24">
        <f>IF(ISNUMBER(J88),J88-IF(ISNUMBER(K88),K88,30),"")</f>
        <v/>
      </c>
      <c r="M88" s="25">
        <f>IF(J88="","",IF(ISNUMBER(J88),J88-TODAY(),"Check date"))</f>
        <v/>
      </c>
      <c r="N88" s="26">
        <f>IF(M88="","",IF(ISNUMBER(M88),IF(M88&lt;0,"Expired",IF(M88&lt;=30,"Due ≤30 days",IF(M88&lt;=90,"Due ≤90 days","OK"))),"Check date"))</f>
        <v/>
      </c>
      <c r="O88" s="27" t="n"/>
      <c r="P88" s="21" t="n"/>
      <c r="Q88" s="21" t="n"/>
      <c r="R88" s="21" t="n"/>
    </row>
    <row r="89">
      <c r="A89" s="21" t="n"/>
      <c r="B89" s="21" t="n"/>
      <c r="C89" s="21" t="n"/>
      <c r="D89" s="21" t="n"/>
      <c r="E89" s="21" t="n"/>
      <c r="F89" s="21" t="n"/>
      <c r="G89" s="21" t="n"/>
      <c r="H89" s="21" t="n"/>
      <c r="I89" s="22" t="n"/>
      <c r="J89" s="22" t="n"/>
      <c r="K89" s="23" t="n"/>
      <c r="L89" s="24">
        <f>IF(ISNUMBER(J89),J89-IF(ISNUMBER(K89),K89,30),"")</f>
        <v/>
      </c>
      <c r="M89" s="25">
        <f>IF(J89="","",IF(ISNUMBER(J89),J89-TODAY(),"Check date"))</f>
        <v/>
      </c>
      <c r="N89" s="26">
        <f>IF(M89="","",IF(ISNUMBER(M89),IF(M89&lt;0,"Expired",IF(M89&lt;=30,"Due ≤30 days",IF(M89&lt;=90,"Due ≤90 days","OK"))),"Check date"))</f>
        <v/>
      </c>
      <c r="O89" s="27" t="n"/>
      <c r="P89" s="21" t="n"/>
      <c r="Q89" s="21" t="n"/>
      <c r="R89" s="21" t="n"/>
    </row>
    <row r="90">
      <c r="A90" s="21" t="n"/>
      <c r="B90" s="21" t="n"/>
      <c r="C90" s="21" t="n"/>
      <c r="D90" s="21" t="n"/>
      <c r="E90" s="21" t="n"/>
      <c r="F90" s="21" t="n"/>
      <c r="G90" s="21" t="n"/>
      <c r="H90" s="21" t="n"/>
      <c r="I90" s="22" t="n"/>
      <c r="J90" s="22" t="n"/>
      <c r="K90" s="23" t="n"/>
      <c r="L90" s="24">
        <f>IF(ISNUMBER(J90),J90-IF(ISNUMBER(K90),K90,30),"")</f>
        <v/>
      </c>
      <c r="M90" s="25">
        <f>IF(J90="","",IF(ISNUMBER(J90),J90-TODAY(),"Check date"))</f>
        <v/>
      </c>
      <c r="N90" s="26">
        <f>IF(M90="","",IF(ISNUMBER(M90),IF(M90&lt;0,"Expired",IF(M90&lt;=30,"Due ≤30 days",IF(M90&lt;=90,"Due ≤90 days","OK"))),"Check date"))</f>
        <v/>
      </c>
      <c r="O90" s="27" t="n"/>
      <c r="P90" s="21" t="n"/>
      <c r="Q90" s="21" t="n"/>
      <c r="R90" s="21" t="n"/>
    </row>
    <row r="91">
      <c r="A91" s="21" t="n"/>
      <c r="B91" s="21" t="n"/>
      <c r="C91" s="21" t="n"/>
      <c r="D91" s="21" t="n"/>
      <c r="E91" s="21" t="n"/>
      <c r="F91" s="21" t="n"/>
      <c r="G91" s="21" t="n"/>
      <c r="H91" s="21" t="n"/>
      <c r="I91" s="22" t="n"/>
      <c r="J91" s="22" t="n"/>
      <c r="K91" s="23" t="n"/>
      <c r="L91" s="24">
        <f>IF(ISNUMBER(J91),J91-IF(ISNUMBER(K91),K91,30),"")</f>
        <v/>
      </c>
      <c r="M91" s="25">
        <f>IF(J91="","",IF(ISNUMBER(J91),J91-TODAY(),"Check date"))</f>
        <v/>
      </c>
      <c r="N91" s="26">
        <f>IF(M91="","",IF(ISNUMBER(M91),IF(M91&lt;0,"Expired",IF(M91&lt;=30,"Due ≤30 days",IF(M91&lt;=90,"Due ≤90 days","OK"))),"Check date"))</f>
        <v/>
      </c>
      <c r="O91" s="27" t="n"/>
      <c r="P91" s="21" t="n"/>
      <c r="Q91" s="21" t="n"/>
      <c r="R91" s="21" t="n"/>
    </row>
    <row r="92">
      <c r="A92" s="21" t="n"/>
      <c r="B92" s="21" t="n"/>
      <c r="C92" s="21" t="n"/>
      <c r="D92" s="21" t="n"/>
      <c r="E92" s="21" t="n"/>
      <c r="F92" s="21" t="n"/>
      <c r="G92" s="21" t="n"/>
      <c r="H92" s="21" t="n"/>
      <c r="I92" s="22" t="n"/>
      <c r="J92" s="22" t="n"/>
      <c r="K92" s="23" t="n"/>
      <c r="L92" s="24">
        <f>IF(ISNUMBER(J92),J92-IF(ISNUMBER(K92),K92,30),"")</f>
        <v/>
      </c>
      <c r="M92" s="25">
        <f>IF(J92="","",IF(ISNUMBER(J92),J92-TODAY(),"Check date"))</f>
        <v/>
      </c>
      <c r="N92" s="26">
        <f>IF(M92="","",IF(ISNUMBER(M92),IF(M92&lt;0,"Expired",IF(M92&lt;=30,"Due ≤30 days",IF(M92&lt;=90,"Due ≤90 days","OK"))),"Check date"))</f>
        <v/>
      </c>
      <c r="O92" s="27" t="n"/>
      <c r="P92" s="21" t="n"/>
      <c r="Q92" s="21" t="n"/>
      <c r="R92" s="21" t="n"/>
    </row>
    <row r="93">
      <c r="A93" s="21" t="n"/>
      <c r="B93" s="21" t="n"/>
      <c r="C93" s="21" t="n"/>
      <c r="D93" s="21" t="n"/>
      <c r="E93" s="21" t="n"/>
      <c r="F93" s="21" t="n"/>
      <c r="G93" s="21" t="n"/>
      <c r="H93" s="21" t="n"/>
      <c r="I93" s="22" t="n"/>
      <c r="J93" s="22" t="n"/>
      <c r="K93" s="23" t="n"/>
      <c r="L93" s="24">
        <f>IF(ISNUMBER(J93),J93-IF(ISNUMBER(K93),K93,30),"")</f>
        <v/>
      </c>
      <c r="M93" s="25">
        <f>IF(J93="","",IF(ISNUMBER(J93),J93-TODAY(),"Check date"))</f>
        <v/>
      </c>
      <c r="N93" s="26">
        <f>IF(M93="","",IF(ISNUMBER(M93),IF(M93&lt;0,"Expired",IF(M93&lt;=30,"Due ≤30 days",IF(M93&lt;=90,"Due ≤90 days","OK"))),"Check date"))</f>
        <v/>
      </c>
      <c r="O93" s="27" t="n"/>
      <c r="P93" s="21" t="n"/>
      <c r="Q93" s="21" t="n"/>
      <c r="R93" s="21" t="n"/>
    </row>
    <row r="94">
      <c r="A94" s="21" t="n"/>
      <c r="B94" s="21" t="n"/>
      <c r="C94" s="21" t="n"/>
      <c r="D94" s="21" t="n"/>
      <c r="E94" s="21" t="n"/>
      <c r="F94" s="21" t="n"/>
      <c r="G94" s="21" t="n"/>
      <c r="H94" s="21" t="n"/>
      <c r="I94" s="22" t="n"/>
      <c r="J94" s="22" t="n"/>
      <c r="K94" s="23" t="n"/>
      <c r="L94" s="24">
        <f>IF(ISNUMBER(J94),J94-IF(ISNUMBER(K94),K94,30),"")</f>
        <v/>
      </c>
      <c r="M94" s="25">
        <f>IF(J94="","",IF(ISNUMBER(J94),J94-TODAY(),"Check date"))</f>
        <v/>
      </c>
      <c r="N94" s="26">
        <f>IF(M94="","",IF(ISNUMBER(M94),IF(M94&lt;0,"Expired",IF(M94&lt;=30,"Due ≤30 days",IF(M94&lt;=90,"Due ≤90 days","OK"))),"Check date"))</f>
        <v/>
      </c>
      <c r="O94" s="27" t="n"/>
      <c r="P94" s="21" t="n"/>
      <c r="Q94" s="21" t="n"/>
      <c r="R94" s="21" t="n"/>
    </row>
    <row r="95">
      <c r="A95" s="21" t="n"/>
      <c r="B95" s="21" t="n"/>
      <c r="C95" s="21" t="n"/>
      <c r="D95" s="21" t="n"/>
      <c r="E95" s="21" t="n"/>
      <c r="F95" s="21" t="n"/>
      <c r="G95" s="21" t="n"/>
      <c r="H95" s="21" t="n"/>
      <c r="I95" s="22" t="n"/>
      <c r="J95" s="22" t="n"/>
      <c r="K95" s="23" t="n"/>
      <c r="L95" s="24">
        <f>IF(ISNUMBER(J95),J95-IF(ISNUMBER(K95),K95,30),"")</f>
        <v/>
      </c>
      <c r="M95" s="25">
        <f>IF(J95="","",IF(ISNUMBER(J95),J95-TODAY(),"Check date"))</f>
        <v/>
      </c>
      <c r="N95" s="26">
        <f>IF(M95="","",IF(ISNUMBER(M95),IF(M95&lt;0,"Expired",IF(M95&lt;=30,"Due ≤30 days",IF(M95&lt;=90,"Due ≤90 days","OK"))),"Check date"))</f>
        <v/>
      </c>
      <c r="O95" s="27" t="n"/>
      <c r="P95" s="21" t="n"/>
      <c r="Q95" s="21" t="n"/>
      <c r="R95" s="21" t="n"/>
    </row>
    <row r="96">
      <c r="A96" s="21" t="n"/>
      <c r="B96" s="21" t="n"/>
      <c r="C96" s="21" t="n"/>
      <c r="D96" s="21" t="n"/>
      <c r="E96" s="21" t="n"/>
      <c r="F96" s="21" t="n"/>
      <c r="G96" s="21" t="n"/>
      <c r="H96" s="21" t="n"/>
      <c r="I96" s="22" t="n"/>
      <c r="J96" s="22" t="n"/>
      <c r="K96" s="23" t="n"/>
      <c r="L96" s="24">
        <f>IF(ISNUMBER(J96),J96-IF(ISNUMBER(K96),K96,30),"")</f>
        <v/>
      </c>
      <c r="M96" s="25">
        <f>IF(J96="","",IF(ISNUMBER(J96),J96-TODAY(),"Check date"))</f>
        <v/>
      </c>
      <c r="N96" s="26">
        <f>IF(M96="","",IF(ISNUMBER(M96),IF(M96&lt;0,"Expired",IF(M96&lt;=30,"Due ≤30 days",IF(M96&lt;=90,"Due ≤90 days","OK"))),"Check date"))</f>
        <v/>
      </c>
      <c r="O96" s="27" t="n"/>
      <c r="P96" s="21" t="n"/>
      <c r="Q96" s="21" t="n"/>
      <c r="R96" s="21" t="n"/>
    </row>
    <row r="97">
      <c r="A97" s="21" t="n"/>
      <c r="B97" s="21" t="n"/>
      <c r="C97" s="21" t="n"/>
      <c r="D97" s="21" t="n"/>
      <c r="E97" s="21" t="n"/>
      <c r="F97" s="21" t="n"/>
      <c r="G97" s="21" t="n"/>
      <c r="H97" s="21" t="n"/>
      <c r="I97" s="22" t="n"/>
      <c r="J97" s="22" t="n"/>
      <c r="K97" s="23" t="n"/>
      <c r="L97" s="24">
        <f>IF(ISNUMBER(J97),J97-IF(ISNUMBER(K97),K97,30),"")</f>
        <v/>
      </c>
      <c r="M97" s="25">
        <f>IF(J97="","",IF(ISNUMBER(J97),J97-TODAY(),"Check date"))</f>
        <v/>
      </c>
      <c r="N97" s="26">
        <f>IF(M97="","",IF(ISNUMBER(M97),IF(M97&lt;0,"Expired",IF(M97&lt;=30,"Due ≤30 days",IF(M97&lt;=90,"Due ≤90 days","OK"))),"Check date"))</f>
        <v/>
      </c>
      <c r="O97" s="27" t="n"/>
      <c r="P97" s="21" t="n"/>
      <c r="Q97" s="21" t="n"/>
      <c r="R97" s="21" t="n"/>
    </row>
    <row r="98">
      <c r="A98" s="21" t="n"/>
      <c r="B98" s="21" t="n"/>
      <c r="C98" s="21" t="n"/>
      <c r="D98" s="21" t="n"/>
      <c r="E98" s="21" t="n"/>
      <c r="F98" s="21" t="n"/>
      <c r="G98" s="21" t="n"/>
      <c r="H98" s="21" t="n"/>
      <c r="I98" s="22" t="n"/>
      <c r="J98" s="22" t="n"/>
      <c r="K98" s="23" t="n"/>
      <c r="L98" s="24">
        <f>IF(ISNUMBER(J98),J98-IF(ISNUMBER(K98),K98,30),"")</f>
        <v/>
      </c>
      <c r="M98" s="25">
        <f>IF(J98="","",IF(ISNUMBER(J98),J98-TODAY(),"Check date"))</f>
        <v/>
      </c>
      <c r="N98" s="26">
        <f>IF(M98="","",IF(ISNUMBER(M98),IF(M98&lt;0,"Expired",IF(M98&lt;=30,"Due ≤30 days",IF(M98&lt;=90,"Due ≤90 days","OK"))),"Check date"))</f>
        <v/>
      </c>
      <c r="O98" s="27" t="n"/>
      <c r="P98" s="21" t="n"/>
      <c r="Q98" s="21" t="n"/>
      <c r="R98" s="21" t="n"/>
    </row>
    <row r="99">
      <c r="A99" s="21" t="n"/>
      <c r="B99" s="21" t="n"/>
      <c r="C99" s="21" t="n"/>
      <c r="D99" s="21" t="n"/>
      <c r="E99" s="21" t="n"/>
      <c r="F99" s="21" t="n"/>
      <c r="G99" s="21" t="n"/>
      <c r="H99" s="21" t="n"/>
      <c r="I99" s="22" t="n"/>
      <c r="J99" s="22" t="n"/>
      <c r="K99" s="23" t="n"/>
      <c r="L99" s="24">
        <f>IF(ISNUMBER(J99),J99-IF(ISNUMBER(K99),K99,30),"")</f>
        <v/>
      </c>
      <c r="M99" s="25">
        <f>IF(J99="","",IF(ISNUMBER(J99),J99-TODAY(),"Check date"))</f>
        <v/>
      </c>
      <c r="N99" s="26">
        <f>IF(M99="","",IF(ISNUMBER(M99),IF(M99&lt;0,"Expired",IF(M99&lt;=30,"Due ≤30 days",IF(M99&lt;=90,"Due ≤90 days","OK"))),"Check date"))</f>
        <v/>
      </c>
      <c r="O99" s="27" t="n"/>
      <c r="P99" s="21" t="n"/>
      <c r="Q99" s="21" t="n"/>
      <c r="R99" s="21" t="n"/>
    </row>
    <row r="100">
      <c r="A100" s="21" t="n"/>
      <c r="B100" s="21" t="n"/>
      <c r="C100" s="21" t="n"/>
      <c r="D100" s="21" t="n"/>
      <c r="E100" s="21" t="n"/>
      <c r="F100" s="21" t="n"/>
      <c r="G100" s="21" t="n"/>
      <c r="H100" s="21" t="n"/>
      <c r="I100" s="22" t="n"/>
      <c r="J100" s="22" t="n"/>
      <c r="K100" s="23" t="n"/>
      <c r="L100" s="24">
        <f>IF(ISNUMBER(J100),J100-IF(ISNUMBER(K100),K100,30),"")</f>
        <v/>
      </c>
      <c r="M100" s="25">
        <f>IF(J100="","",IF(ISNUMBER(J100),J100-TODAY(),"Check date"))</f>
        <v/>
      </c>
      <c r="N100" s="26">
        <f>IF(M100="","",IF(ISNUMBER(M100),IF(M100&lt;0,"Expired",IF(M100&lt;=30,"Due ≤30 days",IF(M100&lt;=90,"Due ≤90 days","OK"))),"Check date"))</f>
        <v/>
      </c>
      <c r="O100" s="27" t="n"/>
      <c r="P100" s="21" t="n"/>
      <c r="Q100" s="21" t="n"/>
      <c r="R100" s="21" t="n"/>
    </row>
    <row r="101">
      <c r="A101" s="21" t="n"/>
      <c r="B101" s="21" t="n"/>
      <c r="C101" s="21" t="n"/>
      <c r="D101" s="21" t="n"/>
      <c r="E101" s="21" t="n"/>
      <c r="F101" s="21" t="n"/>
      <c r="G101" s="21" t="n"/>
      <c r="H101" s="21" t="n"/>
      <c r="I101" s="22" t="n"/>
      <c r="J101" s="22" t="n"/>
      <c r="K101" s="23" t="n"/>
      <c r="L101" s="24">
        <f>IF(ISNUMBER(J101),J101-IF(ISNUMBER(K101),K101,30),"")</f>
        <v/>
      </c>
      <c r="M101" s="25">
        <f>IF(J101="","",IF(ISNUMBER(J101),J101-TODAY(),"Check date"))</f>
        <v/>
      </c>
      <c r="N101" s="26">
        <f>IF(M101="","",IF(ISNUMBER(M101),IF(M101&lt;0,"Expired",IF(M101&lt;=30,"Due ≤30 days",IF(M101&lt;=90,"Due ≤90 days","OK"))),"Check date"))</f>
        <v/>
      </c>
      <c r="O101" s="27" t="n"/>
      <c r="P101" s="21" t="n"/>
      <c r="Q101" s="21" t="n"/>
      <c r="R101" s="21" t="n"/>
    </row>
    <row r="102">
      <c r="A102" s="21" t="n"/>
      <c r="B102" s="21" t="n"/>
      <c r="C102" s="21" t="n"/>
      <c r="D102" s="21" t="n"/>
      <c r="E102" s="21" t="n"/>
      <c r="F102" s="21" t="n"/>
      <c r="G102" s="21" t="n"/>
      <c r="H102" s="21" t="n"/>
      <c r="I102" s="22" t="n"/>
      <c r="J102" s="22" t="n"/>
      <c r="K102" s="23" t="n"/>
      <c r="L102" s="24">
        <f>IF(ISNUMBER(J102),J102-IF(ISNUMBER(K102),K102,30),"")</f>
        <v/>
      </c>
      <c r="M102" s="25">
        <f>IF(J102="","",IF(ISNUMBER(J102),J102-TODAY(),"Check date"))</f>
        <v/>
      </c>
      <c r="N102" s="26">
        <f>IF(M102="","",IF(ISNUMBER(M102),IF(M102&lt;0,"Expired",IF(M102&lt;=30,"Due ≤30 days",IF(M102&lt;=90,"Due ≤90 days","OK"))),"Check date"))</f>
        <v/>
      </c>
      <c r="O102" s="27" t="n"/>
      <c r="P102" s="21" t="n"/>
      <c r="Q102" s="21" t="n"/>
      <c r="R102" s="21" t="n"/>
    </row>
    <row r="103">
      <c r="A103" s="21" t="n"/>
      <c r="B103" s="21" t="n"/>
      <c r="C103" s="21" t="n"/>
      <c r="D103" s="21" t="n"/>
      <c r="E103" s="21" t="n"/>
      <c r="F103" s="21" t="n"/>
      <c r="G103" s="21" t="n"/>
      <c r="H103" s="21" t="n"/>
      <c r="I103" s="22" t="n"/>
      <c r="J103" s="22" t="n"/>
      <c r="K103" s="23" t="n"/>
      <c r="L103" s="24">
        <f>IF(ISNUMBER(J103),J103-IF(ISNUMBER(K103),K103,30),"")</f>
        <v/>
      </c>
      <c r="M103" s="25">
        <f>IF(J103="","",IF(ISNUMBER(J103),J103-TODAY(),"Check date"))</f>
        <v/>
      </c>
      <c r="N103" s="26">
        <f>IF(M103="","",IF(ISNUMBER(M103),IF(M103&lt;0,"Expired",IF(M103&lt;=30,"Due ≤30 days",IF(M103&lt;=90,"Due ≤90 days","OK"))),"Check date"))</f>
        <v/>
      </c>
      <c r="O103" s="27" t="n"/>
      <c r="P103" s="21" t="n"/>
      <c r="Q103" s="21" t="n"/>
      <c r="R103" s="21" t="n"/>
    </row>
    <row r="104">
      <c r="A104" s="21" t="n"/>
      <c r="B104" s="21" t="n"/>
      <c r="C104" s="21" t="n"/>
      <c r="D104" s="21" t="n"/>
      <c r="E104" s="21" t="n"/>
      <c r="F104" s="21" t="n"/>
      <c r="G104" s="21" t="n"/>
      <c r="H104" s="21" t="n"/>
      <c r="I104" s="22" t="n"/>
      <c r="J104" s="22" t="n"/>
      <c r="K104" s="23" t="n"/>
      <c r="L104" s="24">
        <f>IF(ISNUMBER(J104),J104-IF(ISNUMBER(K104),K104,30),"")</f>
        <v/>
      </c>
      <c r="M104" s="25">
        <f>IF(J104="","",IF(ISNUMBER(J104),J104-TODAY(),"Check date"))</f>
        <v/>
      </c>
      <c r="N104" s="26">
        <f>IF(M104="","",IF(ISNUMBER(M104),IF(M104&lt;0,"Expired",IF(M104&lt;=30,"Due ≤30 days",IF(M104&lt;=90,"Due ≤90 days","OK"))),"Check date"))</f>
        <v/>
      </c>
      <c r="O104" s="27" t="n"/>
      <c r="P104" s="21" t="n"/>
      <c r="Q104" s="21" t="n"/>
      <c r="R104" s="21" t="n"/>
    </row>
    <row r="105">
      <c r="A105" s="21" t="n"/>
      <c r="B105" s="21" t="n"/>
      <c r="C105" s="21" t="n"/>
      <c r="D105" s="21" t="n"/>
      <c r="E105" s="21" t="n"/>
      <c r="F105" s="21" t="n"/>
      <c r="G105" s="21" t="n"/>
      <c r="H105" s="21" t="n"/>
      <c r="I105" s="22" t="n"/>
      <c r="J105" s="22" t="n"/>
      <c r="K105" s="23" t="n"/>
      <c r="L105" s="24">
        <f>IF(ISNUMBER(J105),J105-IF(ISNUMBER(K105),K105,30),"")</f>
        <v/>
      </c>
      <c r="M105" s="25">
        <f>IF(J105="","",IF(ISNUMBER(J105),J105-TODAY(),"Check date"))</f>
        <v/>
      </c>
      <c r="N105" s="26">
        <f>IF(M105="","",IF(ISNUMBER(M105),IF(M105&lt;0,"Expired",IF(M105&lt;=30,"Due ≤30 days",IF(M105&lt;=90,"Due ≤90 days","OK"))),"Check date"))</f>
        <v/>
      </c>
      <c r="O105" s="27" t="n"/>
      <c r="P105" s="21" t="n"/>
      <c r="Q105" s="21" t="n"/>
      <c r="R105" s="21" t="n"/>
    </row>
    <row r="106">
      <c r="A106" s="21" t="n"/>
      <c r="B106" s="21" t="n"/>
      <c r="C106" s="21" t="n"/>
      <c r="D106" s="21" t="n"/>
      <c r="E106" s="21" t="n"/>
      <c r="F106" s="21" t="n"/>
      <c r="G106" s="21" t="n"/>
      <c r="H106" s="21" t="n"/>
      <c r="I106" s="22" t="n"/>
      <c r="J106" s="22" t="n"/>
      <c r="K106" s="23" t="n"/>
      <c r="L106" s="24">
        <f>IF(ISNUMBER(J106),J106-IF(ISNUMBER(K106),K106,30),"")</f>
        <v/>
      </c>
      <c r="M106" s="25">
        <f>IF(J106="","",IF(ISNUMBER(J106),J106-TODAY(),"Check date"))</f>
        <v/>
      </c>
      <c r="N106" s="26">
        <f>IF(M106="","",IF(ISNUMBER(M106),IF(M106&lt;0,"Expired",IF(M106&lt;=30,"Due ≤30 days",IF(M106&lt;=90,"Due ≤90 days","OK"))),"Check date"))</f>
        <v/>
      </c>
      <c r="O106" s="27" t="n"/>
      <c r="P106" s="21" t="n"/>
      <c r="Q106" s="21" t="n"/>
      <c r="R106" s="21" t="n"/>
    </row>
    <row r="107">
      <c r="A107" s="21" t="n"/>
      <c r="B107" s="21" t="n"/>
      <c r="C107" s="21" t="n"/>
      <c r="D107" s="21" t="n"/>
      <c r="E107" s="21" t="n"/>
      <c r="F107" s="21" t="n"/>
      <c r="G107" s="21" t="n"/>
      <c r="H107" s="21" t="n"/>
      <c r="I107" s="22" t="n"/>
      <c r="J107" s="22" t="n"/>
      <c r="K107" s="23" t="n"/>
      <c r="L107" s="24">
        <f>IF(ISNUMBER(J107),J107-IF(ISNUMBER(K107),K107,30),"")</f>
        <v/>
      </c>
      <c r="M107" s="25">
        <f>IF(J107="","",IF(ISNUMBER(J107),J107-TODAY(),"Check date"))</f>
        <v/>
      </c>
      <c r="N107" s="26">
        <f>IF(M107="","",IF(ISNUMBER(M107),IF(M107&lt;0,"Expired",IF(M107&lt;=30,"Due ≤30 days",IF(M107&lt;=90,"Due ≤90 days","OK"))),"Check date"))</f>
        <v/>
      </c>
      <c r="O107" s="27" t="n"/>
      <c r="P107" s="21" t="n"/>
      <c r="Q107" s="21" t="n"/>
      <c r="R107" s="21" t="n"/>
    </row>
    <row r="108">
      <c r="A108" s="21" t="n"/>
      <c r="B108" s="21" t="n"/>
      <c r="C108" s="21" t="n"/>
      <c r="D108" s="21" t="n"/>
      <c r="E108" s="21" t="n"/>
      <c r="F108" s="21" t="n"/>
      <c r="G108" s="21" t="n"/>
      <c r="H108" s="21" t="n"/>
      <c r="I108" s="22" t="n"/>
      <c r="J108" s="22" t="n"/>
      <c r="K108" s="23" t="n"/>
      <c r="L108" s="24">
        <f>IF(ISNUMBER(J108),J108-IF(ISNUMBER(K108),K108,30),"")</f>
        <v/>
      </c>
      <c r="M108" s="25">
        <f>IF(J108="","",IF(ISNUMBER(J108),J108-TODAY(),"Check date"))</f>
        <v/>
      </c>
      <c r="N108" s="26">
        <f>IF(M108="","",IF(ISNUMBER(M108),IF(M108&lt;0,"Expired",IF(M108&lt;=30,"Due ≤30 days",IF(M108&lt;=90,"Due ≤90 days","OK"))),"Check date"))</f>
        <v/>
      </c>
      <c r="O108" s="27" t="n"/>
      <c r="P108" s="21" t="n"/>
      <c r="Q108" s="21" t="n"/>
      <c r="R108" s="21" t="n"/>
    </row>
    <row r="109">
      <c r="A109" s="21" t="n"/>
      <c r="B109" s="21" t="n"/>
      <c r="C109" s="21" t="n"/>
      <c r="D109" s="21" t="n"/>
      <c r="E109" s="21" t="n"/>
      <c r="F109" s="21" t="n"/>
      <c r="G109" s="21" t="n"/>
      <c r="H109" s="21" t="n"/>
      <c r="I109" s="22" t="n"/>
      <c r="J109" s="22" t="n"/>
      <c r="K109" s="23" t="n"/>
      <c r="L109" s="24">
        <f>IF(ISNUMBER(J109),J109-IF(ISNUMBER(K109),K109,30),"")</f>
        <v/>
      </c>
      <c r="M109" s="25">
        <f>IF(J109="","",IF(ISNUMBER(J109),J109-TODAY(),"Check date"))</f>
        <v/>
      </c>
      <c r="N109" s="26">
        <f>IF(M109="","",IF(ISNUMBER(M109),IF(M109&lt;0,"Expired",IF(M109&lt;=30,"Due ≤30 days",IF(M109&lt;=90,"Due ≤90 days","OK"))),"Check date"))</f>
        <v/>
      </c>
      <c r="O109" s="27" t="n"/>
      <c r="P109" s="21" t="n"/>
      <c r="Q109" s="21" t="n"/>
      <c r="R109" s="21" t="n"/>
    </row>
    <row r="110">
      <c r="A110" s="21" t="n"/>
      <c r="B110" s="21" t="n"/>
      <c r="C110" s="21" t="n"/>
      <c r="D110" s="21" t="n"/>
      <c r="E110" s="21" t="n"/>
      <c r="F110" s="21" t="n"/>
      <c r="G110" s="21" t="n"/>
      <c r="H110" s="21" t="n"/>
      <c r="I110" s="22" t="n"/>
      <c r="J110" s="22" t="n"/>
      <c r="K110" s="23" t="n"/>
      <c r="L110" s="24">
        <f>IF(ISNUMBER(J110),J110-IF(ISNUMBER(K110),K110,30),"")</f>
        <v/>
      </c>
      <c r="M110" s="25">
        <f>IF(J110="","",IF(ISNUMBER(J110),J110-TODAY(),"Check date"))</f>
        <v/>
      </c>
      <c r="N110" s="26">
        <f>IF(M110="","",IF(ISNUMBER(M110),IF(M110&lt;0,"Expired",IF(M110&lt;=30,"Due ≤30 days",IF(M110&lt;=90,"Due ≤90 days","OK"))),"Check date"))</f>
        <v/>
      </c>
      <c r="O110" s="27" t="n"/>
      <c r="P110" s="21" t="n"/>
      <c r="Q110" s="21" t="n"/>
      <c r="R110" s="21" t="n"/>
    </row>
    <row r="111">
      <c r="A111" s="21" t="n"/>
      <c r="B111" s="21" t="n"/>
      <c r="C111" s="21" t="n"/>
      <c r="D111" s="21" t="n"/>
      <c r="E111" s="21" t="n"/>
      <c r="F111" s="21" t="n"/>
      <c r="G111" s="21" t="n"/>
      <c r="H111" s="21" t="n"/>
      <c r="I111" s="22" t="n"/>
      <c r="J111" s="22" t="n"/>
      <c r="K111" s="23" t="n"/>
      <c r="L111" s="24">
        <f>IF(ISNUMBER(J111),J111-IF(ISNUMBER(K111),K111,30),"")</f>
        <v/>
      </c>
      <c r="M111" s="25">
        <f>IF(J111="","",IF(ISNUMBER(J111),J111-TODAY(),"Check date"))</f>
        <v/>
      </c>
      <c r="N111" s="26">
        <f>IF(M111="","",IF(ISNUMBER(M111),IF(M111&lt;0,"Expired",IF(M111&lt;=30,"Due ≤30 days",IF(M111&lt;=90,"Due ≤90 days","OK"))),"Check date"))</f>
        <v/>
      </c>
      <c r="O111" s="27" t="n"/>
      <c r="P111" s="21" t="n"/>
      <c r="Q111" s="21" t="n"/>
      <c r="R111" s="21" t="n"/>
    </row>
    <row r="112">
      <c r="A112" s="21" t="n"/>
      <c r="B112" s="21" t="n"/>
      <c r="C112" s="21" t="n"/>
      <c r="D112" s="21" t="n"/>
      <c r="E112" s="21" t="n"/>
      <c r="F112" s="21" t="n"/>
      <c r="G112" s="21" t="n"/>
      <c r="H112" s="21" t="n"/>
      <c r="I112" s="22" t="n"/>
      <c r="J112" s="22" t="n"/>
      <c r="K112" s="23" t="n"/>
      <c r="L112" s="24">
        <f>IF(ISNUMBER(J112),J112-IF(ISNUMBER(K112),K112,30),"")</f>
        <v/>
      </c>
      <c r="M112" s="25">
        <f>IF(J112="","",IF(ISNUMBER(J112),J112-TODAY(),"Check date"))</f>
        <v/>
      </c>
      <c r="N112" s="26">
        <f>IF(M112="","",IF(ISNUMBER(M112),IF(M112&lt;0,"Expired",IF(M112&lt;=30,"Due ≤30 days",IF(M112&lt;=90,"Due ≤90 days","OK"))),"Check date"))</f>
        <v/>
      </c>
      <c r="O112" s="27" t="n"/>
      <c r="P112" s="21" t="n"/>
      <c r="Q112" s="21" t="n"/>
      <c r="R112" s="21" t="n"/>
    </row>
    <row r="113">
      <c r="A113" s="21" t="n"/>
      <c r="B113" s="21" t="n"/>
      <c r="C113" s="21" t="n"/>
      <c r="D113" s="21" t="n"/>
      <c r="E113" s="21" t="n"/>
      <c r="F113" s="21" t="n"/>
      <c r="G113" s="21" t="n"/>
      <c r="H113" s="21" t="n"/>
      <c r="I113" s="22" t="n"/>
      <c r="J113" s="22" t="n"/>
      <c r="K113" s="23" t="n"/>
      <c r="L113" s="24">
        <f>IF(ISNUMBER(J113),J113-IF(ISNUMBER(K113),K113,30),"")</f>
        <v/>
      </c>
      <c r="M113" s="25">
        <f>IF(J113="","",IF(ISNUMBER(J113),J113-TODAY(),"Check date"))</f>
        <v/>
      </c>
      <c r="N113" s="26">
        <f>IF(M113="","",IF(ISNUMBER(M113),IF(M113&lt;0,"Expired",IF(M113&lt;=30,"Due ≤30 days",IF(M113&lt;=90,"Due ≤90 days","OK"))),"Check date"))</f>
        <v/>
      </c>
      <c r="O113" s="27" t="n"/>
      <c r="P113" s="21" t="n"/>
      <c r="Q113" s="21" t="n"/>
      <c r="R113" s="21" t="n"/>
    </row>
    <row r="114">
      <c r="A114" s="21" t="n"/>
      <c r="B114" s="21" t="n"/>
      <c r="C114" s="21" t="n"/>
      <c r="D114" s="21" t="n"/>
      <c r="E114" s="21" t="n"/>
      <c r="F114" s="21" t="n"/>
      <c r="G114" s="21" t="n"/>
      <c r="H114" s="21" t="n"/>
      <c r="I114" s="22" t="n"/>
      <c r="J114" s="22" t="n"/>
      <c r="K114" s="23" t="n"/>
      <c r="L114" s="24">
        <f>IF(ISNUMBER(J114),J114-IF(ISNUMBER(K114),K114,30),"")</f>
        <v/>
      </c>
      <c r="M114" s="25">
        <f>IF(J114="","",IF(ISNUMBER(J114),J114-TODAY(),"Check date"))</f>
        <v/>
      </c>
      <c r="N114" s="26">
        <f>IF(M114="","",IF(ISNUMBER(M114),IF(M114&lt;0,"Expired",IF(M114&lt;=30,"Due ≤30 days",IF(M114&lt;=90,"Due ≤90 days","OK"))),"Check date"))</f>
        <v/>
      </c>
      <c r="O114" s="27" t="n"/>
      <c r="P114" s="21" t="n"/>
      <c r="Q114" s="21" t="n"/>
      <c r="R114" s="21" t="n"/>
    </row>
    <row r="115">
      <c r="A115" s="21" t="n"/>
      <c r="B115" s="21" t="n"/>
      <c r="C115" s="21" t="n"/>
      <c r="D115" s="21" t="n"/>
      <c r="E115" s="21" t="n"/>
      <c r="F115" s="21" t="n"/>
      <c r="G115" s="21" t="n"/>
      <c r="H115" s="21" t="n"/>
      <c r="I115" s="22" t="n"/>
      <c r="J115" s="22" t="n"/>
      <c r="K115" s="23" t="n"/>
      <c r="L115" s="24">
        <f>IF(ISNUMBER(J115),J115-IF(ISNUMBER(K115),K115,30),"")</f>
        <v/>
      </c>
      <c r="M115" s="25">
        <f>IF(J115="","",IF(ISNUMBER(J115),J115-TODAY(),"Check date"))</f>
        <v/>
      </c>
      <c r="N115" s="26">
        <f>IF(M115="","",IF(ISNUMBER(M115),IF(M115&lt;0,"Expired",IF(M115&lt;=30,"Due ≤30 days",IF(M115&lt;=90,"Due ≤90 days","OK"))),"Check date"))</f>
        <v/>
      </c>
      <c r="O115" s="27" t="n"/>
      <c r="P115" s="21" t="n"/>
      <c r="Q115" s="21" t="n"/>
      <c r="R115" s="21" t="n"/>
    </row>
    <row r="116">
      <c r="A116" s="21" t="n"/>
      <c r="B116" s="21" t="n"/>
      <c r="C116" s="21" t="n"/>
      <c r="D116" s="21" t="n"/>
      <c r="E116" s="21" t="n"/>
      <c r="F116" s="21" t="n"/>
      <c r="G116" s="21" t="n"/>
      <c r="H116" s="21" t="n"/>
      <c r="I116" s="22" t="n"/>
      <c r="J116" s="22" t="n"/>
      <c r="K116" s="23" t="n"/>
      <c r="L116" s="24">
        <f>IF(ISNUMBER(J116),J116-IF(ISNUMBER(K116),K116,30),"")</f>
        <v/>
      </c>
      <c r="M116" s="25">
        <f>IF(J116="","",IF(ISNUMBER(J116),J116-TODAY(),"Check date"))</f>
        <v/>
      </c>
      <c r="N116" s="26">
        <f>IF(M116="","",IF(ISNUMBER(M116),IF(M116&lt;0,"Expired",IF(M116&lt;=30,"Due ≤30 days",IF(M116&lt;=90,"Due ≤90 days","OK"))),"Check date"))</f>
        <v/>
      </c>
      <c r="O116" s="27" t="n"/>
      <c r="P116" s="21" t="n"/>
      <c r="Q116" s="21" t="n"/>
      <c r="R116" s="21" t="n"/>
    </row>
    <row r="117">
      <c r="A117" s="21" t="n"/>
      <c r="B117" s="21" t="n"/>
      <c r="C117" s="21" t="n"/>
      <c r="D117" s="21" t="n"/>
      <c r="E117" s="21" t="n"/>
      <c r="F117" s="21" t="n"/>
      <c r="G117" s="21" t="n"/>
      <c r="H117" s="21" t="n"/>
      <c r="I117" s="22" t="n"/>
      <c r="J117" s="22" t="n"/>
      <c r="K117" s="23" t="n"/>
      <c r="L117" s="24">
        <f>IF(ISNUMBER(J117),J117-IF(ISNUMBER(K117),K117,30),"")</f>
        <v/>
      </c>
      <c r="M117" s="25">
        <f>IF(J117="","",IF(ISNUMBER(J117),J117-TODAY(),"Check date"))</f>
        <v/>
      </c>
      <c r="N117" s="26">
        <f>IF(M117="","",IF(ISNUMBER(M117),IF(M117&lt;0,"Expired",IF(M117&lt;=30,"Due ≤30 days",IF(M117&lt;=90,"Due ≤90 days","OK"))),"Check date"))</f>
        <v/>
      </c>
      <c r="O117" s="27" t="n"/>
      <c r="P117" s="21" t="n"/>
      <c r="Q117" s="21" t="n"/>
      <c r="R117" s="21" t="n"/>
    </row>
    <row r="118">
      <c r="A118" s="21" t="n"/>
      <c r="B118" s="21" t="n"/>
      <c r="C118" s="21" t="n"/>
      <c r="D118" s="21" t="n"/>
      <c r="E118" s="21" t="n"/>
      <c r="F118" s="21" t="n"/>
      <c r="G118" s="21" t="n"/>
      <c r="H118" s="21" t="n"/>
      <c r="I118" s="22" t="n"/>
      <c r="J118" s="22" t="n"/>
      <c r="K118" s="23" t="n"/>
      <c r="L118" s="24">
        <f>IF(ISNUMBER(J118),J118-IF(ISNUMBER(K118),K118,30),"")</f>
        <v/>
      </c>
      <c r="M118" s="25">
        <f>IF(J118="","",IF(ISNUMBER(J118),J118-TODAY(),"Check date"))</f>
        <v/>
      </c>
      <c r="N118" s="26">
        <f>IF(M118="","",IF(ISNUMBER(M118),IF(M118&lt;0,"Expired",IF(M118&lt;=30,"Due ≤30 days",IF(M118&lt;=90,"Due ≤90 days","OK"))),"Check date"))</f>
        <v/>
      </c>
      <c r="O118" s="27" t="n"/>
      <c r="P118" s="21" t="n"/>
      <c r="Q118" s="21" t="n"/>
      <c r="R118" s="21" t="n"/>
    </row>
    <row r="119">
      <c r="A119" s="21" t="n"/>
      <c r="B119" s="21" t="n"/>
      <c r="C119" s="21" t="n"/>
      <c r="D119" s="21" t="n"/>
      <c r="E119" s="21" t="n"/>
      <c r="F119" s="21" t="n"/>
      <c r="G119" s="21" t="n"/>
      <c r="H119" s="21" t="n"/>
      <c r="I119" s="22" t="n"/>
      <c r="J119" s="22" t="n"/>
      <c r="K119" s="23" t="n"/>
      <c r="L119" s="24">
        <f>IF(ISNUMBER(J119),J119-IF(ISNUMBER(K119),K119,30),"")</f>
        <v/>
      </c>
      <c r="M119" s="25">
        <f>IF(J119="","",IF(ISNUMBER(J119),J119-TODAY(),"Check date"))</f>
        <v/>
      </c>
      <c r="N119" s="26">
        <f>IF(M119="","",IF(ISNUMBER(M119),IF(M119&lt;0,"Expired",IF(M119&lt;=30,"Due ≤30 days",IF(M119&lt;=90,"Due ≤90 days","OK"))),"Check date"))</f>
        <v/>
      </c>
      <c r="O119" s="27" t="n"/>
      <c r="P119" s="21" t="n"/>
      <c r="Q119" s="21" t="n"/>
      <c r="R119" s="21" t="n"/>
    </row>
    <row r="120">
      <c r="A120" s="21" t="n"/>
      <c r="B120" s="21" t="n"/>
      <c r="C120" s="21" t="n"/>
      <c r="D120" s="21" t="n"/>
      <c r="E120" s="21" t="n"/>
      <c r="F120" s="21" t="n"/>
      <c r="G120" s="21" t="n"/>
      <c r="H120" s="21" t="n"/>
      <c r="I120" s="22" t="n"/>
      <c r="J120" s="22" t="n"/>
      <c r="K120" s="23" t="n"/>
      <c r="L120" s="24">
        <f>IF(ISNUMBER(J120),J120-IF(ISNUMBER(K120),K120,30),"")</f>
        <v/>
      </c>
      <c r="M120" s="25">
        <f>IF(J120="","",IF(ISNUMBER(J120),J120-TODAY(),"Check date"))</f>
        <v/>
      </c>
      <c r="N120" s="26">
        <f>IF(M120="","",IF(ISNUMBER(M120),IF(M120&lt;0,"Expired",IF(M120&lt;=30,"Due ≤30 days",IF(M120&lt;=90,"Due ≤90 days","OK"))),"Check date"))</f>
        <v/>
      </c>
      <c r="O120" s="27" t="n"/>
      <c r="P120" s="21" t="n"/>
      <c r="Q120" s="21" t="n"/>
      <c r="R120" s="21" t="n"/>
    </row>
    <row r="121">
      <c r="A121" s="21" t="n"/>
      <c r="B121" s="21" t="n"/>
      <c r="C121" s="21" t="n"/>
      <c r="D121" s="21" t="n"/>
      <c r="E121" s="21" t="n"/>
      <c r="F121" s="21" t="n"/>
      <c r="G121" s="21" t="n"/>
      <c r="H121" s="21" t="n"/>
      <c r="I121" s="22" t="n"/>
      <c r="J121" s="22" t="n"/>
      <c r="K121" s="23" t="n"/>
      <c r="L121" s="24">
        <f>IF(ISNUMBER(J121),J121-IF(ISNUMBER(K121),K121,30),"")</f>
        <v/>
      </c>
      <c r="M121" s="25">
        <f>IF(J121="","",IF(ISNUMBER(J121),J121-TODAY(),"Check date"))</f>
        <v/>
      </c>
      <c r="N121" s="26">
        <f>IF(M121="","",IF(ISNUMBER(M121),IF(M121&lt;0,"Expired",IF(M121&lt;=30,"Due ≤30 days",IF(M121&lt;=90,"Due ≤90 days","OK"))),"Check date"))</f>
        <v/>
      </c>
      <c r="O121" s="27" t="n"/>
      <c r="P121" s="21" t="n"/>
      <c r="Q121" s="21" t="n"/>
      <c r="R121" s="21" t="n"/>
    </row>
    <row r="122">
      <c r="A122" s="21" t="n"/>
      <c r="B122" s="21" t="n"/>
      <c r="C122" s="21" t="n"/>
      <c r="D122" s="21" t="n"/>
      <c r="E122" s="21" t="n"/>
      <c r="F122" s="21" t="n"/>
      <c r="G122" s="21" t="n"/>
      <c r="H122" s="21" t="n"/>
      <c r="I122" s="22" t="n"/>
      <c r="J122" s="22" t="n"/>
      <c r="K122" s="23" t="n"/>
      <c r="L122" s="24">
        <f>IF(ISNUMBER(J122),J122-IF(ISNUMBER(K122),K122,30),"")</f>
        <v/>
      </c>
      <c r="M122" s="25">
        <f>IF(J122="","",IF(ISNUMBER(J122),J122-TODAY(),"Check date"))</f>
        <v/>
      </c>
      <c r="N122" s="26">
        <f>IF(M122="","",IF(ISNUMBER(M122),IF(M122&lt;0,"Expired",IF(M122&lt;=30,"Due ≤30 days",IF(M122&lt;=90,"Due ≤90 days","OK"))),"Check date"))</f>
        <v/>
      </c>
      <c r="O122" s="27" t="n"/>
      <c r="P122" s="21" t="n"/>
      <c r="Q122" s="21" t="n"/>
      <c r="R122" s="21" t="n"/>
    </row>
    <row r="123">
      <c r="A123" s="21" t="n"/>
      <c r="B123" s="21" t="n"/>
      <c r="C123" s="21" t="n"/>
      <c r="D123" s="21" t="n"/>
      <c r="E123" s="21" t="n"/>
      <c r="F123" s="21" t="n"/>
      <c r="G123" s="21" t="n"/>
      <c r="H123" s="21" t="n"/>
      <c r="I123" s="22" t="n"/>
      <c r="J123" s="22" t="n"/>
      <c r="K123" s="23" t="n"/>
      <c r="L123" s="24">
        <f>IF(ISNUMBER(J123),J123-IF(ISNUMBER(K123),K123,30),"")</f>
        <v/>
      </c>
      <c r="M123" s="25">
        <f>IF(J123="","",IF(ISNUMBER(J123),J123-TODAY(),"Check date"))</f>
        <v/>
      </c>
      <c r="N123" s="26">
        <f>IF(M123="","",IF(ISNUMBER(M123),IF(M123&lt;0,"Expired",IF(M123&lt;=30,"Due ≤30 days",IF(M123&lt;=90,"Due ≤90 days","OK"))),"Check date"))</f>
        <v/>
      </c>
      <c r="O123" s="27" t="n"/>
      <c r="P123" s="21" t="n"/>
      <c r="Q123" s="21" t="n"/>
      <c r="R123" s="21" t="n"/>
    </row>
    <row r="124">
      <c r="A124" s="21" t="n"/>
      <c r="B124" s="21" t="n"/>
      <c r="C124" s="21" t="n"/>
      <c r="D124" s="21" t="n"/>
      <c r="E124" s="21" t="n"/>
      <c r="F124" s="21" t="n"/>
      <c r="G124" s="21" t="n"/>
      <c r="H124" s="21" t="n"/>
      <c r="I124" s="22" t="n"/>
      <c r="J124" s="22" t="n"/>
      <c r="K124" s="23" t="n"/>
      <c r="L124" s="24">
        <f>IF(ISNUMBER(J124),J124-IF(ISNUMBER(K124),K124,30),"")</f>
        <v/>
      </c>
      <c r="M124" s="25">
        <f>IF(J124="","",IF(ISNUMBER(J124),J124-TODAY(),"Check date"))</f>
        <v/>
      </c>
      <c r="N124" s="26">
        <f>IF(M124="","",IF(ISNUMBER(M124),IF(M124&lt;0,"Expired",IF(M124&lt;=30,"Due ≤30 days",IF(M124&lt;=90,"Due ≤90 days","OK"))),"Check date"))</f>
        <v/>
      </c>
      <c r="O124" s="27" t="n"/>
      <c r="P124" s="21" t="n"/>
      <c r="Q124" s="21" t="n"/>
      <c r="R124" s="21" t="n"/>
    </row>
    <row r="125">
      <c r="A125" s="21" t="n"/>
      <c r="B125" s="21" t="n"/>
      <c r="C125" s="21" t="n"/>
      <c r="D125" s="21" t="n"/>
      <c r="E125" s="21" t="n"/>
      <c r="F125" s="21" t="n"/>
      <c r="G125" s="21" t="n"/>
      <c r="H125" s="21" t="n"/>
      <c r="I125" s="22" t="n"/>
      <c r="J125" s="22" t="n"/>
      <c r="K125" s="23" t="n"/>
      <c r="L125" s="24">
        <f>IF(ISNUMBER(J125),J125-IF(ISNUMBER(K125),K125,30),"")</f>
        <v/>
      </c>
      <c r="M125" s="25">
        <f>IF(J125="","",IF(ISNUMBER(J125),J125-TODAY(),"Check date"))</f>
        <v/>
      </c>
      <c r="N125" s="26">
        <f>IF(M125="","",IF(ISNUMBER(M125),IF(M125&lt;0,"Expired",IF(M125&lt;=30,"Due ≤30 days",IF(M125&lt;=90,"Due ≤90 days","OK"))),"Check date"))</f>
        <v/>
      </c>
      <c r="O125" s="27" t="n"/>
      <c r="P125" s="21" t="n"/>
      <c r="Q125" s="21" t="n"/>
      <c r="R125" s="21" t="n"/>
    </row>
    <row r="126">
      <c r="A126" s="21" t="n"/>
      <c r="B126" s="21" t="n"/>
      <c r="C126" s="21" t="n"/>
      <c r="D126" s="21" t="n"/>
      <c r="E126" s="21" t="n"/>
      <c r="F126" s="21" t="n"/>
      <c r="G126" s="21" t="n"/>
      <c r="H126" s="21" t="n"/>
      <c r="I126" s="22" t="n"/>
      <c r="J126" s="22" t="n"/>
      <c r="K126" s="23" t="n"/>
      <c r="L126" s="24">
        <f>IF(ISNUMBER(J126),J126-IF(ISNUMBER(K126),K126,30),"")</f>
        <v/>
      </c>
      <c r="M126" s="25">
        <f>IF(J126="","",IF(ISNUMBER(J126),J126-TODAY(),"Check date"))</f>
        <v/>
      </c>
      <c r="N126" s="26">
        <f>IF(M126="","",IF(ISNUMBER(M126),IF(M126&lt;0,"Expired",IF(M126&lt;=30,"Due ≤30 days",IF(M126&lt;=90,"Due ≤90 days","OK"))),"Check date"))</f>
        <v/>
      </c>
      <c r="O126" s="27" t="n"/>
      <c r="P126" s="21" t="n"/>
      <c r="Q126" s="21" t="n"/>
      <c r="R126" s="21" t="n"/>
    </row>
    <row r="127">
      <c r="A127" s="21" t="n"/>
      <c r="B127" s="21" t="n"/>
      <c r="C127" s="21" t="n"/>
      <c r="D127" s="21" t="n"/>
      <c r="E127" s="21" t="n"/>
      <c r="F127" s="21" t="n"/>
      <c r="G127" s="21" t="n"/>
      <c r="H127" s="21" t="n"/>
      <c r="I127" s="22" t="n"/>
      <c r="J127" s="22" t="n"/>
      <c r="K127" s="23" t="n"/>
      <c r="L127" s="24">
        <f>IF(ISNUMBER(J127),J127-IF(ISNUMBER(K127),K127,30),"")</f>
        <v/>
      </c>
      <c r="M127" s="25">
        <f>IF(J127="","",IF(ISNUMBER(J127),J127-TODAY(),"Check date"))</f>
        <v/>
      </c>
      <c r="N127" s="26">
        <f>IF(M127="","",IF(ISNUMBER(M127),IF(M127&lt;0,"Expired",IF(M127&lt;=30,"Due ≤30 days",IF(M127&lt;=90,"Due ≤90 days","OK"))),"Check date"))</f>
        <v/>
      </c>
      <c r="O127" s="27" t="n"/>
      <c r="P127" s="21" t="n"/>
      <c r="Q127" s="21" t="n"/>
      <c r="R127" s="21" t="n"/>
    </row>
    <row r="128">
      <c r="A128" s="21" t="n"/>
      <c r="B128" s="21" t="n"/>
      <c r="C128" s="21" t="n"/>
      <c r="D128" s="21" t="n"/>
      <c r="E128" s="21" t="n"/>
      <c r="F128" s="21" t="n"/>
      <c r="G128" s="21" t="n"/>
      <c r="H128" s="21" t="n"/>
      <c r="I128" s="22" t="n"/>
      <c r="J128" s="22" t="n"/>
      <c r="K128" s="23" t="n"/>
      <c r="L128" s="24">
        <f>IF(ISNUMBER(J128),J128-IF(ISNUMBER(K128),K128,30),"")</f>
        <v/>
      </c>
      <c r="M128" s="25">
        <f>IF(J128="","",IF(ISNUMBER(J128),J128-TODAY(),"Check date"))</f>
        <v/>
      </c>
      <c r="N128" s="26">
        <f>IF(M128="","",IF(ISNUMBER(M128),IF(M128&lt;0,"Expired",IF(M128&lt;=30,"Due ≤30 days",IF(M128&lt;=90,"Due ≤90 days","OK"))),"Check date"))</f>
        <v/>
      </c>
      <c r="O128" s="27" t="n"/>
      <c r="P128" s="21" t="n"/>
      <c r="Q128" s="21" t="n"/>
      <c r="R128" s="21" t="n"/>
    </row>
    <row r="129">
      <c r="A129" s="21" t="n"/>
      <c r="B129" s="21" t="n"/>
      <c r="C129" s="21" t="n"/>
      <c r="D129" s="21" t="n"/>
      <c r="E129" s="21" t="n"/>
      <c r="F129" s="21" t="n"/>
      <c r="G129" s="21" t="n"/>
      <c r="H129" s="21" t="n"/>
      <c r="I129" s="22" t="n"/>
      <c r="J129" s="22" t="n"/>
      <c r="K129" s="23" t="n"/>
      <c r="L129" s="24">
        <f>IF(ISNUMBER(J129),J129-IF(ISNUMBER(K129),K129,30),"")</f>
        <v/>
      </c>
      <c r="M129" s="25">
        <f>IF(J129="","",IF(ISNUMBER(J129),J129-TODAY(),"Check date"))</f>
        <v/>
      </c>
      <c r="N129" s="26">
        <f>IF(M129="","",IF(ISNUMBER(M129),IF(M129&lt;0,"Expired",IF(M129&lt;=30,"Due ≤30 days",IF(M129&lt;=90,"Due ≤90 days","OK"))),"Check date"))</f>
        <v/>
      </c>
      <c r="O129" s="27" t="n"/>
      <c r="P129" s="21" t="n"/>
      <c r="Q129" s="21" t="n"/>
      <c r="R129" s="21" t="n"/>
    </row>
    <row r="130">
      <c r="A130" s="21" t="n"/>
      <c r="B130" s="21" t="n"/>
      <c r="C130" s="21" t="n"/>
      <c r="D130" s="21" t="n"/>
      <c r="E130" s="21" t="n"/>
      <c r="F130" s="21" t="n"/>
      <c r="G130" s="21" t="n"/>
      <c r="H130" s="21" t="n"/>
      <c r="I130" s="22" t="n"/>
      <c r="J130" s="22" t="n"/>
      <c r="K130" s="23" t="n"/>
      <c r="L130" s="24">
        <f>IF(ISNUMBER(J130),J130-IF(ISNUMBER(K130),K130,30),"")</f>
        <v/>
      </c>
      <c r="M130" s="25">
        <f>IF(J130="","",IF(ISNUMBER(J130),J130-TODAY(),"Check date"))</f>
        <v/>
      </c>
      <c r="N130" s="26">
        <f>IF(M130="","",IF(ISNUMBER(M130),IF(M130&lt;0,"Expired",IF(M130&lt;=30,"Due ≤30 days",IF(M130&lt;=90,"Due ≤90 days","OK"))),"Check date"))</f>
        <v/>
      </c>
      <c r="O130" s="27" t="n"/>
      <c r="P130" s="21" t="n"/>
      <c r="Q130" s="21" t="n"/>
      <c r="R130" s="21" t="n"/>
    </row>
    <row r="131">
      <c r="A131" s="21" t="n"/>
      <c r="B131" s="21" t="n"/>
      <c r="C131" s="21" t="n"/>
      <c r="D131" s="21" t="n"/>
      <c r="E131" s="21" t="n"/>
      <c r="F131" s="21" t="n"/>
      <c r="G131" s="21" t="n"/>
      <c r="H131" s="21" t="n"/>
      <c r="I131" s="22" t="n"/>
      <c r="J131" s="22" t="n"/>
      <c r="K131" s="23" t="n"/>
      <c r="L131" s="24">
        <f>IF(ISNUMBER(J131),J131-IF(ISNUMBER(K131),K131,30),"")</f>
        <v/>
      </c>
      <c r="M131" s="25">
        <f>IF(J131="","",IF(ISNUMBER(J131),J131-TODAY(),"Check date"))</f>
        <v/>
      </c>
      <c r="N131" s="26">
        <f>IF(M131="","",IF(ISNUMBER(M131),IF(M131&lt;0,"Expired",IF(M131&lt;=30,"Due ≤30 days",IF(M131&lt;=90,"Due ≤90 days","OK"))),"Check date"))</f>
        <v/>
      </c>
      <c r="O131" s="27" t="n"/>
      <c r="P131" s="21" t="n"/>
      <c r="Q131" s="21" t="n"/>
      <c r="R131" s="21" t="n"/>
    </row>
    <row r="132">
      <c r="A132" s="21" t="n"/>
      <c r="B132" s="21" t="n"/>
      <c r="C132" s="21" t="n"/>
      <c r="D132" s="21" t="n"/>
      <c r="E132" s="21" t="n"/>
      <c r="F132" s="21" t="n"/>
      <c r="G132" s="21" t="n"/>
      <c r="H132" s="21" t="n"/>
      <c r="I132" s="22" t="n"/>
      <c r="J132" s="22" t="n"/>
      <c r="K132" s="23" t="n"/>
      <c r="L132" s="24">
        <f>IF(ISNUMBER(J132),J132-IF(ISNUMBER(K132),K132,30),"")</f>
        <v/>
      </c>
      <c r="M132" s="25">
        <f>IF(J132="","",IF(ISNUMBER(J132),J132-TODAY(),"Check date"))</f>
        <v/>
      </c>
      <c r="N132" s="26">
        <f>IF(M132="","",IF(ISNUMBER(M132),IF(M132&lt;0,"Expired",IF(M132&lt;=30,"Due ≤30 days",IF(M132&lt;=90,"Due ≤90 days","OK"))),"Check date"))</f>
        <v/>
      </c>
      <c r="O132" s="27" t="n"/>
      <c r="P132" s="21" t="n"/>
      <c r="Q132" s="21" t="n"/>
      <c r="R132" s="21" t="n"/>
    </row>
    <row r="133">
      <c r="A133" s="21" t="n"/>
      <c r="B133" s="21" t="n"/>
      <c r="C133" s="21" t="n"/>
      <c r="D133" s="21" t="n"/>
      <c r="E133" s="21" t="n"/>
      <c r="F133" s="21" t="n"/>
      <c r="G133" s="21" t="n"/>
      <c r="H133" s="21" t="n"/>
      <c r="I133" s="22" t="n"/>
      <c r="J133" s="22" t="n"/>
      <c r="K133" s="23" t="n"/>
      <c r="L133" s="24">
        <f>IF(ISNUMBER(J133),J133-IF(ISNUMBER(K133),K133,30),"")</f>
        <v/>
      </c>
      <c r="M133" s="25">
        <f>IF(J133="","",IF(ISNUMBER(J133),J133-TODAY(),"Check date"))</f>
        <v/>
      </c>
      <c r="N133" s="26">
        <f>IF(M133="","",IF(ISNUMBER(M133),IF(M133&lt;0,"Expired",IF(M133&lt;=30,"Due ≤30 days",IF(M133&lt;=90,"Due ≤90 days","OK"))),"Check date"))</f>
        <v/>
      </c>
      <c r="O133" s="27" t="n"/>
      <c r="P133" s="21" t="n"/>
      <c r="Q133" s="21" t="n"/>
      <c r="R133" s="21" t="n"/>
    </row>
    <row r="134">
      <c r="A134" s="21" t="n"/>
      <c r="B134" s="21" t="n"/>
      <c r="C134" s="21" t="n"/>
      <c r="D134" s="21" t="n"/>
      <c r="E134" s="21" t="n"/>
      <c r="F134" s="21" t="n"/>
      <c r="G134" s="21" t="n"/>
      <c r="H134" s="21" t="n"/>
      <c r="I134" s="22" t="n"/>
      <c r="J134" s="22" t="n"/>
      <c r="K134" s="23" t="n"/>
      <c r="L134" s="24">
        <f>IF(ISNUMBER(J134),J134-IF(ISNUMBER(K134),K134,30),"")</f>
        <v/>
      </c>
      <c r="M134" s="25">
        <f>IF(J134="","",IF(ISNUMBER(J134),J134-TODAY(),"Check date"))</f>
        <v/>
      </c>
      <c r="N134" s="26">
        <f>IF(M134="","",IF(ISNUMBER(M134),IF(M134&lt;0,"Expired",IF(M134&lt;=30,"Due ≤30 days",IF(M134&lt;=90,"Due ≤90 days","OK"))),"Check date"))</f>
        <v/>
      </c>
      <c r="O134" s="27" t="n"/>
      <c r="P134" s="21" t="n"/>
      <c r="Q134" s="21" t="n"/>
      <c r="R134" s="21" t="n"/>
    </row>
    <row r="135">
      <c r="A135" s="21" t="n"/>
      <c r="B135" s="21" t="n"/>
      <c r="C135" s="21" t="n"/>
      <c r="D135" s="21" t="n"/>
      <c r="E135" s="21" t="n"/>
      <c r="F135" s="21" t="n"/>
      <c r="G135" s="21" t="n"/>
      <c r="H135" s="21" t="n"/>
      <c r="I135" s="22" t="n"/>
      <c r="J135" s="22" t="n"/>
      <c r="K135" s="23" t="n"/>
      <c r="L135" s="24">
        <f>IF(ISNUMBER(J135),J135-IF(ISNUMBER(K135),K135,30),"")</f>
        <v/>
      </c>
      <c r="M135" s="25">
        <f>IF(J135="","",IF(ISNUMBER(J135),J135-TODAY(),"Check date"))</f>
        <v/>
      </c>
      <c r="N135" s="26">
        <f>IF(M135="","",IF(ISNUMBER(M135),IF(M135&lt;0,"Expired",IF(M135&lt;=30,"Due ≤30 days",IF(M135&lt;=90,"Due ≤90 days","OK"))),"Check date"))</f>
        <v/>
      </c>
      <c r="O135" s="27" t="n"/>
      <c r="P135" s="21" t="n"/>
      <c r="Q135" s="21" t="n"/>
      <c r="R135" s="21" t="n"/>
    </row>
    <row r="136">
      <c r="A136" s="21" t="n"/>
      <c r="B136" s="21" t="n"/>
      <c r="C136" s="21" t="n"/>
      <c r="D136" s="21" t="n"/>
      <c r="E136" s="21" t="n"/>
      <c r="F136" s="21" t="n"/>
      <c r="G136" s="21" t="n"/>
      <c r="H136" s="21" t="n"/>
      <c r="I136" s="22" t="n"/>
      <c r="J136" s="22" t="n"/>
      <c r="K136" s="23" t="n"/>
      <c r="L136" s="24">
        <f>IF(ISNUMBER(J136),J136-IF(ISNUMBER(K136),K136,30),"")</f>
        <v/>
      </c>
      <c r="M136" s="25">
        <f>IF(J136="","",IF(ISNUMBER(J136),J136-TODAY(),"Check date"))</f>
        <v/>
      </c>
      <c r="N136" s="26">
        <f>IF(M136="","",IF(ISNUMBER(M136),IF(M136&lt;0,"Expired",IF(M136&lt;=30,"Due ≤30 days",IF(M136&lt;=90,"Due ≤90 days","OK"))),"Check date"))</f>
        <v/>
      </c>
      <c r="O136" s="27" t="n"/>
      <c r="P136" s="21" t="n"/>
      <c r="Q136" s="21" t="n"/>
      <c r="R136" s="21" t="n"/>
    </row>
    <row r="137">
      <c r="A137" s="21" t="n"/>
      <c r="B137" s="21" t="n"/>
      <c r="C137" s="21" t="n"/>
      <c r="D137" s="21" t="n"/>
      <c r="E137" s="21" t="n"/>
      <c r="F137" s="21" t="n"/>
      <c r="G137" s="21" t="n"/>
      <c r="H137" s="21" t="n"/>
      <c r="I137" s="22" t="n"/>
      <c r="J137" s="22" t="n"/>
      <c r="K137" s="23" t="n"/>
      <c r="L137" s="24">
        <f>IF(ISNUMBER(J137),J137-IF(ISNUMBER(K137),K137,30),"")</f>
        <v/>
      </c>
      <c r="M137" s="25">
        <f>IF(J137="","",IF(ISNUMBER(J137),J137-TODAY(),"Check date"))</f>
        <v/>
      </c>
      <c r="N137" s="26">
        <f>IF(M137="","",IF(ISNUMBER(M137),IF(M137&lt;0,"Expired",IF(M137&lt;=30,"Due ≤30 days",IF(M137&lt;=90,"Due ≤90 days","OK"))),"Check date"))</f>
        <v/>
      </c>
      <c r="O137" s="27" t="n"/>
      <c r="P137" s="21" t="n"/>
      <c r="Q137" s="21" t="n"/>
      <c r="R137" s="21" t="n"/>
    </row>
    <row r="138">
      <c r="A138" s="21" t="n"/>
      <c r="B138" s="21" t="n"/>
      <c r="C138" s="21" t="n"/>
      <c r="D138" s="21" t="n"/>
      <c r="E138" s="21" t="n"/>
      <c r="F138" s="21" t="n"/>
      <c r="G138" s="21" t="n"/>
      <c r="H138" s="21" t="n"/>
      <c r="I138" s="22" t="n"/>
      <c r="J138" s="22" t="n"/>
      <c r="K138" s="23" t="n"/>
      <c r="L138" s="24">
        <f>IF(ISNUMBER(J138),J138-IF(ISNUMBER(K138),K138,30),"")</f>
        <v/>
      </c>
      <c r="M138" s="25">
        <f>IF(J138="","",IF(ISNUMBER(J138),J138-TODAY(),"Check date"))</f>
        <v/>
      </c>
      <c r="N138" s="26">
        <f>IF(M138="","",IF(ISNUMBER(M138),IF(M138&lt;0,"Expired",IF(M138&lt;=30,"Due ≤30 days",IF(M138&lt;=90,"Due ≤90 days","OK"))),"Check date"))</f>
        <v/>
      </c>
      <c r="O138" s="27" t="n"/>
      <c r="P138" s="21" t="n"/>
      <c r="Q138" s="21" t="n"/>
      <c r="R138" s="21" t="n"/>
    </row>
    <row r="139">
      <c r="A139" s="21" t="n"/>
      <c r="B139" s="21" t="n"/>
      <c r="C139" s="21" t="n"/>
      <c r="D139" s="21" t="n"/>
      <c r="E139" s="21" t="n"/>
      <c r="F139" s="21" t="n"/>
      <c r="G139" s="21" t="n"/>
      <c r="H139" s="21" t="n"/>
      <c r="I139" s="22" t="n"/>
      <c r="J139" s="22" t="n"/>
      <c r="K139" s="23" t="n"/>
      <c r="L139" s="24">
        <f>IF(ISNUMBER(J139),J139-IF(ISNUMBER(K139),K139,30),"")</f>
        <v/>
      </c>
      <c r="M139" s="25">
        <f>IF(J139="","",IF(ISNUMBER(J139),J139-TODAY(),"Check date"))</f>
        <v/>
      </c>
      <c r="N139" s="26">
        <f>IF(M139="","",IF(ISNUMBER(M139),IF(M139&lt;0,"Expired",IF(M139&lt;=30,"Due ≤30 days",IF(M139&lt;=90,"Due ≤90 days","OK"))),"Check date"))</f>
        <v/>
      </c>
      <c r="O139" s="27" t="n"/>
      <c r="P139" s="21" t="n"/>
      <c r="Q139" s="21" t="n"/>
      <c r="R139" s="21" t="n"/>
    </row>
    <row r="140">
      <c r="A140" s="21" t="n"/>
      <c r="B140" s="21" t="n"/>
      <c r="C140" s="21" t="n"/>
      <c r="D140" s="21" t="n"/>
      <c r="E140" s="21" t="n"/>
      <c r="F140" s="21" t="n"/>
      <c r="G140" s="21" t="n"/>
      <c r="H140" s="21" t="n"/>
      <c r="I140" s="22" t="n"/>
      <c r="J140" s="22" t="n"/>
      <c r="K140" s="23" t="n"/>
      <c r="L140" s="24">
        <f>IF(ISNUMBER(J140),J140-IF(ISNUMBER(K140),K140,30),"")</f>
        <v/>
      </c>
      <c r="M140" s="25">
        <f>IF(J140="","",IF(ISNUMBER(J140),J140-TODAY(),"Check date"))</f>
        <v/>
      </c>
      <c r="N140" s="26">
        <f>IF(M140="","",IF(ISNUMBER(M140),IF(M140&lt;0,"Expired",IF(M140&lt;=30,"Due ≤30 days",IF(M140&lt;=90,"Due ≤90 days","OK"))),"Check date"))</f>
        <v/>
      </c>
      <c r="O140" s="27" t="n"/>
      <c r="P140" s="21" t="n"/>
      <c r="Q140" s="21" t="n"/>
      <c r="R140" s="21" t="n"/>
    </row>
    <row r="141">
      <c r="A141" s="21" t="n"/>
      <c r="B141" s="21" t="n"/>
      <c r="C141" s="21" t="n"/>
      <c r="D141" s="21" t="n"/>
      <c r="E141" s="21" t="n"/>
      <c r="F141" s="21" t="n"/>
      <c r="G141" s="21" t="n"/>
      <c r="H141" s="21" t="n"/>
      <c r="I141" s="22" t="n"/>
      <c r="J141" s="22" t="n"/>
      <c r="K141" s="23" t="n"/>
      <c r="L141" s="24">
        <f>IF(ISNUMBER(J141),J141-IF(ISNUMBER(K141),K141,30),"")</f>
        <v/>
      </c>
      <c r="M141" s="25">
        <f>IF(J141="","",IF(ISNUMBER(J141),J141-TODAY(),"Check date"))</f>
        <v/>
      </c>
      <c r="N141" s="26">
        <f>IF(M141="","",IF(ISNUMBER(M141),IF(M141&lt;0,"Expired",IF(M141&lt;=30,"Due ≤30 days",IF(M141&lt;=90,"Due ≤90 days","OK"))),"Check date"))</f>
        <v/>
      </c>
      <c r="O141" s="27" t="n"/>
      <c r="P141" s="21" t="n"/>
      <c r="Q141" s="21" t="n"/>
      <c r="R141" s="21" t="n"/>
    </row>
    <row r="142">
      <c r="A142" s="21" t="n"/>
      <c r="B142" s="21" t="n"/>
      <c r="C142" s="21" t="n"/>
      <c r="D142" s="21" t="n"/>
      <c r="E142" s="21" t="n"/>
      <c r="F142" s="21" t="n"/>
      <c r="G142" s="21" t="n"/>
      <c r="H142" s="21" t="n"/>
      <c r="I142" s="22" t="n"/>
      <c r="J142" s="22" t="n"/>
      <c r="K142" s="23" t="n"/>
      <c r="L142" s="24">
        <f>IF(ISNUMBER(J142),J142-IF(ISNUMBER(K142),K142,30),"")</f>
        <v/>
      </c>
      <c r="M142" s="25">
        <f>IF(J142="","",IF(ISNUMBER(J142),J142-TODAY(),"Check date"))</f>
        <v/>
      </c>
      <c r="N142" s="26">
        <f>IF(M142="","",IF(ISNUMBER(M142),IF(M142&lt;0,"Expired",IF(M142&lt;=30,"Due ≤30 days",IF(M142&lt;=90,"Due ≤90 days","OK"))),"Check date"))</f>
        <v/>
      </c>
      <c r="O142" s="27" t="n"/>
      <c r="P142" s="21" t="n"/>
      <c r="Q142" s="21" t="n"/>
      <c r="R142" s="21" t="n"/>
    </row>
    <row r="143">
      <c r="A143" s="21" t="n"/>
      <c r="B143" s="21" t="n"/>
      <c r="C143" s="21" t="n"/>
      <c r="D143" s="21" t="n"/>
      <c r="E143" s="21" t="n"/>
      <c r="F143" s="21" t="n"/>
      <c r="G143" s="21" t="n"/>
      <c r="H143" s="21" t="n"/>
      <c r="I143" s="22" t="n"/>
      <c r="J143" s="22" t="n"/>
      <c r="K143" s="23" t="n"/>
      <c r="L143" s="24">
        <f>IF(ISNUMBER(J143),J143-IF(ISNUMBER(K143),K143,30),"")</f>
        <v/>
      </c>
      <c r="M143" s="25">
        <f>IF(J143="","",IF(ISNUMBER(J143),J143-TODAY(),"Check date"))</f>
        <v/>
      </c>
      <c r="N143" s="26">
        <f>IF(M143="","",IF(ISNUMBER(M143),IF(M143&lt;0,"Expired",IF(M143&lt;=30,"Due ≤30 days",IF(M143&lt;=90,"Due ≤90 days","OK"))),"Check date"))</f>
        <v/>
      </c>
      <c r="O143" s="27" t="n"/>
      <c r="P143" s="21" t="n"/>
      <c r="Q143" s="21" t="n"/>
      <c r="R143" s="21" t="n"/>
    </row>
    <row r="144">
      <c r="A144" s="21" t="n"/>
      <c r="B144" s="21" t="n"/>
      <c r="C144" s="21" t="n"/>
      <c r="D144" s="21" t="n"/>
      <c r="E144" s="21" t="n"/>
      <c r="F144" s="21" t="n"/>
      <c r="G144" s="21" t="n"/>
      <c r="H144" s="21" t="n"/>
      <c r="I144" s="22" t="n"/>
      <c r="J144" s="22" t="n"/>
      <c r="K144" s="23" t="n"/>
      <c r="L144" s="24">
        <f>IF(ISNUMBER(J144),J144-IF(ISNUMBER(K144),K144,30),"")</f>
        <v/>
      </c>
      <c r="M144" s="25">
        <f>IF(J144="","",IF(ISNUMBER(J144),J144-TODAY(),"Check date"))</f>
        <v/>
      </c>
      <c r="N144" s="26">
        <f>IF(M144="","",IF(ISNUMBER(M144),IF(M144&lt;0,"Expired",IF(M144&lt;=30,"Due ≤30 days",IF(M144&lt;=90,"Due ≤90 days","OK"))),"Check date"))</f>
        <v/>
      </c>
      <c r="O144" s="27" t="n"/>
      <c r="P144" s="21" t="n"/>
      <c r="Q144" s="21" t="n"/>
      <c r="R144" s="21" t="n"/>
    </row>
    <row r="145">
      <c r="A145" s="21" t="n"/>
      <c r="B145" s="21" t="n"/>
      <c r="C145" s="21" t="n"/>
      <c r="D145" s="21" t="n"/>
      <c r="E145" s="21" t="n"/>
      <c r="F145" s="21" t="n"/>
      <c r="G145" s="21" t="n"/>
      <c r="H145" s="21" t="n"/>
      <c r="I145" s="22" t="n"/>
      <c r="J145" s="22" t="n"/>
      <c r="K145" s="23" t="n"/>
      <c r="L145" s="24">
        <f>IF(ISNUMBER(J145),J145-IF(ISNUMBER(K145),K145,30),"")</f>
        <v/>
      </c>
      <c r="M145" s="25">
        <f>IF(J145="","",IF(ISNUMBER(J145),J145-TODAY(),"Check date"))</f>
        <v/>
      </c>
      <c r="N145" s="26">
        <f>IF(M145="","",IF(ISNUMBER(M145),IF(M145&lt;0,"Expired",IF(M145&lt;=30,"Due ≤30 days",IF(M145&lt;=90,"Due ≤90 days","OK"))),"Check date"))</f>
        <v/>
      </c>
      <c r="O145" s="27" t="n"/>
      <c r="P145" s="21" t="n"/>
      <c r="Q145" s="21" t="n"/>
      <c r="R145" s="21" t="n"/>
    </row>
    <row r="146">
      <c r="A146" s="21" t="n"/>
      <c r="B146" s="21" t="n"/>
      <c r="C146" s="21" t="n"/>
      <c r="D146" s="21" t="n"/>
      <c r="E146" s="21" t="n"/>
      <c r="F146" s="21" t="n"/>
      <c r="G146" s="21" t="n"/>
      <c r="H146" s="21" t="n"/>
      <c r="I146" s="22" t="n"/>
      <c r="J146" s="22" t="n"/>
      <c r="K146" s="23" t="n"/>
      <c r="L146" s="24">
        <f>IF(ISNUMBER(J146),J146-IF(ISNUMBER(K146),K146,30),"")</f>
        <v/>
      </c>
      <c r="M146" s="25">
        <f>IF(J146="","",IF(ISNUMBER(J146),J146-TODAY(),"Check date"))</f>
        <v/>
      </c>
      <c r="N146" s="26">
        <f>IF(M146="","",IF(ISNUMBER(M146),IF(M146&lt;0,"Expired",IF(M146&lt;=30,"Due ≤30 days",IF(M146&lt;=90,"Due ≤90 days","OK"))),"Check date"))</f>
        <v/>
      </c>
      <c r="O146" s="27" t="n"/>
      <c r="P146" s="21" t="n"/>
      <c r="Q146" s="21" t="n"/>
      <c r="R146" s="21" t="n"/>
    </row>
    <row r="147">
      <c r="A147" s="21" t="n"/>
      <c r="B147" s="21" t="n"/>
      <c r="C147" s="21" t="n"/>
      <c r="D147" s="21" t="n"/>
      <c r="E147" s="21" t="n"/>
      <c r="F147" s="21" t="n"/>
      <c r="G147" s="21" t="n"/>
      <c r="H147" s="21" t="n"/>
      <c r="I147" s="22" t="n"/>
      <c r="J147" s="22" t="n"/>
      <c r="K147" s="23" t="n"/>
      <c r="L147" s="24">
        <f>IF(ISNUMBER(J147),J147-IF(ISNUMBER(K147),K147,30),"")</f>
        <v/>
      </c>
      <c r="M147" s="25">
        <f>IF(J147="","",IF(ISNUMBER(J147),J147-TODAY(),"Check date"))</f>
        <v/>
      </c>
      <c r="N147" s="26">
        <f>IF(M147="","",IF(ISNUMBER(M147),IF(M147&lt;0,"Expired",IF(M147&lt;=30,"Due ≤30 days",IF(M147&lt;=90,"Due ≤90 days","OK"))),"Check date"))</f>
        <v/>
      </c>
      <c r="O147" s="27" t="n"/>
      <c r="P147" s="21" t="n"/>
      <c r="Q147" s="21" t="n"/>
      <c r="R147" s="21" t="n"/>
    </row>
    <row r="148">
      <c r="A148" s="21" t="n"/>
      <c r="B148" s="21" t="n"/>
      <c r="C148" s="21" t="n"/>
      <c r="D148" s="21" t="n"/>
      <c r="E148" s="21" t="n"/>
      <c r="F148" s="21" t="n"/>
      <c r="G148" s="21" t="n"/>
      <c r="H148" s="21" t="n"/>
      <c r="I148" s="22" t="n"/>
      <c r="J148" s="22" t="n"/>
      <c r="K148" s="23" t="n"/>
      <c r="L148" s="24">
        <f>IF(ISNUMBER(J148),J148-IF(ISNUMBER(K148),K148,30),"")</f>
        <v/>
      </c>
      <c r="M148" s="25">
        <f>IF(J148="","",IF(ISNUMBER(J148),J148-TODAY(),"Check date"))</f>
        <v/>
      </c>
      <c r="N148" s="26">
        <f>IF(M148="","",IF(ISNUMBER(M148),IF(M148&lt;0,"Expired",IF(M148&lt;=30,"Due ≤30 days",IF(M148&lt;=90,"Due ≤90 days","OK"))),"Check date"))</f>
        <v/>
      </c>
      <c r="O148" s="27" t="n"/>
      <c r="P148" s="21" t="n"/>
      <c r="Q148" s="21" t="n"/>
      <c r="R148" s="21" t="n"/>
    </row>
    <row r="149">
      <c r="A149" s="21" t="n"/>
      <c r="B149" s="21" t="n"/>
      <c r="C149" s="21" t="n"/>
      <c r="D149" s="21" t="n"/>
      <c r="E149" s="21" t="n"/>
      <c r="F149" s="21" t="n"/>
      <c r="G149" s="21" t="n"/>
      <c r="H149" s="21" t="n"/>
      <c r="I149" s="22" t="n"/>
      <c r="J149" s="22" t="n"/>
      <c r="K149" s="23" t="n"/>
      <c r="L149" s="24">
        <f>IF(ISNUMBER(J149),J149-IF(ISNUMBER(K149),K149,30),"")</f>
        <v/>
      </c>
      <c r="M149" s="25">
        <f>IF(J149="","",IF(ISNUMBER(J149),J149-TODAY(),"Check date"))</f>
        <v/>
      </c>
      <c r="N149" s="26">
        <f>IF(M149="","",IF(ISNUMBER(M149),IF(M149&lt;0,"Expired",IF(M149&lt;=30,"Due ≤30 days",IF(M149&lt;=90,"Due ≤90 days","OK"))),"Check date"))</f>
        <v/>
      </c>
      <c r="O149" s="27" t="n"/>
      <c r="P149" s="21" t="n"/>
      <c r="Q149" s="21" t="n"/>
      <c r="R149" s="21" t="n"/>
    </row>
    <row r="150">
      <c r="A150" s="21" t="n"/>
      <c r="B150" s="21" t="n"/>
      <c r="C150" s="21" t="n"/>
      <c r="D150" s="21" t="n"/>
      <c r="E150" s="21" t="n"/>
      <c r="F150" s="21" t="n"/>
      <c r="G150" s="21" t="n"/>
      <c r="H150" s="21" t="n"/>
      <c r="I150" s="22" t="n"/>
      <c r="J150" s="22" t="n"/>
      <c r="K150" s="23" t="n"/>
      <c r="L150" s="24">
        <f>IF(ISNUMBER(J150),J150-IF(ISNUMBER(K150),K150,30),"")</f>
        <v/>
      </c>
      <c r="M150" s="25">
        <f>IF(J150="","",IF(ISNUMBER(J150),J150-TODAY(),"Check date"))</f>
        <v/>
      </c>
      <c r="N150" s="26">
        <f>IF(M150="","",IF(ISNUMBER(M150),IF(M150&lt;0,"Expired",IF(M150&lt;=30,"Due ≤30 days",IF(M150&lt;=90,"Due ≤90 days","OK"))),"Check date"))</f>
        <v/>
      </c>
      <c r="O150" s="27" t="n"/>
      <c r="P150" s="21" t="n"/>
      <c r="Q150" s="21" t="n"/>
      <c r="R150" s="21" t="n"/>
    </row>
    <row r="151">
      <c r="A151" s="21" t="n"/>
      <c r="B151" s="21" t="n"/>
      <c r="C151" s="21" t="n"/>
      <c r="D151" s="21" t="n"/>
      <c r="E151" s="21" t="n"/>
      <c r="F151" s="21" t="n"/>
      <c r="G151" s="21" t="n"/>
      <c r="H151" s="21" t="n"/>
      <c r="I151" s="22" t="n"/>
      <c r="J151" s="22" t="n"/>
      <c r="K151" s="23" t="n"/>
      <c r="L151" s="24">
        <f>IF(ISNUMBER(J151),J151-IF(ISNUMBER(K151),K151,30),"")</f>
        <v/>
      </c>
      <c r="M151" s="25">
        <f>IF(J151="","",IF(ISNUMBER(J151),J151-TODAY(),"Check date"))</f>
        <v/>
      </c>
      <c r="N151" s="26">
        <f>IF(M151="","",IF(ISNUMBER(M151),IF(M151&lt;0,"Expired",IF(M151&lt;=30,"Due ≤30 days",IF(M151&lt;=90,"Due ≤90 days","OK"))),"Check date"))</f>
        <v/>
      </c>
      <c r="O151" s="27" t="n"/>
      <c r="P151" s="21" t="n"/>
      <c r="Q151" s="21" t="n"/>
      <c r="R151" s="21" t="n"/>
    </row>
    <row r="152">
      <c r="A152" s="21" t="n"/>
      <c r="B152" s="21" t="n"/>
      <c r="C152" s="21" t="n"/>
      <c r="D152" s="21" t="n"/>
      <c r="E152" s="21" t="n"/>
      <c r="F152" s="21" t="n"/>
      <c r="G152" s="21" t="n"/>
      <c r="H152" s="21" t="n"/>
      <c r="I152" s="22" t="n"/>
      <c r="J152" s="22" t="n"/>
      <c r="K152" s="23" t="n"/>
      <c r="L152" s="24">
        <f>IF(ISNUMBER(J152),J152-IF(ISNUMBER(K152),K152,30),"")</f>
        <v/>
      </c>
      <c r="M152" s="25">
        <f>IF(J152="","",IF(ISNUMBER(J152),J152-TODAY(),"Check date"))</f>
        <v/>
      </c>
      <c r="N152" s="26">
        <f>IF(M152="","",IF(ISNUMBER(M152),IF(M152&lt;0,"Expired",IF(M152&lt;=30,"Due ≤30 days",IF(M152&lt;=90,"Due ≤90 days","OK"))),"Check date"))</f>
        <v/>
      </c>
      <c r="O152" s="27" t="n"/>
      <c r="P152" s="21" t="n"/>
      <c r="Q152" s="21" t="n"/>
      <c r="R152" s="21" t="n"/>
    </row>
    <row r="153">
      <c r="A153" s="21" t="n"/>
      <c r="B153" s="21" t="n"/>
      <c r="C153" s="21" t="n"/>
      <c r="D153" s="21" t="n"/>
      <c r="E153" s="21" t="n"/>
      <c r="F153" s="21" t="n"/>
      <c r="G153" s="21" t="n"/>
      <c r="H153" s="21" t="n"/>
      <c r="I153" s="22" t="n"/>
      <c r="J153" s="22" t="n"/>
      <c r="K153" s="23" t="n"/>
      <c r="L153" s="24">
        <f>IF(ISNUMBER(J153),J153-IF(ISNUMBER(K153),K153,30),"")</f>
        <v/>
      </c>
      <c r="M153" s="25">
        <f>IF(J153="","",IF(ISNUMBER(J153),J153-TODAY(),"Check date"))</f>
        <v/>
      </c>
      <c r="N153" s="26">
        <f>IF(M153="","",IF(ISNUMBER(M153),IF(M153&lt;0,"Expired",IF(M153&lt;=30,"Due ≤30 days",IF(M153&lt;=90,"Due ≤90 days","OK"))),"Check date"))</f>
        <v/>
      </c>
      <c r="O153" s="27" t="n"/>
      <c r="P153" s="21" t="n"/>
      <c r="Q153" s="21" t="n"/>
      <c r="R153" s="21" t="n"/>
    </row>
    <row r="154">
      <c r="A154" s="21" t="n"/>
      <c r="B154" s="21" t="n"/>
      <c r="C154" s="21" t="n"/>
      <c r="D154" s="21" t="n"/>
      <c r="E154" s="21" t="n"/>
      <c r="F154" s="21" t="n"/>
      <c r="G154" s="21" t="n"/>
      <c r="H154" s="21" t="n"/>
      <c r="I154" s="22" t="n"/>
      <c r="J154" s="22" t="n"/>
      <c r="K154" s="23" t="n"/>
      <c r="L154" s="24">
        <f>IF(ISNUMBER(J154),J154-IF(ISNUMBER(K154),K154,30),"")</f>
        <v/>
      </c>
      <c r="M154" s="25">
        <f>IF(J154="","",IF(ISNUMBER(J154),J154-TODAY(),"Check date"))</f>
        <v/>
      </c>
      <c r="N154" s="26">
        <f>IF(M154="","",IF(ISNUMBER(M154),IF(M154&lt;0,"Expired",IF(M154&lt;=30,"Due ≤30 days",IF(M154&lt;=90,"Due ≤90 days","OK"))),"Check date"))</f>
        <v/>
      </c>
      <c r="O154" s="27" t="n"/>
      <c r="P154" s="21" t="n"/>
      <c r="Q154" s="21" t="n"/>
      <c r="R154" s="21" t="n"/>
    </row>
    <row r="155">
      <c r="A155" s="21" t="n"/>
      <c r="B155" s="21" t="n"/>
      <c r="C155" s="21" t="n"/>
      <c r="D155" s="21" t="n"/>
      <c r="E155" s="21" t="n"/>
      <c r="F155" s="21" t="n"/>
      <c r="G155" s="21" t="n"/>
      <c r="H155" s="21" t="n"/>
      <c r="I155" s="22" t="n"/>
      <c r="J155" s="22" t="n"/>
      <c r="K155" s="23" t="n"/>
      <c r="L155" s="24">
        <f>IF(ISNUMBER(J155),J155-IF(ISNUMBER(K155),K155,30),"")</f>
        <v/>
      </c>
      <c r="M155" s="25">
        <f>IF(J155="","",IF(ISNUMBER(J155),J155-TODAY(),"Check date"))</f>
        <v/>
      </c>
      <c r="N155" s="26">
        <f>IF(M155="","",IF(ISNUMBER(M155),IF(M155&lt;0,"Expired",IF(M155&lt;=30,"Due ≤30 days",IF(M155&lt;=90,"Due ≤90 days","OK"))),"Check date"))</f>
        <v/>
      </c>
      <c r="O155" s="27" t="n"/>
      <c r="P155" s="21" t="n"/>
      <c r="Q155" s="21" t="n"/>
      <c r="R155" s="21" t="n"/>
    </row>
    <row r="156">
      <c r="A156" s="21" t="n"/>
      <c r="B156" s="21" t="n"/>
      <c r="C156" s="21" t="n"/>
      <c r="D156" s="21" t="n"/>
      <c r="E156" s="21" t="n"/>
      <c r="F156" s="21" t="n"/>
      <c r="G156" s="21" t="n"/>
      <c r="H156" s="21" t="n"/>
      <c r="I156" s="22" t="n"/>
      <c r="J156" s="22" t="n"/>
      <c r="K156" s="23" t="n"/>
      <c r="L156" s="24">
        <f>IF(ISNUMBER(J156),J156-IF(ISNUMBER(K156),K156,30),"")</f>
        <v/>
      </c>
      <c r="M156" s="25">
        <f>IF(J156="","",IF(ISNUMBER(J156),J156-TODAY(),"Check date"))</f>
        <v/>
      </c>
      <c r="N156" s="26">
        <f>IF(M156="","",IF(ISNUMBER(M156),IF(M156&lt;0,"Expired",IF(M156&lt;=30,"Due ≤30 days",IF(M156&lt;=90,"Due ≤90 days","OK"))),"Check date"))</f>
        <v/>
      </c>
      <c r="O156" s="27" t="n"/>
      <c r="P156" s="21" t="n"/>
      <c r="Q156" s="21" t="n"/>
      <c r="R156" s="21" t="n"/>
    </row>
    <row r="157">
      <c r="A157" s="21" t="n"/>
      <c r="B157" s="21" t="n"/>
      <c r="C157" s="21" t="n"/>
      <c r="D157" s="21" t="n"/>
      <c r="E157" s="21" t="n"/>
      <c r="F157" s="21" t="n"/>
      <c r="G157" s="21" t="n"/>
      <c r="H157" s="21" t="n"/>
      <c r="I157" s="22" t="n"/>
      <c r="J157" s="22" t="n"/>
      <c r="K157" s="23" t="n"/>
      <c r="L157" s="24">
        <f>IF(ISNUMBER(J157),J157-IF(ISNUMBER(K157),K157,30),"")</f>
        <v/>
      </c>
      <c r="M157" s="25">
        <f>IF(J157="","",IF(ISNUMBER(J157),J157-TODAY(),"Check date"))</f>
        <v/>
      </c>
      <c r="N157" s="26">
        <f>IF(M157="","",IF(ISNUMBER(M157),IF(M157&lt;0,"Expired",IF(M157&lt;=30,"Due ≤30 days",IF(M157&lt;=90,"Due ≤90 days","OK"))),"Check date"))</f>
        <v/>
      </c>
      <c r="O157" s="27" t="n"/>
      <c r="P157" s="21" t="n"/>
      <c r="Q157" s="21" t="n"/>
      <c r="R157" s="21" t="n"/>
    </row>
    <row r="158">
      <c r="A158" s="21" t="n"/>
      <c r="B158" s="21" t="n"/>
      <c r="C158" s="21" t="n"/>
      <c r="D158" s="21" t="n"/>
      <c r="E158" s="21" t="n"/>
      <c r="F158" s="21" t="n"/>
      <c r="G158" s="21" t="n"/>
      <c r="H158" s="21" t="n"/>
      <c r="I158" s="22" t="n"/>
      <c r="J158" s="22" t="n"/>
      <c r="K158" s="23" t="n"/>
      <c r="L158" s="24">
        <f>IF(ISNUMBER(J158),J158-IF(ISNUMBER(K158),K158,30),"")</f>
        <v/>
      </c>
      <c r="M158" s="25">
        <f>IF(J158="","",IF(ISNUMBER(J158),J158-TODAY(),"Check date"))</f>
        <v/>
      </c>
      <c r="N158" s="26">
        <f>IF(M158="","",IF(ISNUMBER(M158),IF(M158&lt;0,"Expired",IF(M158&lt;=30,"Due ≤30 days",IF(M158&lt;=90,"Due ≤90 days","OK"))),"Check date"))</f>
        <v/>
      </c>
      <c r="O158" s="27" t="n"/>
      <c r="P158" s="21" t="n"/>
      <c r="Q158" s="21" t="n"/>
      <c r="R158" s="21" t="n"/>
    </row>
    <row r="159">
      <c r="A159" s="21" t="n"/>
      <c r="B159" s="21" t="n"/>
      <c r="C159" s="21" t="n"/>
      <c r="D159" s="21" t="n"/>
      <c r="E159" s="21" t="n"/>
      <c r="F159" s="21" t="n"/>
      <c r="G159" s="21" t="n"/>
      <c r="H159" s="21" t="n"/>
      <c r="I159" s="22" t="n"/>
      <c r="J159" s="22" t="n"/>
      <c r="K159" s="23" t="n"/>
      <c r="L159" s="24">
        <f>IF(ISNUMBER(J159),J159-IF(ISNUMBER(K159),K159,30),"")</f>
        <v/>
      </c>
      <c r="M159" s="25">
        <f>IF(J159="","",IF(ISNUMBER(J159),J159-TODAY(),"Check date"))</f>
        <v/>
      </c>
      <c r="N159" s="26">
        <f>IF(M159="","",IF(ISNUMBER(M159),IF(M159&lt;0,"Expired",IF(M159&lt;=30,"Due ≤30 days",IF(M159&lt;=90,"Due ≤90 days","OK"))),"Check date"))</f>
        <v/>
      </c>
      <c r="O159" s="27" t="n"/>
      <c r="P159" s="21" t="n"/>
      <c r="Q159" s="21" t="n"/>
      <c r="R159" s="21" t="n"/>
    </row>
    <row r="160">
      <c r="A160" s="21" t="n"/>
      <c r="B160" s="21" t="n"/>
      <c r="C160" s="21" t="n"/>
      <c r="D160" s="21" t="n"/>
      <c r="E160" s="21" t="n"/>
      <c r="F160" s="21" t="n"/>
      <c r="G160" s="21" t="n"/>
      <c r="H160" s="21" t="n"/>
      <c r="I160" s="22" t="n"/>
      <c r="J160" s="22" t="n"/>
      <c r="K160" s="23" t="n"/>
      <c r="L160" s="24">
        <f>IF(ISNUMBER(J160),J160-IF(ISNUMBER(K160),K160,30),"")</f>
        <v/>
      </c>
      <c r="M160" s="25">
        <f>IF(J160="","",IF(ISNUMBER(J160),J160-TODAY(),"Check date"))</f>
        <v/>
      </c>
      <c r="N160" s="26">
        <f>IF(M160="","",IF(ISNUMBER(M160),IF(M160&lt;0,"Expired",IF(M160&lt;=30,"Due ≤30 days",IF(M160&lt;=90,"Due ≤90 days","OK"))),"Check date"))</f>
        <v/>
      </c>
      <c r="O160" s="27" t="n"/>
      <c r="P160" s="21" t="n"/>
      <c r="Q160" s="21" t="n"/>
      <c r="R160" s="21" t="n"/>
    </row>
    <row r="161">
      <c r="A161" s="21" t="n"/>
      <c r="B161" s="21" t="n"/>
      <c r="C161" s="21" t="n"/>
      <c r="D161" s="21" t="n"/>
      <c r="E161" s="21" t="n"/>
      <c r="F161" s="21" t="n"/>
      <c r="G161" s="21" t="n"/>
      <c r="H161" s="21" t="n"/>
      <c r="I161" s="22" t="n"/>
      <c r="J161" s="22" t="n"/>
      <c r="K161" s="23" t="n"/>
      <c r="L161" s="24">
        <f>IF(ISNUMBER(J161),J161-IF(ISNUMBER(K161),K161,30),"")</f>
        <v/>
      </c>
      <c r="M161" s="25">
        <f>IF(J161="","",IF(ISNUMBER(J161),J161-TODAY(),"Check date"))</f>
        <v/>
      </c>
      <c r="N161" s="26">
        <f>IF(M161="","",IF(ISNUMBER(M161),IF(M161&lt;0,"Expired",IF(M161&lt;=30,"Due ≤30 days",IF(M161&lt;=90,"Due ≤90 days","OK"))),"Check date"))</f>
        <v/>
      </c>
      <c r="O161" s="27" t="n"/>
      <c r="P161" s="21" t="n"/>
      <c r="Q161" s="21" t="n"/>
      <c r="R161" s="21" t="n"/>
    </row>
    <row r="162">
      <c r="A162" s="21" t="n"/>
      <c r="B162" s="21" t="n"/>
      <c r="C162" s="21" t="n"/>
      <c r="D162" s="21" t="n"/>
      <c r="E162" s="21" t="n"/>
      <c r="F162" s="21" t="n"/>
      <c r="G162" s="21" t="n"/>
      <c r="H162" s="21" t="n"/>
      <c r="I162" s="22" t="n"/>
      <c r="J162" s="22" t="n"/>
      <c r="K162" s="23" t="n"/>
      <c r="L162" s="24">
        <f>IF(ISNUMBER(J162),J162-IF(ISNUMBER(K162),K162,30),"")</f>
        <v/>
      </c>
      <c r="M162" s="25">
        <f>IF(J162="","",IF(ISNUMBER(J162),J162-TODAY(),"Check date"))</f>
        <v/>
      </c>
      <c r="N162" s="26">
        <f>IF(M162="","",IF(ISNUMBER(M162),IF(M162&lt;0,"Expired",IF(M162&lt;=30,"Due ≤30 days",IF(M162&lt;=90,"Due ≤90 days","OK"))),"Check date"))</f>
        <v/>
      </c>
      <c r="O162" s="27" t="n"/>
      <c r="P162" s="21" t="n"/>
      <c r="Q162" s="21" t="n"/>
      <c r="R162" s="21" t="n"/>
    </row>
    <row r="163">
      <c r="A163" s="21" t="n"/>
      <c r="B163" s="21" t="n"/>
      <c r="C163" s="21" t="n"/>
      <c r="D163" s="21" t="n"/>
      <c r="E163" s="21" t="n"/>
      <c r="F163" s="21" t="n"/>
      <c r="G163" s="21" t="n"/>
      <c r="H163" s="21" t="n"/>
      <c r="I163" s="22" t="n"/>
      <c r="J163" s="22" t="n"/>
      <c r="K163" s="23" t="n"/>
      <c r="L163" s="24">
        <f>IF(ISNUMBER(J163),J163-IF(ISNUMBER(K163),K163,30),"")</f>
        <v/>
      </c>
      <c r="M163" s="25">
        <f>IF(J163="","",IF(ISNUMBER(J163),J163-TODAY(),"Check date"))</f>
        <v/>
      </c>
      <c r="N163" s="26">
        <f>IF(M163="","",IF(ISNUMBER(M163),IF(M163&lt;0,"Expired",IF(M163&lt;=30,"Due ≤30 days",IF(M163&lt;=90,"Due ≤90 days","OK"))),"Check date"))</f>
        <v/>
      </c>
      <c r="O163" s="27" t="n"/>
      <c r="P163" s="21" t="n"/>
      <c r="Q163" s="21" t="n"/>
      <c r="R163" s="21" t="n"/>
    </row>
    <row r="164">
      <c r="A164" s="21" t="n"/>
      <c r="B164" s="21" t="n"/>
      <c r="C164" s="21" t="n"/>
      <c r="D164" s="21" t="n"/>
      <c r="E164" s="21" t="n"/>
      <c r="F164" s="21" t="n"/>
      <c r="G164" s="21" t="n"/>
      <c r="H164" s="21" t="n"/>
      <c r="I164" s="22" t="n"/>
      <c r="J164" s="22" t="n"/>
      <c r="K164" s="23" t="n"/>
      <c r="L164" s="24">
        <f>IF(ISNUMBER(J164),J164-IF(ISNUMBER(K164),K164,30),"")</f>
        <v/>
      </c>
      <c r="M164" s="25">
        <f>IF(J164="","",IF(ISNUMBER(J164),J164-TODAY(),"Check date"))</f>
        <v/>
      </c>
      <c r="N164" s="26">
        <f>IF(M164="","",IF(ISNUMBER(M164),IF(M164&lt;0,"Expired",IF(M164&lt;=30,"Due ≤30 days",IF(M164&lt;=90,"Due ≤90 days","OK"))),"Check date"))</f>
        <v/>
      </c>
      <c r="O164" s="27" t="n"/>
      <c r="P164" s="21" t="n"/>
      <c r="Q164" s="21" t="n"/>
      <c r="R164" s="21" t="n"/>
    </row>
    <row r="165">
      <c r="A165" s="21" t="n"/>
      <c r="B165" s="21" t="n"/>
      <c r="C165" s="21" t="n"/>
      <c r="D165" s="21" t="n"/>
      <c r="E165" s="21" t="n"/>
      <c r="F165" s="21" t="n"/>
      <c r="G165" s="21" t="n"/>
      <c r="H165" s="21" t="n"/>
      <c r="I165" s="22" t="n"/>
      <c r="J165" s="22" t="n"/>
      <c r="K165" s="23" t="n"/>
      <c r="L165" s="24">
        <f>IF(ISNUMBER(J165),J165-IF(ISNUMBER(K165),K165,30),"")</f>
        <v/>
      </c>
      <c r="M165" s="25">
        <f>IF(J165="","",IF(ISNUMBER(J165),J165-TODAY(),"Check date"))</f>
        <v/>
      </c>
      <c r="N165" s="26">
        <f>IF(M165="","",IF(ISNUMBER(M165),IF(M165&lt;0,"Expired",IF(M165&lt;=30,"Due ≤30 days",IF(M165&lt;=90,"Due ≤90 days","OK"))),"Check date"))</f>
        <v/>
      </c>
      <c r="O165" s="27" t="n"/>
      <c r="P165" s="21" t="n"/>
      <c r="Q165" s="21" t="n"/>
      <c r="R165" s="21" t="n"/>
    </row>
    <row r="166">
      <c r="A166" s="21" t="n"/>
      <c r="B166" s="21" t="n"/>
      <c r="C166" s="21" t="n"/>
      <c r="D166" s="21" t="n"/>
      <c r="E166" s="21" t="n"/>
      <c r="F166" s="21" t="n"/>
      <c r="G166" s="21" t="n"/>
      <c r="H166" s="21" t="n"/>
      <c r="I166" s="22" t="n"/>
      <c r="J166" s="22" t="n"/>
      <c r="K166" s="23" t="n"/>
      <c r="L166" s="24">
        <f>IF(ISNUMBER(J166),J166-IF(ISNUMBER(K166),K166,30),"")</f>
        <v/>
      </c>
      <c r="M166" s="25">
        <f>IF(J166="","",IF(ISNUMBER(J166),J166-TODAY(),"Check date"))</f>
        <v/>
      </c>
      <c r="N166" s="26">
        <f>IF(M166="","",IF(ISNUMBER(M166),IF(M166&lt;0,"Expired",IF(M166&lt;=30,"Due ≤30 days",IF(M166&lt;=90,"Due ≤90 days","OK"))),"Check date"))</f>
        <v/>
      </c>
      <c r="O166" s="27" t="n"/>
      <c r="P166" s="21" t="n"/>
      <c r="Q166" s="21" t="n"/>
      <c r="R166" s="21" t="n"/>
    </row>
    <row r="167">
      <c r="A167" s="21" t="n"/>
      <c r="B167" s="21" t="n"/>
      <c r="C167" s="21" t="n"/>
      <c r="D167" s="21" t="n"/>
      <c r="E167" s="21" t="n"/>
      <c r="F167" s="21" t="n"/>
      <c r="G167" s="21" t="n"/>
      <c r="H167" s="21" t="n"/>
      <c r="I167" s="22" t="n"/>
      <c r="J167" s="22" t="n"/>
      <c r="K167" s="23" t="n"/>
      <c r="L167" s="24">
        <f>IF(ISNUMBER(J167),J167-IF(ISNUMBER(K167),K167,30),"")</f>
        <v/>
      </c>
      <c r="M167" s="25">
        <f>IF(J167="","",IF(ISNUMBER(J167),J167-TODAY(),"Check date"))</f>
        <v/>
      </c>
      <c r="N167" s="26">
        <f>IF(M167="","",IF(ISNUMBER(M167),IF(M167&lt;0,"Expired",IF(M167&lt;=30,"Due ≤30 days",IF(M167&lt;=90,"Due ≤90 days","OK"))),"Check date"))</f>
        <v/>
      </c>
      <c r="O167" s="27" t="n"/>
      <c r="P167" s="21" t="n"/>
      <c r="Q167" s="21" t="n"/>
      <c r="R167" s="21" t="n"/>
    </row>
    <row r="168">
      <c r="A168" s="21" t="n"/>
      <c r="B168" s="21" t="n"/>
      <c r="C168" s="21" t="n"/>
      <c r="D168" s="21" t="n"/>
      <c r="E168" s="21" t="n"/>
      <c r="F168" s="21" t="n"/>
      <c r="G168" s="21" t="n"/>
      <c r="H168" s="21" t="n"/>
      <c r="I168" s="22" t="n"/>
      <c r="J168" s="22" t="n"/>
      <c r="K168" s="23" t="n"/>
      <c r="L168" s="24">
        <f>IF(ISNUMBER(J168),J168-IF(ISNUMBER(K168),K168,30),"")</f>
        <v/>
      </c>
      <c r="M168" s="25">
        <f>IF(J168="","",IF(ISNUMBER(J168),J168-TODAY(),"Check date"))</f>
        <v/>
      </c>
      <c r="N168" s="26">
        <f>IF(M168="","",IF(ISNUMBER(M168),IF(M168&lt;0,"Expired",IF(M168&lt;=30,"Due ≤30 days",IF(M168&lt;=90,"Due ≤90 days","OK"))),"Check date"))</f>
        <v/>
      </c>
      <c r="O168" s="27" t="n"/>
      <c r="P168" s="21" t="n"/>
      <c r="Q168" s="21" t="n"/>
      <c r="R168" s="21" t="n"/>
    </row>
    <row r="169">
      <c r="A169" s="21" t="n"/>
      <c r="B169" s="21" t="n"/>
      <c r="C169" s="21" t="n"/>
      <c r="D169" s="21" t="n"/>
      <c r="E169" s="21" t="n"/>
      <c r="F169" s="21" t="n"/>
      <c r="G169" s="21" t="n"/>
      <c r="H169" s="21" t="n"/>
      <c r="I169" s="22" t="n"/>
      <c r="J169" s="22" t="n"/>
      <c r="K169" s="23" t="n"/>
      <c r="L169" s="24">
        <f>IF(ISNUMBER(J169),J169-IF(ISNUMBER(K169),K169,30),"")</f>
        <v/>
      </c>
      <c r="M169" s="25">
        <f>IF(J169="","",IF(ISNUMBER(J169),J169-TODAY(),"Check date"))</f>
        <v/>
      </c>
      <c r="N169" s="26">
        <f>IF(M169="","",IF(ISNUMBER(M169),IF(M169&lt;0,"Expired",IF(M169&lt;=30,"Due ≤30 days",IF(M169&lt;=90,"Due ≤90 days","OK"))),"Check date"))</f>
        <v/>
      </c>
      <c r="O169" s="27" t="n"/>
      <c r="P169" s="21" t="n"/>
      <c r="Q169" s="21" t="n"/>
      <c r="R169" s="21" t="n"/>
    </row>
    <row r="170">
      <c r="A170" s="21" t="n"/>
      <c r="B170" s="21" t="n"/>
      <c r="C170" s="21" t="n"/>
      <c r="D170" s="21" t="n"/>
      <c r="E170" s="21" t="n"/>
      <c r="F170" s="21" t="n"/>
      <c r="G170" s="21" t="n"/>
      <c r="H170" s="21" t="n"/>
      <c r="I170" s="22" t="n"/>
      <c r="J170" s="22" t="n"/>
      <c r="K170" s="23" t="n"/>
      <c r="L170" s="24">
        <f>IF(ISNUMBER(J170),J170-IF(ISNUMBER(K170),K170,30),"")</f>
        <v/>
      </c>
      <c r="M170" s="25">
        <f>IF(J170="","",IF(ISNUMBER(J170),J170-TODAY(),"Check date"))</f>
        <v/>
      </c>
      <c r="N170" s="26">
        <f>IF(M170="","",IF(ISNUMBER(M170),IF(M170&lt;0,"Expired",IF(M170&lt;=30,"Due ≤30 days",IF(M170&lt;=90,"Due ≤90 days","OK"))),"Check date"))</f>
        <v/>
      </c>
      <c r="O170" s="27" t="n"/>
      <c r="P170" s="21" t="n"/>
      <c r="Q170" s="21" t="n"/>
      <c r="R170" s="21" t="n"/>
    </row>
    <row r="171">
      <c r="A171" s="21" t="n"/>
      <c r="B171" s="21" t="n"/>
      <c r="C171" s="21" t="n"/>
      <c r="D171" s="21" t="n"/>
      <c r="E171" s="21" t="n"/>
      <c r="F171" s="21" t="n"/>
      <c r="G171" s="21" t="n"/>
      <c r="H171" s="21" t="n"/>
      <c r="I171" s="22" t="n"/>
      <c r="J171" s="22" t="n"/>
      <c r="K171" s="23" t="n"/>
      <c r="L171" s="24">
        <f>IF(ISNUMBER(J171),J171-IF(ISNUMBER(K171),K171,30),"")</f>
        <v/>
      </c>
      <c r="M171" s="25">
        <f>IF(J171="","",IF(ISNUMBER(J171),J171-TODAY(),"Check date"))</f>
        <v/>
      </c>
      <c r="N171" s="26">
        <f>IF(M171="","",IF(ISNUMBER(M171),IF(M171&lt;0,"Expired",IF(M171&lt;=30,"Due ≤30 days",IF(M171&lt;=90,"Due ≤90 days","OK"))),"Check date"))</f>
        <v/>
      </c>
      <c r="O171" s="27" t="n"/>
      <c r="P171" s="21" t="n"/>
      <c r="Q171" s="21" t="n"/>
      <c r="R171" s="21" t="n"/>
    </row>
    <row r="172">
      <c r="A172" s="21" t="n"/>
      <c r="B172" s="21" t="n"/>
      <c r="C172" s="21" t="n"/>
      <c r="D172" s="21" t="n"/>
      <c r="E172" s="21" t="n"/>
      <c r="F172" s="21" t="n"/>
      <c r="G172" s="21" t="n"/>
      <c r="H172" s="21" t="n"/>
      <c r="I172" s="22" t="n"/>
      <c r="J172" s="22" t="n"/>
      <c r="K172" s="23" t="n"/>
      <c r="L172" s="24">
        <f>IF(ISNUMBER(J172),J172-IF(ISNUMBER(K172),K172,30),"")</f>
        <v/>
      </c>
      <c r="M172" s="25">
        <f>IF(J172="","",IF(ISNUMBER(J172),J172-TODAY(),"Check date"))</f>
        <v/>
      </c>
      <c r="N172" s="26">
        <f>IF(M172="","",IF(ISNUMBER(M172),IF(M172&lt;0,"Expired",IF(M172&lt;=30,"Due ≤30 days",IF(M172&lt;=90,"Due ≤90 days","OK"))),"Check date"))</f>
        <v/>
      </c>
      <c r="O172" s="27" t="n"/>
      <c r="P172" s="21" t="n"/>
      <c r="Q172" s="21" t="n"/>
      <c r="R172" s="21" t="n"/>
    </row>
    <row r="173">
      <c r="A173" s="21" t="n"/>
      <c r="B173" s="21" t="n"/>
      <c r="C173" s="21" t="n"/>
      <c r="D173" s="21" t="n"/>
      <c r="E173" s="21" t="n"/>
      <c r="F173" s="21" t="n"/>
      <c r="G173" s="21" t="n"/>
      <c r="H173" s="21" t="n"/>
      <c r="I173" s="22" t="n"/>
      <c r="J173" s="22" t="n"/>
      <c r="K173" s="23" t="n"/>
      <c r="L173" s="24">
        <f>IF(ISNUMBER(J173),J173-IF(ISNUMBER(K173),K173,30),"")</f>
        <v/>
      </c>
      <c r="M173" s="25">
        <f>IF(J173="","",IF(ISNUMBER(J173),J173-TODAY(),"Check date"))</f>
        <v/>
      </c>
      <c r="N173" s="26">
        <f>IF(M173="","",IF(ISNUMBER(M173),IF(M173&lt;0,"Expired",IF(M173&lt;=30,"Due ≤30 days",IF(M173&lt;=90,"Due ≤90 days","OK"))),"Check date"))</f>
        <v/>
      </c>
      <c r="O173" s="27" t="n"/>
      <c r="P173" s="21" t="n"/>
      <c r="Q173" s="21" t="n"/>
      <c r="R173" s="21" t="n"/>
    </row>
    <row r="174">
      <c r="A174" s="21" t="n"/>
      <c r="B174" s="21" t="n"/>
      <c r="C174" s="21" t="n"/>
      <c r="D174" s="21" t="n"/>
      <c r="E174" s="21" t="n"/>
      <c r="F174" s="21" t="n"/>
      <c r="G174" s="21" t="n"/>
      <c r="H174" s="21" t="n"/>
      <c r="I174" s="22" t="n"/>
      <c r="J174" s="22" t="n"/>
      <c r="K174" s="23" t="n"/>
      <c r="L174" s="24">
        <f>IF(ISNUMBER(J174),J174-IF(ISNUMBER(K174),K174,30),"")</f>
        <v/>
      </c>
      <c r="M174" s="25">
        <f>IF(J174="","",IF(ISNUMBER(J174),J174-TODAY(),"Check date"))</f>
        <v/>
      </c>
      <c r="N174" s="26">
        <f>IF(M174="","",IF(ISNUMBER(M174),IF(M174&lt;0,"Expired",IF(M174&lt;=30,"Due ≤30 days",IF(M174&lt;=90,"Due ≤90 days","OK"))),"Check date"))</f>
        <v/>
      </c>
      <c r="O174" s="27" t="n"/>
      <c r="P174" s="21" t="n"/>
      <c r="Q174" s="21" t="n"/>
      <c r="R174" s="21" t="n"/>
    </row>
    <row r="175">
      <c r="A175" s="21" t="n"/>
      <c r="B175" s="21" t="n"/>
      <c r="C175" s="21" t="n"/>
      <c r="D175" s="21" t="n"/>
      <c r="E175" s="21" t="n"/>
      <c r="F175" s="21" t="n"/>
      <c r="G175" s="21" t="n"/>
      <c r="H175" s="21" t="n"/>
      <c r="I175" s="22" t="n"/>
      <c r="J175" s="22" t="n"/>
      <c r="K175" s="23" t="n"/>
      <c r="L175" s="24">
        <f>IF(ISNUMBER(J175),J175-IF(ISNUMBER(K175),K175,30),"")</f>
        <v/>
      </c>
      <c r="M175" s="25">
        <f>IF(J175="","",IF(ISNUMBER(J175),J175-TODAY(),"Check date"))</f>
        <v/>
      </c>
      <c r="N175" s="26">
        <f>IF(M175="","",IF(ISNUMBER(M175),IF(M175&lt;0,"Expired",IF(M175&lt;=30,"Due ≤30 days",IF(M175&lt;=90,"Due ≤90 days","OK"))),"Check date"))</f>
        <v/>
      </c>
      <c r="O175" s="27" t="n"/>
      <c r="P175" s="21" t="n"/>
      <c r="Q175" s="21" t="n"/>
      <c r="R175" s="21" t="n"/>
    </row>
    <row r="176">
      <c r="A176" s="21" t="n"/>
      <c r="B176" s="21" t="n"/>
      <c r="C176" s="21" t="n"/>
      <c r="D176" s="21" t="n"/>
      <c r="E176" s="21" t="n"/>
      <c r="F176" s="21" t="n"/>
      <c r="G176" s="21" t="n"/>
      <c r="H176" s="21" t="n"/>
      <c r="I176" s="22" t="n"/>
      <c r="J176" s="22" t="n"/>
      <c r="K176" s="23" t="n"/>
      <c r="L176" s="24">
        <f>IF(ISNUMBER(J176),J176-IF(ISNUMBER(K176),K176,30),"")</f>
        <v/>
      </c>
      <c r="M176" s="25">
        <f>IF(J176="","",IF(ISNUMBER(J176),J176-TODAY(),"Check date"))</f>
        <v/>
      </c>
      <c r="N176" s="26">
        <f>IF(M176="","",IF(ISNUMBER(M176),IF(M176&lt;0,"Expired",IF(M176&lt;=30,"Due ≤30 days",IF(M176&lt;=90,"Due ≤90 days","OK"))),"Check date"))</f>
        <v/>
      </c>
      <c r="O176" s="27" t="n"/>
      <c r="P176" s="21" t="n"/>
      <c r="Q176" s="21" t="n"/>
      <c r="R176" s="21" t="n"/>
    </row>
    <row r="177">
      <c r="A177" s="21" t="n"/>
      <c r="B177" s="21" t="n"/>
      <c r="C177" s="21" t="n"/>
      <c r="D177" s="21" t="n"/>
      <c r="E177" s="21" t="n"/>
      <c r="F177" s="21" t="n"/>
      <c r="G177" s="21" t="n"/>
      <c r="H177" s="21" t="n"/>
      <c r="I177" s="22" t="n"/>
      <c r="J177" s="22" t="n"/>
      <c r="K177" s="23" t="n"/>
      <c r="L177" s="24">
        <f>IF(ISNUMBER(J177),J177-IF(ISNUMBER(K177),K177,30),"")</f>
        <v/>
      </c>
      <c r="M177" s="25">
        <f>IF(J177="","",IF(ISNUMBER(J177),J177-TODAY(),"Check date"))</f>
        <v/>
      </c>
      <c r="N177" s="26">
        <f>IF(M177="","",IF(ISNUMBER(M177),IF(M177&lt;0,"Expired",IF(M177&lt;=30,"Due ≤30 days",IF(M177&lt;=90,"Due ≤90 days","OK"))),"Check date"))</f>
        <v/>
      </c>
      <c r="O177" s="27" t="n"/>
      <c r="P177" s="21" t="n"/>
      <c r="Q177" s="21" t="n"/>
      <c r="R177" s="21" t="n"/>
    </row>
    <row r="178">
      <c r="A178" s="21" t="n"/>
      <c r="B178" s="21" t="n"/>
      <c r="C178" s="21" t="n"/>
      <c r="D178" s="21" t="n"/>
      <c r="E178" s="21" t="n"/>
      <c r="F178" s="21" t="n"/>
      <c r="G178" s="21" t="n"/>
      <c r="H178" s="21" t="n"/>
      <c r="I178" s="22" t="n"/>
      <c r="J178" s="22" t="n"/>
      <c r="K178" s="23" t="n"/>
      <c r="L178" s="24">
        <f>IF(ISNUMBER(J178),J178-IF(ISNUMBER(K178),K178,30),"")</f>
        <v/>
      </c>
      <c r="M178" s="25">
        <f>IF(J178="","",IF(ISNUMBER(J178),J178-TODAY(),"Check date"))</f>
        <v/>
      </c>
      <c r="N178" s="26">
        <f>IF(M178="","",IF(ISNUMBER(M178),IF(M178&lt;0,"Expired",IF(M178&lt;=30,"Due ≤30 days",IF(M178&lt;=90,"Due ≤90 days","OK"))),"Check date"))</f>
        <v/>
      </c>
      <c r="O178" s="27" t="n"/>
      <c r="P178" s="21" t="n"/>
      <c r="Q178" s="21" t="n"/>
      <c r="R178" s="21" t="n"/>
    </row>
    <row r="179">
      <c r="A179" s="21" t="n"/>
      <c r="B179" s="21" t="n"/>
      <c r="C179" s="21" t="n"/>
      <c r="D179" s="21" t="n"/>
      <c r="E179" s="21" t="n"/>
      <c r="F179" s="21" t="n"/>
      <c r="G179" s="21" t="n"/>
      <c r="H179" s="21" t="n"/>
      <c r="I179" s="22" t="n"/>
      <c r="J179" s="22" t="n"/>
      <c r="K179" s="23" t="n"/>
      <c r="L179" s="24">
        <f>IF(ISNUMBER(J179),J179-IF(ISNUMBER(K179),K179,30),"")</f>
        <v/>
      </c>
      <c r="M179" s="25">
        <f>IF(J179="","",IF(ISNUMBER(J179),J179-TODAY(),"Check date"))</f>
        <v/>
      </c>
      <c r="N179" s="26">
        <f>IF(M179="","",IF(ISNUMBER(M179),IF(M179&lt;0,"Expired",IF(M179&lt;=30,"Due ≤30 days",IF(M179&lt;=90,"Due ≤90 days","OK"))),"Check date"))</f>
        <v/>
      </c>
      <c r="O179" s="27" t="n"/>
      <c r="P179" s="21" t="n"/>
      <c r="Q179" s="21" t="n"/>
      <c r="R179" s="21" t="n"/>
    </row>
    <row r="180">
      <c r="A180" s="21" t="n"/>
      <c r="B180" s="21" t="n"/>
      <c r="C180" s="21" t="n"/>
      <c r="D180" s="21" t="n"/>
      <c r="E180" s="21" t="n"/>
      <c r="F180" s="21" t="n"/>
      <c r="G180" s="21" t="n"/>
      <c r="H180" s="21" t="n"/>
      <c r="I180" s="22" t="n"/>
      <c r="J180" s="22" t="n"/>
      <c r="K180" s="23" t="n"/>
      <c r="L180" s="24">
        <f>IF(ISNUMBER(J180),J180-IF(ISNUMBER(K180),K180,30),"")</f>
        <v/>
      </c>
      <c r="M180" s="25">
        <f>IF(J180="","",IF(ISNUMBER(J180),J180-TODAY(),"Check date"))</f>
        <v/>
      </c>
      <c r="N180" s="26">
        <f>IF(M180="","",IF(ISNUMBER(M180),IF(M180&lt;0,"Expired",IF(M180&lt;=30,"Due ≤30 days",IF(M180&lt;=90,"Due ≤90 days","OK"))),"Check date"))</f>
        <v/>
      </c>
      <c r="O180" s="27" t="n"/>
      <c r="P180" s="21" t="n"/>
      <c r="Q180" s="21" t="n"/>
      <c r="R180" s="21" t="n"/>
    </row>
    <row r="181">
      <c r="A181" s="21" t="n"/>
      <c r="B181" s="21" t="n"/>
      <c r="C181" s="21" t="n"/>
      <c r="D181" s="21" t="n"/>
      <c r="E181" s="21" t="n"/>
      <c r="F181" s="21" t="n"/>
      <c r="G181" s="21" t="n"/>
      <c r="H181" s="21" t="n"/>
      <c r="I181" s="22" t="n"/>
      <c r="J181" s="22" t="n"/>
      <c r="K181" s="23" t="n"/>
      <c r="L181" s="24">
        <f>IF(ISNUMBER(J181),J181-IF(ISNUMBER(K181),K181,30),"")</f>
        <v/>
      </c>
      <c r="M181" s="25">
        <f>IF(J181="","",IF(ISNUMBER(J181),J181-TODAY(),"Check date"))</f>
        <v/>
      </c>
      <c r="N181" s="26">
        <f>IF(M181="","",IF(ISNUMBER(M181),IF(M181&lt;0,"Expired",IF(M181&lt;=30,"Due ≤30 days",IF(M181&lt;=90,"Due ≤90 days","OK"))),"Check date"))</f>
        <v/>
      </c>
      <c r="O181" s="27" t="n"/>
      <c r="P181" s="21" t="n"/>
      <c r="Q181" s="21" t="n"/>
      <c r="R181" s="21" t="n"/>
    </row>
    <row r="182">
      <c r="A182" s="21" t="n"/>
      <c r="B182" s="21" t="n"/>
      <c r="C182" s="21" t="n"/>
      <c r="D182" s="21" t="n"/>
      <c r="E182" s="21" t="n"/>
      <c r="F182" s="21" t="n"/>
      <c r="G182" s="21" t="n"/>
      <c r="H182" s="21" t="n"/>
      <c r="I182" s="22" t="n"/>
      <c r="J182" s="22" t="n"/>
      <c r="K182" s="23" t="n"/>
      <c r="L182" s="24">
        <f>IF(ISNUMBER(J182),J182-IF(ISNUMBER(K182),K182,30),"")</f>
        <v/>
      </c>
      <c r="M182" s="25">
        <f>IF(J182="","",IF(ISNUMBER(J182),J182-TODAY(),"Check date"))</f>
        <v/>
      </c>
      <c r="N182" s="26">
        <f>IF(M182="","",IF(ISNUMBER(M182),IF(M182&lt;0,"Expired",IF(M182&lt;=30,"Due ≤30 days",IF(M182&lt;=90,"Due ≤90 days","OK"))),"Check date"))</f>
        <v/>
      </c>
      <c r="O182" s="27" t="n"/>
      <c r="P182" s="21" t="n"/>
      <c r="Q182" s="21" t="n"/>
      <c r="R182" s="21" t="n"/>
    </row>
    <row r="183">
      <c r="A183" s="21" t="n"/>
      <c r="B183" s="21" t="n"/>
      <c r="C183" s="21" t="n"/>
      <c r="D183" s="21" t="n"/>
      <c r="E183" s="21" t="n"/>
      <c r="F183" s="21" t="n"/>
      <c r="G183" s="21" t="n"/>
      <c r="H183" s="21" t="n"/>
      <c r="I183" s="22" t="n"/>
      <c r="J183" s="22" t="n"/>
      <c r="K183" s="23" t="n"/>
      <c r="L183" s="24">
        <f>IF(ISNUMBER(J183),J183-IF(ISNUMBER(K183),K183,30),"")</f>
        <v/>
      </c>
      <c r="M183" s="25">
        <f>IF(J183="","",IF(ISNUMBER(J183),J183-TODAY(),"Check date"))</f>
        <v/>
      </c>
      <c r="N183" s="26">
        <f>IF(M183="","",IF(ISNUMBER(M183),IF(M183&lt;0,"Expired",IF(M183&lt;=30,"Due ≤30 days",IF(M183&lt;=90,"Due ≤90 days","OK"))),"Check date"))</f>
        <v/>
      </c>
      <c r="O183" s="27" t="n"/>
      <c r="P183" s="21" t="n"/>
      <c r="Q183" s="21" t="n"/>
      <c r="R183" s="21" t="n"/>
    </row>
    <row r="184">
      <c r="A184" s="21" t="n"/>
      <c r="B184" s="21" t="n"/>
      <c r="C184" s="21" t="n"/>
      <c r="D184" s="21" t="n"/>
      <c r="E184" s="21" t="n"/>
      <c r="F184" s="21" t="n"/>
      <c r="G184" s="21" t="n"/>
      <c r="H184" s="21" t="n"/>
      <c r="I184" s="22" t="n"/>
      <c r="J184" s="22" t="n"/>
      <c r="K184" s="23" t="n"/>
      <c r="L184" s="24">
        <f>IF(ISNUMBER(J184),J184-IF(ISNUMBER(K184),K184,30),"")</f>
        <v/>
      </c>
      <c r="M184" s="25">
        <f>IF(J184="","",IF(ISNUMBER(J184),J184-TODAY(),"Check date"))</f>
        <v/>
      </c>
      <c r="N184" s="26">
        <f>IF(M184="","",IF(ISNUMBER(M184),IF(M184&lt;0,"Expired",IF(M184&lt;=30,"Due ≤30 days",IF(M184&lt;=90,"Due ≤90 days","OK"))),"Check date"))</f>
        <v/>
      </c>
      <c r="O184" s="27" t="n"/>
      <c r="P184" s="21" t="n"/>
      <c r="Q184" s="21" t="n"/>
      <c r="R184" s="21" t="n"/>
    </row>
    <row r="185">
      <c r="A185" s="21" t="n"/>
      <c r="B185" s="21" t="n"/>
      <c r="C185" s="21" t="n"/>
      <c r="D185" s="21" t="n"/>
      <c r="E185" s="21" t="n"/>
      <c r="F185" s="21" t="n"/>
      <c r="G185" s="21" t="n"/>
      <c r="H185" s="21" t="n"/>
      <c r="I185" s="22" t="n"/>
      <c r="J185" s="22" t="n"/>
      <c r="K185" s="23" t="n"/>
      <c r="L185" s="24">
        <f>IF(ISNUMBER(J185),J185-IF(ISNUMBER(K185),K185,30),"")</f>
        <v/>
      </c>
      <c r="M185" s="25">
        <f>IF(J185="","",IF(ISNUMBER(J185),J185-TODAY(),"Check date"))</f>
        <v/>
      </c>
      <c r="N185" s="26">
        <f>IF(M185="","",IF(ISNUMBER(M185),IF(M185&lt;0,"Expired",IF(M185&lt;=30,"Due ≤30 days",IF(M185&lt;=90,"Due ≤90 days","OK"))),"Check date"))</f>
        <v/>
      </c>
      <c r="O185" s="27" t="n"/>
      <c r="P185" s="21" t="n"/>
      <c r="Q185" s="21" t="n"/>
      <c r="R185" s="21" t="n"/>
    </row>
    <row r="186">
      <c r="A186" s="21" t="n"/>
      <c r="B186" s="21" t="n"/>
      <c r="C186" s="21" t="n"/>
      <c r="D186" s="21" t="n"/>
      <c r="E186" s="21" t="n"/>
      <c r="F186" s="21" t="n"/>
      <c r="G186" s="21" t="n"/>
      <c r="H186" s="21" t="n"/>
      <c r="I186" s="22" t="n"/>
      <c r="J186" s="22" t="n"/>
      <c r="K186" s="23" t="n"/>
      <c r="L186" s="24">
        <f>IF(ISNUMBER(J186),J186-IF(ISNUMBER(K186),K186,30),"")</f>
        <v/>
      </c>
      <c r="M186" s="25">
        <f>IF(J186="","",IF(ISNUMBER(J186),J186-TODAY(),"Check date"))</f>
        <v/>
      </c>
      <c r="N186" s="26">
        <f>IF(M186="","",IF(ISNUMBER(M186),IF(M186&lt;0,"Expired",IF(M186&lt;=30,"Due ≤30 days",IF(M186&lt;=90,"Due ≤90 days","OK"))),"Check date"))</f>
        <v/>
      </c>
      <c r="O186" s="27" t="n"/>
      <c r="P186" s="21" t="n"/>
      <c r="Q186" s="21" t="n"/>
      <c r="R186" s="21" t="n"/>
    </row>
    <row r="187">
      <c r="A187" s="21" t="n"/>
      <c r="B187" s="21" t="n"/>
      <c r="C187" s="21" t="n"/>
      <c r="D187" s="21" t="n"/>
      <c r="E187" s="21" t="n"/>
      <c r="F187" s="21" t="n"/>
      <c r="G187" s="21" t="n"/>
      <c r="H187" s="21" t="n"/>
      <c r="I187" s="22" t="n"/>
      <c r="J187" s="22" t="n"/>
      <c r="K187" s="23" t="n"/>
      <c r="L187" s="24">
        <f>IF(ISNUMBER(J187),J187-IF(ISNUMBER(K187),K187,30),"")</f>
        <v/>
      </c>
      <c r="M187" s="25">
        <f>IF(J187="","",IF(ISNUMBER(J187),J187-TODAY(),"Check date"))</f>
        <v/>
      </c>
      <c r="N187" s="26">
        <f>IF(M187="","",IF(ISNUMBER(M187),IF(M187&lt;0,"Expired",IF(M187&lt;=30,"Due ≤30 days",IF(M187&lt;=90,"Due ≤90 days","OK"))),"Check date"))</f>
        <v/>
      </c>
      <c r="O187" s="27" t="n"/>
      <c r="P187" s="21" t="n"/>
      <c r="Q187" s="21" t="n"/>
      <c r="R187" s="21" t="n"/>
    </row>
    <row r="188">
      <c r="A188" s="21" t="n"/>
      <c r="B188" s="21" t="n"/>
      <c r="C188" s="21" t="n"/>
      <c r="D188" s="21" t="n"/>
      <c r="E188" s="21" t="n"/>
      <c r="F188" s="21" t="n"/>
      <c r="G188" s="21" t="n"/>
      <c r="H188" s="21" t="n"/>
      <c r="I188" s="22" t="n"/>
      <c r="J188" s="22" t="n"/>
      <c r="K188" s="23" t="n"/>
      <c r="L188" s="24">
        <f>IF(ISNUMBER(J188),J188-IF(ISNUMBER(K188),K188,30),"")</f>
        <v/>
      </c>
      <c r="M188" s="25">
        <f>IF(J188="","",IF(ISNUMBER(J188),J188-TODAY(),"Check date"))</f>
        <v/>
      </c>
      <c r="N188" s="26">
        <f>IF(M188="","",IF(ISNUMBER(M188),IF(M188&lt;0,"Expired",IF(M188&lt;=30,"Due ≤30 days",IF(M188&lt;=90,"Due ≤90 days","OK"))),"Check date"))</f>
        <v/>
      </c>
      <c r="O188" s="27" t="n"/>
      <c r="P188" s="21" t="n"/>
      <c r="Q188" s="21" t="n"/>
      <c r="R188" s="21" t="n"/>
    </row>
    <row r="189">
      <c r="A189" s="21" t="n"/>
      <c r="B189" s="21" t="n"/>
      <c r="C189" s="21" t="n"/>
      <c r="D189" s="21" t="n"/>
      <c r="E189" s="21" t="n"/>
      <c r="F189" s="21" t="n"/>
      <c r="G189" s="21" t="n"/>
      <c r="H189" s="21" t="n"/>
      <c r="I189" s="22" t="n"/>
      <c r="J189" s="22" t="n"/>
      <c r="K189" s="23" t="n"/>
      <c r="L189" s="24">
        <f>IF(ISNUMBER(J189),J189-IF(ISNUMBER(K189),K189,30),"")</f>
        <v/>
      </c>
      <c r="M189" s="25">
        <f>IF(J189="","",IF(ISNUMBER(J189),J189-TODAY(),"Check date"))</f>
        <v/>
      </c>
      <c r="N189" s="26">
        <f>IF(M189="","",IF(ISNUMBER(M189),IF(M189&lt;0,"Expired",IF(M189&lt;=30,"Due ≤30 days",IF(M189&lt;=90,"Due ≤90 days","OK"))),"Check date"))</f>
        <v/>
      </c>
      <c r="O189" s="27" t="n"/>
      <c r="P189" s="21" t="n"/>
      <c r="Q189" s="21" t="n"/>
      <c r="R189" s="21" t="n"/>
    </row>
    <row r="190">
      <c r="A190" s="21" t="n"/>
      <c r="B190" s="21" t="n"/>
      <c r="C190" s="21" t="n"/>
      <c r="D190" s="21" t="n"/>
      <c r="E190" s="21" t="n"/>
      <c r="F190" s="21" t="n"/>
      <c r="G190" s="21" t="n"/>
      <c r="H190" s="21" t="n"/>
      <c r="I190" s="22" t="n"/>
      <c r="J190" s="22" t="n"/>
      <c r="K190" s="23" t="n"/>
      <c r="L190" s="24">
        <f>IF(ISNUMBER(J190),J190-IF(ISNUMBER(K190),K190,30),"")</f>
        <v/>
      </c>
      <c r="M190" s="25">
        <f>IF(J190="","",IF(ISNUMBER(J190),J190-TODAY(),"Check date"))</f>
        <v/>
      </c>
      <c r="N190" s="26">
        <f>IF(M190="","",IF(ISNUMBER(M190),IF(M190&lt;0,"Expired",IF(M190&lt;=30,"Due ≤30 days",IF(M190&lt;=90,"Due ≤90 days","OK"))),"Check date"))</f>
        <v/>
      </c>
      <c r="O190" s="27" t="n"/>
      <c r="P190" s="21" t="n"/>
      <c r="Q190" s="21" t="n"/>
      <c r="R190" s="21" t="n"/>
    </row>
    <row r="191">
      <c r="A191" s="21" t="n"/>
      <c r="B191" s="21" t="n"/>
      <c r="C191" s="21" t="n"/>
      <c r="D191" s="21" t="n"/>
      <c r="E191" s="21" t="n"/>
      <c r="F191" s="21" t="n"/>
      <c r="G191" s="21" t="n"/>
      <c r="H191" s="21" t="n"/>
      <c r="I191" s="22" t="n"/>
      <c r="J191" s="22" t="n"/>
      <c r="K191" s="23" t="n"/>
      <c r="L191" s="24">
        <f>IF(ISNUMBER(J191),J191-IF(ISNUMBER(K191),K191,30),"")</f>
        <v/>
      </c>
      <c r="M191" s="25">
        <f>IF(J191="","",IF(ISNUMBER(J191),J191-TODAY(),"Check date"))</f>
        <v/>
      </c>
      <c r="N191" s="26">
        <f>IF(M191="","",IF(ISNUMBER(M191),IF(M191&lt;0,"Expired",IF(M191&lt;=30,"Due ≤30 days",IF(M191&lt;=90,"Due ≤90 days","OK"))),"Check date"))</f>
        <v/>
      </c>
      <c r="O191" s="27" t="n"/>
      <c r="P191" s="21" t="n"/>
      <c r="Q191" s="21" t="n"/>
      <c r="R191" s="21" t="n"/>
    </row>
    <row r="192">
      <c r="A192" s="21" t="n"/>
      <c r="B192" s="21" t="n"/>
      <c r="C192" s="21" t="n"/>
      <c r="D192" s="21" t="n"/>
      <c r="E192" s="21" t="n"/>
      <c r="F192" s="21" t="n"/>
      <c r="G192" s="21" t="n"/>
      <c r="H192" s="21" t="n"/>
      <c r="I192" s="22" t="n"/>
      <c r="J192" s="22" t="n"/>
      <c r="K192" s="23" t="n"/>
      <c r="L192" s="24">
        <f>IF(ISNUMBER(J192),J192-IF(ISNUMBER(K192),K192,30),"")</f>
        <v/>
      </c>
      <c r="M192" s="25">
        <f>IF(J192="","",IF(ISNUMBER(J192),J192-TODAY(),"Check date"))</f>
        <v/>
      </c>
      <c r="N192" s="26">
        <f>IF(M192="","",IF(ISNUMBER(M192),IF(M192&lt;0,"Expired",IF(M192&lt;=30,"Due ≤30 days",IF(M192&lt;=90,"Due ≤90 days","OK"))),"Check date"))</f>
        <v/>
      </c>
      <c r="O192" s="27" t="n"/>
      <c r="P192" s="21" t="n"/>
      <c r="Q192" s="21" t="n"/>
      <c r="R192" s="21" t="n"/>
    </row>
    <row r="193">
      <c r="A193" s="21" t="n"/>
      <c r="B193" s="21" t="n"/>
      <c r="C193" s="21" t="n"/>
      <c r="D193" s="21" t="n"/>
      <c r="E193" s="21" t="n"/>
      <c r="F193" s="21" t="n"/>
      <c r="G193" s="21" t="n"/>
      <c r="H193" s="21" t="n"/>
      <c r="I193" s="22" t="n"/>
      <c r="J193" s="22" t="n"/>
      <c r="K193" s="23" t="n"/>
      <c r="L193" s="24">
        <f>IF(ISNUMBER(J193),J193-IF(ISNUMBER(K193),K193,30),"")</f>
        <v/>
      </c>
      <c r="M193" s="25">
        <f>IF(J193="","",IF(ISNUMBER(J193),J193-TODAY(),"Check date"))</f>
        <v/>
      </c>
      <c r="N193" s="26">
        <f>IF(M193="","",IF(ISNUMBER(M193),IF(M193&lt;0,"Expired",IF(M193&lt;=30,"Due ≤30 days",IF(M193&lt;=90,"Due ≤90 days","OK"))),"Check date"))</f>
        <v/>
      </c>
      <c r="O193" s="27" t="n"/>
      <c r="P193" s="21" t="n"/>
      <c r="Q193" s="21" t="n"/>
      <c r="R193" s="21" t="n"/>
    </row>
    <row r="194">
      <c r="A194" s="21" t="n"/>
      <c r="B194" s="21" t="n"/>
      <c r="C194" s="21" t="n"/>
      <c r="D194" s="21" t="n"/>
      <c r="E194" s="21" t="n"/>
      <c r="F194" s="21" t="n"/>
      <c r="G194" s="21" t="n"/>
      <c r="H194" s="21" t="n"/>
      <c r="I194" s="22" t="n"/>
      <c r="J194" s="22" t="n"/>
      <c r="K194" s="23" t="n"/>
      <c r="L194" s="24">
        <f>IF(ISNUMBER(J194),J194-IF(ISNUMBER(K194),K194,30),"")</f>
        <v/>
      </c>
      <c r="M194" s="25">
        <f>IF(J194="","",IF(ISNUMBER(J194),J194-TODAY(),"Check date"))</f>
        <v/>
      </c>
      <c r="N194" s="26">
        <f>IF(M194="","",IF(ISNUMBER(M194),IF(M194&lt;0,"Expired",IF(M194&lt;=30,"Due ≤30 days",IF(M194&lt;=90,"Due ≤90 days","OK"))),"Check date"))</f>
        <v/>
      </c>
      <c r="O194" s="27" t="n"/>
      <c r="P194" s="21" t="n"/>
      <c r="Q194" s="21" t="n"/>
      <c r="R194" s="21" t="n"/>
    </row>
    <row r="195">
      <c r="A195" s="21" t="n"/>
      <c r="B195" s="21" t="n"/>
      <c r="C195" s="21" t="n"/>
      <c r="D195" s="21" t="n"/>
      <c r="E195" s="21" t="n"/>
      <c r="F195" s="21" t="n"/>
      <c r="G195" s="21" t="n"/>
      <c r="H195" s="21" t="n"/>
      <c r="I195" s="22" t="n"/>
      <c r="J195" s="22" t="n"/>
      <c r="K195" s="23" t="n"/>
      <c r="L195" s="24">
        <f>IF(ISNUMBER(J195),J195-IF(ISNUMBER(K195),K195,30),"")</f>
        <v/>
      </c>
      <c r="M195" s="25">
        <f>IF(J195="","",IF(ISNUMBER(J195),J195-TODAY(),"Check date"))</f>
        <v/>
      </c>
      <c r="N195" s="26">
        <f>IF(M195="","",IF(ISNUMBER(M195),IF(M195&lt;0,"Expired",IF(M195&lt;=30,"Due ≤30 days",IF(M195&lt;=90,"Due ≤90 days","OK"))),"Check date"))</f>
        <v/>
      </c>
      <c r="O195" s="27" t="n"/>
      <c r="P195" s="21" t="n"/>
      <c r="Q195" s="21" t="n"/>
      <c r="R195" s="21" t="n"/>
    </row>
    <row r="196">
      <c r="A196" s="21" t="n"/>
      <c r="B196" s="21" t="n"/>
      <c r="C196" s="21" t="n"/>
      <c r="D196" s="21" t="n"/>
      <c r="E196" s="21" t="n"/>
      <c r="F196" s="21" t="n"/>
      <c r="G196" s="21" t="n"/>
      <c r="H196" s="21" t="n"/>
      <c r="I196" s="22" t="n"/>
      <c r="J196" s="22" t="n"/>
      <c r="K196" s="23" t="n"/>
      <c r="L196" s="24">
        <f>IF(ISNUMBER(J196),J196-IF(ISNUMBER(K196),K196,30),"")</f>
        <v/>
      </c>
      <c r="M196" s="25">
        <f>IF(J196="","",IF(ISNUMBER(J196),J196-TODAY(),"Check date"))</f>
        <v/>
      </c>
      <c r="N196" s="26">
        <f>IF(M196="","",IF(ISNUMBER(M196),IF(M196&lt;0,"Expired",IF(M196&lt;=30,"Due ≤30 days",IF(M196&lt;=90,"Due ≤90 days","OK"))),"Check date"))</f>
        <v/>
      </c>
      <c r="O196" s="27" t="n"/>
      <c r="P196" s="21" t="n"/>
      <c r="Q196" s="21" t="n"/>
      <c r="R196" s="21" t="n"/>
    </row>
    <row r="197">
      <c r="A197" s="21" t="n"/>
      <c r="B197" s="21" t="n"/>
      <c r="C197" s="21" t="n"/>
      <c r="D197" s="21" t="n"/>
      <c r="E197" s="21" t="n"/>
      <c r="F197" s="21" t="n"/>
      <c r="G197" s="21" t="n"/>
      <c r="H197" s="21" t="n"/>
      <c r="I197" s="22" t="n"/>
      <c r="J197" s="22" t="n"/>
      <c r="K197" s="23" t="n"/>
      <c r="L197" s="24">
        <f>IF(ISNUMBER(J197),J197-IF(ISNUMBER(K197),K197,30),"")</f>
        <v/>
      </c>
      <c r="M197" s="25">
        <f>IF(J197="","",IF(ISNUMBER(J197),J197-TODAY(),"Check date"))</f>
        <v/>
      </c>
      <c r="N197" s="26">
        <f>IF(M197="","",IF(ISNUMBER(M197),IF(M197&lt;0,"Expired",IF(M197&lt;=30,"Due ≤30 days",IF(M197&lt;=90,"Due ≤90 days","OK"))),"Check date"))</f>
        <v/>
      </c>
      <c r="O197" s="27" t="n"/>
      <c r="P197" s="21" t="n"/>
      <c r="Q197" s="21" t="n"/>
      <c r="R197" s="21" t="n"/>
    </row>
    <row r="198">
      <c r="A198" s="21" t="n"/>
      <c r="B198" s="21" t="n"/>
      <c r="C198" s="21" t="n"/>
      <c r="D198" s="21" t="n"/>
      <c r="E198" s="21" t="n"/>
      <c r="F198" s="21" t="n"/>
      <c r="G198" s="21" t="n"/>
      <c r="H198" s="21" t="n"/>
      <c r="I198" s="22" t="n"/>
      <c r="J198" s="22" t="n"/>
      <c r="K198" s="23" t="n"/>
      <c r="L198" s="24">
        <f>IF(ISNUMBER(J198),J198-IF(ISNUMBER(K198),K198,30),"")</f>
        <v/>
      </c>
      <c r="M198" s="25">
        <f>IF(J198="","",IF(ISNUMBER(J198),J198-TODAY(),"Check date"))</f>
        <v/>
      </c>
      <c r="N198" s="26">
        <f>IF(M198="","",IF(ISNUMBER(M198),IF(M198&lt;0,"Expired",IF(M198&lt;=30,"Due ≤30 days",IF(M198&lt;=90,"Due ≤90 days","OK"))),"Check date"))</f>
        <v/>
      </c>
      <c r="O198" s="27" t="n"/>
      <c r="P198" s="21" t="n"/>
      <c r="Q198" s="21" t="n"/>
      <c r="R198" s="21" t="n"/>
    </row>
    <row r="199">
      <c r="A199" s="21" t="n"/>
      <c r="B199" s="21" t="n"/>
      <c r="C199" s="21" t="n"/>
      <c r="D199" s="21" t="n"/>
      <c r="E199" s="21" t="n"/>
      <c r="F199" s="21" t="n"/>
      <c r="G199" s="21" t="n"/>
      <c r="H199" s="21" t="n"/>
      <c r="I199" s="22" t="n"/>
      <c r="J199" s="22" t="n"/>
      <c r="K199" s="23" t="n"/>
      <c r="L199" s="24">
        <f>IF(ISNUMBER(J199),J199-IF(ISNUMBER(K199),K199,30),"")</f>
        <v/>
      </c>
      <c r="M199" s="25">
        <f>IF(J199="","",IF(ISNUMBER(J199),J199-TODAY(),"Check date"))</f>
        <v/>
      </c>
      <c r="N199" s="26">
        <f>IF(M199="","",IF(ISNUMBER(M199),IF(M199&lt;0,"Expired",IF(M199&lt;=30,"Due ≤30 days",IF(M199&lt;=90,"Due ≤90 days","OK"))),"Check date"))</f>
        <v/>
      </c>
      <c r="O199" s="27" t="n"/>
      <c r="P199" s="21" t="n"/>
      <c r="Q199" s="21" t="n"/>
      <c r="R199" s="21" t="n"/>
    </row>
    <row r="200">
      <c r="A200" s="21" t="n"/>
      <c r="B200" s="21" t="n"/>
      <c r="C200" s="21" t="n"/>
      <c r="D200" s="21" t="n"/>
      <c r="E200" s="21" t="n"/>
      <c r="F200" s="21" t="n"/>
      <c r="G200" s="21" t="n"/>
      <c r="H200" s="21" t="n"/>
      <c r="I200" s="22" t="n"/>
      <c r="J200" s="22" t="n"/>
      <c r="K200" s="23" t="n"/>
      <c r="L200" s="24">
        <f>IF(ISNUMBER(J200),J200-IF(ISNUMBER(K200),K200,30),"")</f>
        <v/>
      </c>
      <c r="M200" s="25">
        <f>IF(J200="","",IF(ISNUMBER(J200),J200-TODAY(),"Check date"))</f>
        <v/>
      </c>
      <c r="N200" s="26">
        <f>IF(M200="","",IF(ISNUMBER(M200),IF(M200&lt;0,"Expired",IF(M200&lt;=30,"Due ≤30 days",IF(M200&lt;=90,"Due ≤90 days","OK"))),"Check date"))</f>
        <v/>
      </c>
      <c r="O200" s="27" t="n"/>
      <c r="P200" s="21" t="n"/>
      <c r="Q200" s="21" t="n"/>
      <c r="R200" s="21" t="n"/>
    </row>
    <row r="201">
      <c r="A201" s="21" t="n"/>
      <c r="B201" s="21" t="n"/>
      <c r="C201" s="21" t="n"/>
      <c r="D201" s="21" t="n"/>
      <c r="E201" s="21" t="n"/>
      <c r="F201" s="21" t="n"/>
      <c r="G201" s="21" t="n"/>
      <c r="H201" s="21" t="n"/>
      <c r="I201" s="22" t="n"/>
      <c r="J201" s="22" t="n"/>
      <c r="K201" s="23" t="n"/>
      <c r="L201" s="24">
        <f>IF(ISNUMBER(J201),J201-IF(ISNUMBER(K201),K201,30),"")</f>
        <v/>
      </c>
      <c r="M201" s="25">
        <f>IF(J201="","",IF(ISNUMBER(J201),J201-TODAY(),"Check date"))</f>
        <v/>
      </c>
      <c r="N201" s="26">
        <f>IF(M201="","",IF(ISNUMBER(M201),IF(M201&lt;0,"Expired",IF(M201&lt;=30,"Due ≤30 days",IF(M201&lt;=90,"Due ≤90 days","OK"))),"Check date"))</f>
        <v/>
      </c>
      <c r="O201" s="27" t="n"/>
      <c r="P201" s="21" t="n"/>
      <c r="Q201" s="21" t="n"/>
      <c r="R201" s="21" t="n"/>
    </row>
    <row r="202">
      <c r="A202" s="21" t="n"/>
      <c r="B202" s="21" t="n"/>
      <c r="C202" s="21" t="n"/>
      <c r="D202" s="21" t="n"/>
      <c r="E202" s="21" t="n"/>
      <c r="F202" s="21" t="n"/>
      <c r="G202" s="21" t="n"/>
      <c r="H202" s="21" t="n"/>
      <c r="I202" s="22" t="n"/>
      <c r="J202" s="22" t="n"/>
      <c r="K202" s="23" t="n"/>
      <c r="L202" s="24">
        <f>IF(ISNUMBER(J202),J202-IF(ISNUMBER(K202),K202,30),"")</f>
        <v/>
      </c>
      <c r="M202" s="25">
        <f>IF(J202="","",IF(ISNUMBER(J202),J202-TODAY(),"Check date"))</f>
        <v/>
      </c>
      <c r="N202" s="26">
        <f>IF(M202="","",IF(ISNUMBER(M202),IF(M202&lt;0,"Expired",IF(M202&lt;=30,"Due ≤30 days",IF(M202&lt;=90,"Due ≤90 days","OK"))),"Check date"))</f>
        <v/>
      </c>
      <c r="O202" s="27" t="n"/>
      <c r="P202" s="21" t="n"/>
      <c r="Q202" s="21" t="n"/>
      <c r="R202" s="21" t="n"/>
    </row>
    <row r="203">
      <c r="A203" s="21" t="n"/>
      <c r="B203" s="21" t="n"/>
      <c r="C203" s="21" t="n"/>
      <c r="D203" s="21" t="n"/>
      <c r="E203" s="21" t="n"/>
      <c r="F203" s="21" t="n"/>
      <c r="G203" s="21" t="n"/>
      <c r="H203" s="21" t="n"/>
      <c r="I203" s="22" t="n"/>
      <c r="J203" s="22" t="n"/>
      <c r="K203" s="23" t="n"/>
      <c r="L203" s="24">
        <f>IF(ISNUMBER(J203),J203-IF(ISNUMBER(K203),K203,30),"")</f>
        <v/>
      </c>
      <c r="M203" s="25">
        <f>IF(J203="","",IF(ISNUMBER(J203),J203-TODAY(),"Check date"))</f>
        <v/>
      </c>
      <c r="N203" s="26">
        <f>IF(M203="","",IF(ISNUMBER(M203),IF(M203&lt;0,"Expired",IF(M203&lt;=30,"Due ≤30 days",IF(M203&lt;=90,"Due ≤90 days","OK"))),"Check date"))</f>
        <v/>
      </c>
      <c r="O203" s="27" t="n"/>
      <c r="P203" s="21" t="n"/>
      <c r="Q203" s="21" t="n"/>
      <c r="R203" s="21" t="n"/>
    </row>
    <row r="204">
      <c r="A204" s="21" t="n"/>
      <c r="B204" s="21" t="n"/>
      <c r="C204" s="21" t="n"/>
      <c r="D204" s="21" t="n"/>
      <c r="E204" s="21" t="n"/>
      <c r="F204" s="21" t="n"/>
      <c r="G204" s="21" t="n"/>
      <c r="H204" s="21" t="n"/>
      <c r="I204" s="22" t="n"/>
      <c r="J204" s="22" t="n"/>
      <c r="K204" s="23" t="n"/>
      <c r="L204" s="24">
        <f>IF(ISNUMBER(J204),J204-IF(ISNUMBER(K204),K204,30),"")</f>
        <v/>
      </c>
      <c r="M204" s="25">
        <f>IF(J204="","",IF(ISNUMBER(J204),J204-TODAY(),"Check date"))</f>
        <v/>
      </c>
      <c r="N204" s="26">
        <f>IF(M204="","",IF(ISNUMBER(M204),IF(M204&lt;0,"Expired",IF(M204&lt;=30,"Due ≤30 days",IF(M204&lt;=90,"Due ≤90 days","OK"))),"Check date"))</f>
        <v/>
      </c>
      <c r="O204" s="27" t="n"/>
      <c r="P204" s="21" t="n"/>
      <c r="Q204" s="21" t="n"/>
      <c r="R204" s="21" t="n"/>
    </row>
    <row r="205">
      <c r="A205" s="21" t="n"/>
      <c r="B205" s="21" t="n"/>
      <c r="C205" s="21" t="n"/>
      <c r="D205" s="21" t="n"/>
      <c r="E205" s="21" t="n"/>
      <c r="F205" s="21" t="n"/>
      <c r="G205" s="21" t="n"/>
      <c r="H205" s="21" t="n"/>
      <c r="I205" s="22" t="n"/>
      <c r="J205" s="22" t="n"/>
      <c r="K205" s="23" t="n"/>
      <c r="L205" s="24">
        <f>IF(ISNUMBER(J205),J205-IF(ISNUMBER(K205),K205,30),"")</f>
        <v/>
      </c>
      <c r="M205" s="25">
        <f>IF(J205="","",IF(ISNUMBER(J205),J205-TODAY(),"Check date"))</f>
        <v/>
      </c>
      <c r="N205" s="26">
        <f>IF(M205="","",IF(ISNUMBER(M205),IF(M205&lt;0,"Expired",IF(M205&lt;=30,"Due ≤30 days",IF(M205&lt;=90,"Due ≤90 days","OK"))),"Check date"))</f>
        <v/>
      </c>
      <c r="O205" s="27" t="n"/>
      <c r="P205" s="21" t="n"/>
      <c r="Q205" s="21" t="n"/>
      <c r="R205" s="21" t="n"/>
    </row>
    <row r="206">
      <c r="A206" s="21" t="n"/>
      <c r="B206" s="21" t="n"/>
      <c r="C206" s="21" t="n"/>
      <c r="D206" s="21" t="n"/>
      <c r="E206" s="21" t="n"/>
      <c r="F206" s="21" t="n"/>
      <c r="G206" s="21" t="n"/>
      <c r="H206" s="21" t="n"/>
      <c r="I206" s="22" t="n"/>
      <c r="J206" s="22" t="n"/>
      <c r="K206" s="23" t="n"/>
      <c r="L206" s="24">
        <f>IF(ISNUMBER(J206),J206-IF(ISNUMBER(K206),K206,30),"")</f>
        <v/>
      </c>
      <c r="M206" s="25">
        <f>IF(J206="","",IF(ISNUMBER(J206),J206-TODAY(),"Check date"))</f>
        <v/>
      </c>
      <c r="N206" s="26">
        <f>IF(M206="","",IF(ISNUMBER(M206),IF(M206&lt;0,"Expired",IF(M206&lt;=30,"Due ≤30 days",IF(M206&lt;=90,"Due ≤90 days","OK"))),"Check date"))</f>
        <v/>
      </c>
      <c r="O206" s="27" t="n"/>
      <c r="P206" s="21" t="n"/>
      <c r="Q206" s="21" t="n"/>
      <c r="R206" s="21" t="n"/>
    </row>
    <row r="207">
      <c r="A207" s="21" t="n"/>
      <c r="B207" s="21" t="n"/>
      <c r="C207" s="21" t="n"/>
      <c r="D207" s="21" t="n"/>
      <c r="E207" s="21" t="n"/>
      <c r="F207" s="21" t="n"/>
      <c r="G207" s="21" t="n"/>
      <c r="H207" s="21" t="n"/>
      <c r="I207" s="22" t="n"/>
      <c r="J207" s="22" t="n"/>
      <c r="K207" s="23" t="n"/>
      <c r="L207" s="24">
        <f>IF(ISNUMBER(J207),J207-IF(ISNUMBER(K207),K207,30),"")</f>
        <v/>
      </c>
      <c r="M207" s="25">
        <f>IF(J207="","",IF(ISNUMBER(J207),J207-TODAY(),"Check date"))</f>
        <v/>
      </c>
      <c r="N207" s="26">
        <f>IF(M207="","",IF(ISNUMBER(M207),IF(M207&lt;0,"Expired",IF(M207&lt;=30,"Due ≤30 days",IF(M207&lt;=90,"Due ≤90 days","OK"))),"Check date"))</f>
        <v/>
      </c>
      <c r="O207" s="27" t="n"/>
      <c r="P207" s="21" t="n"/>
      <c r="Q207" s="21" t="n"/>
      <c r="R207" s="21" t="n"/>
    </row>
    <row r="208">
      <c r="A208" s="21" t="n"/>
      <c r="B208" s="21" t="n"/>
      <c r="C208" s="21" t="n"/>
      <c r="D208" s="21" t="n"/>
      <c r="E208" s="21" t="n"/>
      <c r="F208" s="21" t="n"/>
      <c r="G208" s="21" t="n"/>
      <c r="H208" s="21" t="n"/>
      <c r="I208" s="22" t="n"/>
      <c r="J208" s="22" t="n"/>
      <c r="K208" s="23" t="n"/>
      <c r="L208" s="24">
        <f>IF(ISNUMBER(J208),J208-IF(ISNUMBER(K208),K208,30),"")</f>
        <v/>
      </c>
      <c r="M208" s="25">
        <f>IF(J208="","",IF(ISNUMBER(J208),J208-TODAY(),"Check date"))</f>
        <v/>
      </c>
      <c r="N208" s="26">
        <f>IF(M208="","",IF(ISNUMBER(M208),IF(M208&lt;0,"Expired",IF(M208&lt;=30,"Due ≤30 days",IF(M208&lt;=90,"Due ≤90 days","OK"))),"Check date"))</f>
        <v/>
      </c>
      <c r="O208" s="27" t="n"/>
      <c r="P208" s="21" t="n"/>
      <c r="Q208" s="21" t="n"/>
      <c r="R208" s="21" t="n"/>
    </row>
    <row r="209">
      <c r="A209" s="21" t="n"/>
      <c r="B209" s="21" t="n"/>
      <c r="C209" s="21" t="n"/>
      <c r="D209" s="21" t="n"/>
      <c r="E209" s="21" t="n"/>
      <c r="F209" s="21" t="n"/>
      <c r="G209" s="21" t="n"/>
      <c r="H209" s="21" t="n"/>
      <c r="I209" s="22" t="n"/>
      <c r="J209" s="22" t="n"/>
      <c r="K209" s="23" t="n"/>
      <c r="L209" s="24">
        <f>IF(ISNUMBER(J209),J209-IF(ISNUMBER(K209),K209,30),"")</f>
        <v/>
      </c>
      <c r="M209" s="25">
        <f>IF(J209="","",IF(ISNUMBER(J209),J209-TODAY(),"Check date"))</f>
        <v/>
      </c>
      <c r="N209" s="26">
        <f>IF(M209="","",IF(ISNUMBER(M209),IF(M209&lt;0,"Expired",IF(M209&lt;=30,"Due ≤30 days",IF(M209&lt;=90,"Due ≤90 days","OK"))),"Check date"))</f>
        <v/>
      </c>
      <c r="O209" s="27" t="n"/>
      <c r="P209" s="21" t="n"/>
      <c r="Q209" s="21" t="n"/>
      <c r="R209" s="21" t="n"/>
    </row>
    <row r="210">
      <c r="A210" s="21" t="n"/>
      <c r="B210" s="21" t="n"/>
      <c r="C210" s="21" t="n"/>
      <c r="D210" s="21" t="n"/>
      <c r="E210" s="21" t="n"/>
      <c r="F210" s="21" t="n"/>
      <c r="G210" s="21" t="n"/>
      <c r="H210" s="21" t="n"/>
      <c r="I210" s="22" t="n"/>
      <c r="J210" s="22" t="n"/>
      <c r="K210" s="23" t="n"/>
      <c r="L210" s="24">
        <f>IF(ISNUMBER(J210),J210-IF(ISNUMBER(K210),K210,30),"")</f>
        <v/>
      </c>
      <c r="M210" s="25">
        <f>IF(J210="","",IF(ISNUMBER(J210),J210-TODAY(),"Check date"))</f>
        <v/>
      </c>
      <c r="N210" s="26">
        <f>IF(M210="","",IF(ISNUMBER(M210),IF(M210&lt;0,"Expired",IF(M210&lt;=30,"Due ≤30 days",IF(M210&lt;=90,"Due ≤90 days","OK"))),"Check date"))</f>
        <v/>
      </c>
      <c r="O210" s="27" t="n"/>
      <c r="P210" s="21" t="n"/>
      <c r="Q210" s="21" t="n"/>
      <c r="R210" s="21" t="n"/>
    </row>
    <row r="211">
      <c r="A211" s="21" t="n"/>
      <c r="B211" s="21" t="n"/>
      <c r="C211" s="21" t="n"/>
      <c r="D211" s="21" t="n"/>
      <c r="E211" s="21" t="n"/>
      <c r="F211" s="21" t="n"/>
      <c r="G211" s="21" t="n"/>
      <c r="H211" s="21" t="n"/>
      <c r="I211" s="22" t="n"/>
      <c r="J211" s="22" t="n"/>
      <c r="K211" s="23" t="n"/>
      <c r="L211" s="24">
        <f>IF(ISNUMBER(J211),J211-IF(ISNUMBER(K211),K211,30),"")</f>
        <v/>
      </c>
      <c r="M211" s="25">
        <f>IF(J211="","",IF(ISNUMBER(J211),J211-TODAY(),"Check date"))</f>
        <v/>
      </c>
      <c r="N211" s="26">
        <f>IF(M211="","",IF(ISNUMBER(M211),IF(M211&lt;0,"Expired",IF(M211&lt;=30,"Due ≤30 days",IF(M211&lt;=90,"Due ≤90 days","OK"))),"Check date"))</f>
        <v/>
      </c>
      <c r="O211" s="27" t="n"/>
      <c r="P211" s="21" t="n"/>
      <c r="Q211" s="21" t="n"/>
      <c r="R211" s="21" t="n"/>
    </row>
    <row r="212">
      <c r="A212" s="21" t="n"/>
      <c r="B212" s="21" t="n"/>
      <c r="C212" s="21" t="n"/>
      <c r="D212" s="21" t="n"/>
      <c r="E212" s="21" t="n"/>
      <c r="F212" s="21" t="n"/>
      <c r="G212" s="21" t="n"/>
      <c r="H212" s="21" t="n"/>
      <c r="I212" s="22" t="n"/>
      <c r="J212" s="22" t="n"/>
      <c r="K212" s="23" t="n"/>
      <c r="L212" s="24">
        <f>IF(ISNUMBER(J212),J212-IF(ISNUMBER(K212),K212,30),"")</f>
        <v/>
      </c>
      <c r="M212" s="25">
        <f>IF(J212="","",IF(ISNUMBER(J212),J212-TODAY(),"Check date"))</f>
        <v/>
      </c>
      <c r="N212" s="26">
        <f>IF(M212="","",IF(ISNUMBER(M212),IF(M212&lt;0,"Expired",IF(M212&lt;=30,"Due ≤30 days",IF(M212&lt;=90,"Due ≤90 days","OK"))),"Check date"))</f>
        <v/>
      </c>
      <c r="O212" s="27" t="n"/>
      <c r="P212" s="21" t="n"/>
      <c r="Q212" s="21" t="n"/>
      <c r="R212" s="21" t="n"/>
    </row>
    <row r="213">
      <c r="A213" s="21" t="n"/>
      <c r="B213" s="21" t="n"/>
      <c r="C213" s="21" t="n"/>
      <c r="D213" s="21" t="n"/>
      <c r="E213" s="21" t="n"/>
      <c r="F213" s="21" t="n"/>
      <c r="G213" s="21" t="n"/>
      <c r="H213" s="21" t="n"/>
      <c r="I213" s="22" t="n"/>
      <c r="J213" s="22" t="n"/>
      <c r="K213" s="23" t="n"/>
      <c r="L213" s="24">
        <f>IF(ISNUMBER(J213),J213-IF(ISNUMBER(K213),K213,30),"")</f>
        <v/>
      </c>
      <c r="M213" s="25">
        <f>IF(J213="","",IF(ISNUMBER(J213),J213-TODAY(),"Check date"))</f>
        <v/>
      </c>
      <c r="N213" s="26">
        <f>IF(M213="","",IF(ISNUMBER(M213),IF(M213&lt;0,"Expired",IF(M213&lt;=30,"Due ≤30 days",IF(M213&lt;=90,"Due ≤90 days","OK"))),"Check date"))</f>
        <v/>
      </c>
      <c r="O213" s="27" t="n"/>
      <c r="P213" s="21" t="n"/>
      <c r="Q213" s="21" t="n"/>
      <c r="R213" s="21" t="n"/>
    </row>
    <row r="214">
      <c r="A214" s="21" t="n"/>
      <c r="B214" s="21" t="n"/>
      <c r="C214" s="21" t="n"/>
      <c r="D214" s="21" t="n"/>
      <c r="E214" s="21" t="n"/>
      <c r="F214" s="21" t="n"/>
      <c r="G214" s="21" t="n"/>
      <c r="H214" s="21" t="n"/>
      <c r="I214" s="22" t="n"/>
      <c r="J214" s="22" t="n"/>
      <c r="K214" s="23" t="n"/>
      <c r="L214" s="24">
        <f>IF(ISNUMBER(J214),J214-IF(ISNUMBER(K214),K214,30),"")</f>
        <v/>
      </c>
      <c r="M214" s="25">
        <f>IF(J214="","",IF(ISNUMBER(J214),J214-TODAY(),"Check date"))</f>
        <v/>
      </c>
      <c r="N214" s="26">
        <f>IF(M214="","",IF(ISNUMBER(M214),IF(M214&lt;0,"Expired",IF(M214&lt;=30,"Due ≤30 days",IF(M214&lt;=90,"Due ≤90 days","OK"))),"Check date"))</f>
        <v/>
      </c>
      <c r="O214" s="27" t="n"/>
      <c r="P214" s="21" t="n"/>
      <c r="Q214" s="21" t="n"/>
      <c r="R214" s="21" t="n"/>
    </row>
    <row r="215">
      <c r="A215" s="21" t="n"/>
      <c r="B215" s="21" t="n"/>
      <c r="C215" s="21" t="n"/>
      <c r="D215" s="21" t="n"/>
      <c r="E215" s="21" t="n"/>
      <c r="F215" s="21" t="n"/>
      <c r="G215" s="21" t="n"/>
      <c r="H215" s="21" t="n"/>
      <c r="I215" s="22" t="n"/>
      <c r="J215" s="22" t="n"/>
      <c r="K215" s="23" t="n"/>
      <c r="L215" s="24">
        <f>IF(ISNUMBER(J215),J215-IF(ISNUMBER(K215),K215,30),"")</f>
        <v/>
      </c>
      <c r="M215" s="25">
        <f>IF(J215="","",IF(ISNUMBER(J215),J215-TODAY(),"Check date"))</f>
        <v/>
      </c>
      <c r="N215" s="26">
        <f>IF(M215="","",IF(ISNUMBER(M215),IF(M215&lt;0,"Expired",IF(M215&lt;=30,"Due ≤30 days",IF(M215&lt;=90,"Due ≤90 days","OK"))),"Check date"))</f>
        <v/>
      </c>
      <c r="O215" s="27" t="n"/>
      <c r="P215" s="21" t="n"/>
      <c r="Q215" s="21" t="n"/>
      <c r="R215" s="21" t="n"/>
    </row>
    <row r="216">
      <c r="A216" s="21" t="n"/>
      <c r="B216" s="21" t="n"/>
      <c r="C216" s="21" t="n"/>
      <c r="D216" s="21" t="n"/>
      <c r="E216" s="21" t="n"/>
      <c r="F216" s="21" t="n"/>
      <c r="G216" s="21" t="n"/>
      <c r="H216" s="21" t="n"/>
      <c r="I216" s="22" t="n"/>
      <c r="J216" s="22" t="n"/>
      <c r="K216" s="23" t="n"/>
      <c r="L216" s="24">
        <f>IF(ISNUMBER(J216),J216-IF(ISNUMBER(K216),K216,30),"")</f>
        <v/>
      </c>
      <c r="M216" s="25">
        <f>IF(J216="","",IF(ISNUMBER(J216),J216-TODAY(),"Check date"))</f>
        <v/>
      </c>
      <c r="N216" s="26">
        <f>IF(M216="","",IF(ISNUMBER(M216),IF(M216&lt;0,"Expired",IF(M216&lt;=30,"Due ≤30 days",IF(M216&lt;=90,"Due ≤90 days","OK"))),"Check date"))</f>
        <v/>
      </c>
      <c r="O216" s="27" t="n"/>
      <c r="P216" s="21" t="n"/>
      <c r="Q216" s="21" t="n"/>
      <c r="R216" s="21" t="n"/>
    </row>
    <row r="217">
      <c r="A217" s="21" t="n"/>
      <c r="B217" s="21" t="n"/>
      <c r="C217" s="21" t="n"/>
      <c r="D217" s="21" t="n"/>
      <c r="E217" s="21" t="n"/>
      <c r="F217" s="21" t="n"/>
      <c r="G217" s="21" t="n"/>
      <c r="H217" s="21" t="n"/>
      <c r="I217" s="22" t="n"/>
      <c r="J217" s="22" t="n"/>
      <c r="K217" s="23" t="n"/>
      <c r="L217" s="24">
        <f>IF(ISNUMBER(J217),J217-IF(ISNUMBER(K217),K217,30),"")</f>
        <v/>
      </c>
      <c r="M217" s="25">
        <f>IF(J217="","",IF(ISNUMBER(J217),J217-TODAY(),"Check date"))</f>
        <v/>
      </c>
      <c r="N217" s="26">
        <f>IF(M217="","",IF(ISNUMBER(M217),IF(M217&lt;0,"Expired",IF(M217&lt;=30,"Due ≤30 days",IF(M217&lt;=90,"Due ≤90 days","OK"))),"Check date"))</f>
        <v/>
      </c>
      <c r="O217" s="27" t="n"/>
      <c r="P217" s="21" t="n"/>
      <c r="Q217" s="21" t="n"/>
      <c r="R217" s="21" t="n"/>
    </row>
    <row r="218">
      <c r="A218" s="21" t="n"/>
      <c r="B218" s="21" t="n"/>
      <c r="C218" s="21" t="n"/>
      <c r="D218" s="21" t="n"/>
      <c r="E218" s="21" t="n"/>
      <c r="F218" s="21" t="n"/>
      <c r="G218" s="21" t="n"/>
      <c r="H218" s="21" t="n"/>
      <c r="I218" s="22" t="n"/>
      <c r="J218" s="22" t="n"/>
      <c r="K218" s="23" t="n"/>
      <c r="L218" s="24">
        <f>IF(ISNUMBER(J218),J218-IF(ISNUMBER(K218),K218,30),"")</f>
        <v/>
      </c>
      <c r="M218" s="25">
        <f>IF(J218="","",IF(ISNUMBER(J218),J218-TODAY(),"Check date"))</f>
        <v/>
      </c>
      <c r="N218" s="26">
        <f>IF(M218="","",IF(ISNUMBER(M218),IF(M218&lt;0,"Expired",IF(M218&lt;=30,"Due ≤30 days",IF(M218&lt;=90,"Due ≤90 days","OK"))),"Check date"))</f>
        <v/>
      </c>
      <c r="O218" s="27" t="n"/>
      <c r="P218" s="21" t="n"/>
      <c r="Q218" s="21" t="n"/>
      <c r="R218" s="21" t="n"/>
    </row>
    <row r="219">
      <c r="A219" s="21" t="n"/>
      <c r="B219" s="21" t="n"/>
      <c r="C219" s="21" t="n"/>
      <c r="D219" s="21" t="n"/>
      <c r="E219" s="21" t="n"/>
      <c r="F219" s="21" t="n"/>
      <c r="G219" s="21" t="n"/>
      <c r="H219" s="21" t="n"/>
      <c r="I219" s="22" t="n"/>
      <c r="J219" s="22" t="n"/>
      <c r="K219" s="23" t="n"/>
      <c r="L219" s="24">
        <f>IF(ISNUMBER(J219),J219-IF(ISNUMBER(K219),K219,30),"")</f>
        <v/>
      </c>
      <c r="M219" s="25">
        <f>IF(J219="","",IF(ISNUMBER(J219),J219-TODAY(),"Check date"))</f>
        <v/>
      </c>
      <c r="N219" s="26">
        <f>IF(M219="","",IF(ISNUMBER(M219),IF(M219&lt;0,"Expired",IF(M219&lt;=30,"Due ≤30 days",IF(M219&lt;=90,"Due ≤90 days","OK"))),"Check date"))</f>
        <v/>
      </c>
      <c r="O219" s="27" t="n"/>
      <c r="P219" s="21" t="n"/>
      <c r="Q219" s="21" t="n"/>
      <c r="R219" s="21" t="n"/>
    </row>
    <row r="220">
      <c r="A220" s="21" t="n"/>
      <c r="B220" s="21" t="n"/>
      <c r="C220" s="21" t="n"/>
      <c r="D220" s="21" t="n"/>
      <c r="E220" s="21" t="n"/>
      <c r="F220" s="21" t="n"/>
      <c r="G220" s="21" t="n"/>
      <c r="H220" s="21" t="n"/>
      <c r="I220" s="22" t="n"/>
      <c r="J220" s="22" t="n"/>
      <c r="K220" s="23" t="n"/>
      <c r="L220" s="24">
        <f>IF(ISNUMBER(J220),J220-IF(ISNUMBER(K220),K220,30),"")</f>
        <v/>
      </c>
      <c r="M220" s="25">
        <f>IF(J220="","",IF(ISNUMBER(J220),J220-TODAY(),"Check date"))</f>
        <v/>
      </c>
      <c r="N220" s="26">
        <f>IF(M220="","",IF(ISNUMBER(M220),IF(M220&lt;0,"Expired",IF(M220&lt;=30,"Due ≤30 days",IF(M220&lt;=90,"Due ≤90 days","OK"))),"Check date"))</f>
        <v/>
      </c>
      <c r="O220" s="27" t="n"/>
      <c r="P220" s="21" t="n"/>
      <c r="Q220" s="21" t="n"/>
      <c r="R220" s="21" t="n"/>
    </row>
    <row r="221">
      <c r="A221" s="21" t="n"/>
      <c r="B221" s="21" t="n"/>
      <c r="C221" s="21" t="n"/>
      <c r="D221" s="21" t="n"/>
      <c r="E221" s="21" t="n"/>
      <c r="F221" s="21" t="n"/>
      <c r="G221" s="21" t="n"/>
      <c r="H221" s="21" t="n"/>
      <c r="I221" s="22" t="n"/>
      <c r="J221" s="22" t="n"/>
      <c r="K221" s="23" t="n"/>
      <c r="L221" s="24">
        <f>IF(ISNUMBER(J221),J221-IF(ISNUMBER(K221),K221,30),"")</f>
        <v/>
      </c>
      <c r="M221" s="25">
        <f>IF(J221="","",IF(ISNUMBER(J221),J221-TODAY(),"Check date"))</f>
        <v/>
      </c>
      <c r="N221" s="26">
        <f>IF(M221="","",IF(ISNUMBER(M221),IF(M221&lt;0,"Expired",IF(M221&lt;=30,"Due ≤30 days",IF(M221&lt;=90,"Due ≤90 days","OK"))),"Check date"))</f>
        <v/>
      </c>
      <c r="O221" s="27" t="n"/>
      <c r="P221" s="21" t="n"/>
      <c r="Q221" s="21" t="n"/>
      <c r="R221" s="21" t="n"/>
    </row>
    <row r="222">
      <c r="A222" s="21" t="n"/>
      <c r="B222" s="21" t="n"/>
      <c r="C222" s="21" t="n"/>
      <c r="D222" s="21" t="n"/>
      <c r="E222" s="21" t="n"/>
      <c r="F222" s="21" t="n"/>
      <c r="G222" s="21" t="n"/>
      <c r="H222" s="21" t="n"/>
      <c r="I222" s="22" t="n"/>
      <c r="J222" s="22" t="n"/>
      <c r="K222" s="23" t="n"/>
      <c r="L222" s="24">
        <f>IF(ISNUMBER(J222),J222-IF(ISNUMBER(K222),K222,30),"")</f>
        <v/>
      </c>
      <c r="M222" s="25">
        <f>IF(J222="","",IF(ISNUMBER(J222),J222-TODAY(),"Check date"))</f>
        <v/>
      </c>
      <c r="N222" s="26">
        <f>IF(M222="","",IF(ISNUMBER(M222),IF(M222&lt;0,"Expired",IF(M222&lt;=30,"Due ≤30 days",IF(M222&lt;=90,"Due ≤90 days","OK"))),"Check date"))</f>
        <v/>
      </c>
      <c r="O222" s="27" t="n"/>
      <c r="P222" s="21" t="n"/>
      <c r="Q222" s="21" t="n"/>
      <c r="R222" s="21" t="n"/>
    </row>
    <row r="223">
      <c r="A223" s="21" t="n"/>
      <c r="B223" s="21" t="n"/>
      <c r="C223" s="21" t="n"/>
      <c r="D223" s="21" t="n"/>
      <c r="E223" s="21" t="n"/>
      <c r="F223" s="21" t="n"/>
      <c r="G223" s="21" t="n"/>
      <c r="H223" s="21" t="n"/>
      <c r="I223" s="22" t="n"/>
      <c r="J223" s="22" t="n"/>
      <c r="K223" s="23" t="n"/>
      <c r="L223" s="24">
        <f>IF(ISNUMBER(J223),J223-IF(ISNUMBER(K223),K223,30),"")</f>
        <v/>
      </c>
      <c r="M223" s="25">
        <f>IF(J223="","",IF(ISNUMBER(J223),J223-TODAY(),"Check date"))</f>
        <v/>
      </c>
      <c r="N223" s="26">
        <f>IF(M223="","",IF(ISNUMBER(M223),IF(M223&lt;0,"Expired",IF(M223&lt;=30,"Due ≤30 days",IF(M223&lt;=90,"Due ≤90 days","OK"))),"Check date"))</f>
        <v/>
      </c>
      <c r="O223" s="27" t="n"/>
      <c r="P223" s="21" t="n"/>
      <c r="Q223" s="21" t="n"/>
      <c r="R223" s="21" t="n"/>
    </row>
    <row r="224">
      <c r="A224" s="21" t="n"/>
      <c r="B224" s="21" t="n"/>
      <c r="C224" s="21" t="n"/>
      <c r="D224" s="21" t="n"/>
      <c r="E224" s="21" t="n"/>
      <c r="F224" s="21" t="n"/>
      <c r="G224" s="21" t="n"/>
      <c r="H224" s="21" t="n"/>
      <c r="I224" s="22" t="n"/>
      <c r="J224" s="22" t="n"/>
      <c r="K224" s="23" t="n"/>
      <c r="L224" s="24">
        <f>IF(ISNUMBER(J224),J224-IF(ISNUMBER(K224),K224,30),"")</f>
        <v/>
      </c>
      <c r="M224" s="25">
        <f>IF(J224="","",IF(ISNUMBER(J224),J224-TODAY(),"Check date"))</f>
        <v/>
      </c>
      <c r="N224" s="26">
        <f>IF(M224="","",IF(ISNUMBER(M224),IF(M224&lt;0,"Expired",IF(M224&lt;=30,"Due ≤30 days",IF(M224&lt;=90,"Due ≤90 days","OK"))),"Check date"))</f>
        <v/>
      </c>
      <c r="O224" s="27" t="n"/>
      <c r="P224" s="21" t="n"/>
      <c r="Q224" s="21" t="n"/>
      <c r="R224" s="21" t="n"/>
    </row>
    <row r="225">
      <c r="A225" s="21" t="n"/>
      <c r="B225" s="21" t="n"/>
      <c r="C225" s="21" t="n"/>
      <c r="D225" s="21" t="n"/>
      <c r="E225" s="21" t="n"/>
      <c r="F225" s="21" t="n"/>
      <c r="G225" s="21" t="n"/>
      <c r="H225" s="21" t="n"/>
      <c r="I225" s="22" t="n"/>
      <c r="J225" s="22" t="n"/>
      <c r="K225" s="23" t="n"/>
      <c r="L225" s="24">
        <f>IF(ISNUMBER(J225),J225-IF(ISNUMBER(K225),K225,30),"")</f>
        <v/>
      </c>
      <c r="M225" s="25">
        <f>IF(J225="","",IF(ISNUMBER(J225),J225-TODAY(),"Check date"))</f>
        <v/>
      </c>
      <c r="N225" s="26">
        <f>IF(M225="","",IF(ISNUMBER(M225),IF(M225&lt;0,"Expired",IF(M225&lt;=30,"Due ≤30 days",IF(M225&lt;=90,"Due ≤90 days","OK"))),"Check date"))</f>
        <v/>
      </c>
      <c r="O225" s="27" t="n"/>
      <c r="P225" s="21" t="n"/>
      <c r="Q225" s="21" t="n"/>
      <c r="R225" s="21" t="n"/>
    </row>
    <row r="226">
      <c r="A226" s="21" t="n"/>
      <c r="B226" s="21" t="n"/>
      <c r="C226" s="21" t="n"/>
      <c r="D226" s="21" t="n"/>
      <c r="E226" s="21" t="n"/>
      <c r="F226" s="21" t="n"/>
      <c r="G226" s="21" t="n"/>
      <c r="H226" s="21" t="n"/>
      <c r="I226" s="22" t="n"/>
      <c r="J226" s="22" t="n"/>
      <c r="K226" s="23" t="n"/>
      <c r="L226" s="24">
        <f>IF(ISNUMBER(J226),J226-IF(ISNUMBER(K226),K226,30),"")</f>
        <v/>
      </c>
      <c r="M226" s="25">
        <f>IF(J226="","",IF(ISNUMBER(J226),J226-TODAY(),"Check date"))</f>
        <v/>
      </c>
      <c r="N226" s="26">
        <f>IF(M226="","",IF(ISNUMBER(M226),IF(M226&lt;0,"Expired",IF(M226&lt;=30,"Due ≤30 days",IF(M226&lt;=90,"Due ≤90 days","OK"))),"Check date"))</f>
        <v/>
      </c>
      <c r="O226" s="27" t="n"/>
      <c r="P226" s="21" t="n"/>
      <c r="Q226" s="21" t="n"/>
      <c r="R226" s="21" t="n"/>
    </row>
    <row r="227">
      <c r="A227" s="21" t="n"/>
      <c r="B227" s="21" t="n"/>
      <c r="C227" s="21" t="n"/>
      <c r="D227" s="21" t="n"/>
      <c r="E227" s="21" t="n"/>
      <c r="F227" s="21" t="n"/>
      <c r="G227" s="21" t="n"/>
      <c r="H227" s="21" t="n"/>
      <c r="I227" s="22" t="n"/>
      <c r="J227" s="22" t="n"/>
      <c r="K227" s="23" t="n"/>
      <c r="L227" s="24">
        <f>IF(ISNUMBER(J227),J227-IF(ISNUMBER(K227),K227,30),"")</f>
        <v/>
      </c>
      <c r="M227" s="25">
        <f>IF(J227="","",IF(ISNUMBER(J227),J227-TODAY(),"Check date"))</f>
        <v/>
      </c>
      <c r="N227" s="26">
        <f>IF(M227="","",IF(ISNUMBER(M227),IF(M227&lt;0,"Expired",IF(M227&lt;=30,"Due ≤30 days",IF(M227&lt;=90,"Due ≤90 days","OK"))),"Check date"))</f>
        <v/>
      </c>
      <c r="O227" s="27" t="n"/>
      <c r="P227" s="21" t="n"/>
      <c r="Q227" s="21" t="n"/>
      <c r="R227" s="21" t="n"/>
    </row>
    <row r="228">
      <c r="A228" s="21" t="n"/>
      <c r="B228" s="21" t="n"/>
      <c r="C228" s="21" t="n"/>
      <c r="D228" s="21" t="n"/>
      <c r="E228" s="21" t="n"/>
      <c r="F228" s="21" t="n"/>
      <c r="G228" s="21" t="n"/>
      <c r="H228" s="21" t="n"/>
      <c r="I228" s="22" t="n"/>
      <c r="J228" s="22" t="n"/>
      <c r="K228" s="23" t="n"/>
      <c r="L228" s="24">
        <f>IF(ISNUMBER(J228),J228-IF(ISNUMBER(K228),K228,30),"")</f>
        <v/>
      </c>
      <c r="M228" s="25">
        <f>IF(J228="","",IF(ISNUMBER(J228),J228-TODAY(),"Check date"))</f>
        <v/>
      </c>
      <c r="N228" s="26">
        <f>IF(M228="","",IF(ISNUMBER(M228),IF(M228&lt;0,"Expired",IF(M228&lt;=30,"Due ≤30 days",IF(M228&lt;=90,"Due ≤90 days","OK"))),"Check date"))</f>
        <v/>
      </c>
      <c r="O228" s="27" t="n"/>
      <c r="P228" s="21" t="n"/>
      <c r="Q228" s="21" t="n"/>
      <c r="R228" s="21" t="n"/>
    </row>
    <row r="229">
      <c r="A229" s="21" t="n"/>
      <c r="B229" s="21" t="n"/>
      <c r="C229" s="21" t="n"/>
      <c r="D229" s="21" t="n"/>
      <c r="E229" s="21" t="n"/>
      <c r="F229" s="21" t="n"/>
      <c r="G229" s="21" t="n"/>
      <c r="H229" s="21" t="n"/>
      <c r="I229" s="22" t="n"/>
      <c r="J229" s="22" t="n"/>
      <c r="K229" s="23" t="n"/>
      <c r="L229" s="24">
        <f>IF(ISNUMBER(J229),J229-IF(ISNUMBER(K229),K229,30),"")</f>
        <v/>
      </c>
      <c r="M229" s="25">
        <f>IF(J229="","",IF(ISNUMBER(J229),J229-TODAY(),"Check date"))</f>
        <v/>
      </c>
      <c r="N229" s="26">
        <f>IF(M229="","",IF(ISNUMBER(M229),IF(M229&lt;0,"Expired",IF(M229&lt;=30,"Due ≤30 days",IF(M229&lt;=90,"Due ≤90 days","OK"))),"Check date"))</f>
        <v/>
      </c>
      <c r="O229" s="27" t="n"/>
      <c r="P229" s="21" t="n"/>
      <c r="Q229" s="21" t="n"/>
      <c r="R229" s="21" t="n"/>
    </row>
    <row r="230">
      <c r="A230" s="21" t="n"/>
      <c r="B230" s="21" t="n"/>
      <c r="C230" s="21" t="n"/>
      <c r="D230" s="21" t="n"/>
      <c r="E230" s="21" t="n"/>
      <c r="F230" s="21" t="n"/>
      <c r="G230" s="21" t="n"/>
      <c r="H230" s="21" t="n"/>
      <c r="I230" s="22" t="n"/>
      <c r="J230" s="22" t="n"/>
      <c r="K230" s="23" t="n"/>
      <c r="L230" s="24">
        <f>IF(ISNUMBER(J230),J230-IF(ISNUMBER(K230),K230,30),"")</f>
        <v/>
      </c>
      <c r="M230" s="25">
        <f>IF(J230="","",IF(ISNUMBER(J230),J230-TODAY(),"Check date"))</f>
        <v/>
      </c>
      <c r="N230" s="26">
        <f>IF(M230="","",IF(ISNUMBER(M230),IF(M230&lt;0,"Expired",IF(M230&lt;=30,"Due ≤30 days",IF(M230&lt;=90,"Due ≤90 days","OK"))),"Check date"))</f>
        <v/>
      </c>
      <c r="O230" s="27" t="n"/>
      <c r="P230" s="21" t="n"/>
      <c r="Q230" s="21" t="n"/>
      <c r="R230" s="21" t="n"/>
    </row>
    <row r="231">
      <c r="A231" s="21" t="n"/>
      <c r="B231" s="21" t="n"/>
      <c r="C231" s="21" t="n"/>
      <c r="D231" s="21" t="n"/>
      <c r="E231" s="21" t="n"/>
      <c r="F231" s="21" t="n"/>
      <c r="G231" s="21" t="n"/>
      <c r="H231" s="21" t="n"/>
      <c r="I231" s="22" t="n"/>
      <c r="J231" s="22" t="n"/>
      <c r="K231" s="23" t="n"/>
      <c r="L231" s="24">
        <f>IF(ISNUMBER(J231),J231-IF(ISNUMBER(K231),K231,30),"")</f>
        <v/>
      </c>
      <c r="M231" s="25">
        <f>IF(J231="","",IF(ISNUMBER(J231),J231-TODAY(),"Check date"))</f>
        <v/>
      </c>
      <c r="N231" s="26">
        <f>IF(M231="","",IF(ISNUMBER(M231),IF(M231&lt;0,"Expired",IF(M231&lt;=30,"Due ≤30 days",IF(M231&lt;=90,"Due ≤90 days","OK"))),"Check date"))</f>
        <v/>
      </c>
      <c r="O231" s="27" t="n"/>
      <c r="P231" s="21" t="n"/>
      <c r="Q231" s="21" t="n"/>
      <c r="R231" s="21" t="n"/>
    </row>
    <row r="232">
      <c r="A232" s="21" t="n"/>
      <c r="B232" s="21" t="n"/>
      <c r="C232" s="21" t="n"/>
      <c r="D232" s="21" t="n"/>
      <c r="E232" s="21" t="n"/>
      <c r="F232" s="21" t="n"/>
      <c r="G232" s="21" t="n"/>
      <c r="H232" s="21" t="n"/>
      <c r="I232" s="22" t="n"/>
      <c r="J232" s="22" t="n"/>
      <c r="K232" s="23" t="n"/>
      <c r="L232" s="24">
        <f>IF(ISNUMBER(J232),J232-IF(ISNUMBER(K232),K232,30),"")</f>
        <v/>
      </c>
      <c r="M232" s="25">
        <f>IF(J232="","",IF(ISNUMBER(J232),J232-TODAY(),"Check date"))</f>
        <v/>
      </c>
      <c r="N232" s="26">
        <f>IF(M232="","",IF(ISNUMBER(M232),IF(M232&lt;0,"Expired",IF(M232&lt;=30,"Due ≤30 days",IF(M232&lt;=90,"Due ≤90 days","OK"))),"Check date"))</f>
        <v/>
      </c>
      <c r="O232" s="27" t="n"/>
      <c r="P232" s="21" t="n"/>
      <c r="Q232" s="21" t="n"/>
      <c r="R232" s="21" t="n"/>
    </row>
    <row r="233">
      <c r="A233" s="21" t="n"/>
      <c r="B233" s="21" t="n"/>
      <c r="C233" s="21" t="n"/>
      <c r="D233" s="21" t="n"/>
      <c r="E233" s="21" t="n"/>
      <c r="F233" s="21" t="n"/>
      <c r="G233" s="21" t="n"/>
      <c r="H233" s="21" t="n"/>
      <c r="I233" s="22" t="n"/>
      <c r="J233" s="22" t="n"/>
      <c r="K233" s="23" t="n"/>
      <c r="L233" s="24">
        <f>IF(ISNUMBER(J233),J233-IF(ISNUMBER(K233),K233,30),"")</f>
        <v/>
      </c>
      <c r="M233" s="25">
        <f>IF(J233="","",IF(ISNUMBER(J233),J233-TODAY(),"Check date"))</f>
        <v/>
      </c>
      <c r="N233" s="26">
        <f>IF(M233="","",IF(ISNUMBER(M233),IF(M233&lt;0,"Expired",IF(M233&lt;=30,"Due ≤30 days",IF(M233&lt;=90,"Due ≤90 days","OK"))),"Check date"))</f>
        <v/>
      </c>
      <c r="O233" s="27" t="n"/>
      <c r="P233" s="21" t="n"/>
      <c r="Q233" s="21" t="n"/>
      <c r="R233" s="21" t="n"/>
    </row>
    <row r="234">
      <c r="A234" s="21" t="n"/>
      <c r="B234" s="21" t="n"/>
      <c r="C234" s="21" t="n"/>
      <c r="D234" s="21" t="n"/>
      <c r="E234" s="21" t="n"/>
      <c r="F234" s="21" t="n"/>
      <c r="G234" s="21" t="n"/>
      <c r="H234" s="21" t="n"/>
      <c r="I234" s="22" t="n"/>
      <c r="J234" s="22" t="n"/>
      <c r="K234" s="23" t="n"/>
      <c r="L234" s="24">
        <f>IF(ISNUMBER(J234),J234-IF(ISNUMBER(K234),K234,30),"")</f>
        <v/>
      </c>
      <c r="M234" s="25">
        <f>IF(J234="","",IF(ISNUMBER(J234),J234-TODAY(),"Check date"))</f>
        <v/>
      </c>
      <c r="N234" s="26">
        <f>IF(M234="","",IF(ISNUMBER(M234),IF(M234&lt;0,"Expired",IF(M234&lt;=30,"Due ≤30 days",IF(M234&lt;=90,"Due ≤90 days","OK"))),"Check date"))</f>
        <v/>
      </c>
      <c r="O234" s="27" t="n"/>
      <c r="P234" s="21" t="n"/>
      <c r="Q234" s="21" t="n"/>
      <c r="R234" s="21" t="n"/>
    </row>
    <row r="235">
      <c r="A235" s="21" t="n"/>
      <c r="B235" s="21" t="n"/>
      <c r="C235" s="21" t="n"/>
      <c r="D235" s="21" t="n"/>
      <c r="E235" s="21" t="n"/>
      <c r="F235" s="21" t="n"/>
      <c r="G235" s="21" t="n"/>
      <c r="H235" s="21" t="n"/>
      <c r="I235" s="22" t="n"/>
      <c r="J235" s="22" t="n"/>
      <c r="K235" s="23" t="n"/>
      <c r="L235" s="24">
        <f>IF(ISNUMBER(J235),J235-IF(ISNUMBER(K235),K235,30),"")</f>
        <v/>
      </c>
      <c r="M235" s="25">
        <f>IF(J235="","",IF(ISNUMBER(J235),J235-TODAY(),"Check date"))</f>
        <v/>
      </c>
      <c r="N235" s="26">
        <f>IF(M235="","",IF(ISNUMBER(M235),IF(M235&lt;0,"Expired",IF(M235&lt;=30,"Due ≤30 days",IF(M235&lt;=90,"Due ≤90 days","OK"))),"Check date"))</f>
        <v/>
      </c>
      <c r="O235" s="27" t="n"/>
      <c r="P235" s="21" t="n"/>
      <c r="Q235" s="21" t="n"/>
      <c r="R235" s="21" t="n"/>
    </row>
    <row r="236">
      <c r="A236" s="21" t="n"/>
      <c r="B236" s="21" t="n"/>
      <c r="C236" s="21" t="n"/>
      <c r="D236" s="21" t="n"/>
      <c r="E236" s="21" t="n"/>
      <c r="F236" s="21" t="n"/>
      <c r="G236" s="21" t="n"/>
      <c r="H236" s="21" t="n"/>
      <c r="I236" s="22" t="n"/>
      <c r="J236" s="22" t="n"/>
      <c r="K236" s="23" t="n"/>
      <c r="L236" s="24">
        <f>IF(ISNUMBER(J236),J236-IF(ISNUMBER(K236),K236,30),"")</f>
        <v/>
      </c>
      <c r="M236" s="25">
        <f>IF(J236="","",IF(ISNUMBER(J236),J236-TODAY(),"Check date"))</f>
        <v/>
      </c>
      <c r="N236" s="26">
        <f>IF(M236="","",IF(ISNUMBER(M236),IF(M236&lt;0,"Expired",IF(M236&lt;=30,"Due ≤30 days",IF(M236&lt;=90,"Due ≤90 days","OK"))),"Check date"))</f>
        <v/>
      </c>
      <c r="O236" s="27" t="n"/>
      <c r="P236" s="21" t="n"/>
      <c r="Q236" s="21" t="n"/>
      <c r="R236" s="21" t="n"/>
    </row>
    <row r="237">
      <c r="A237" s="21" t="n"/>
      <c r="B237" s="21" t="n"/>
      <c r="C237" s="21" t="n"/>
      <c r="D237" s="21" t="n"/>
      <c r="E237" s="21" t="n"/>
      <c r="F237" s="21" t="n"/>
      <c r="G237" s="21" t="n"/>
      <c r="H237" s="21" t="n"/>
      <c r="I237" s="22" t="n"/>
      <c r="J237" s="22" t="n"/>
      <c r="K237" s="23" t="n"/>
      <c r="L237" s="24">
        <f>IF(ISNUMBER(J237),J237-IF(ISNUMBER(K237),K237,30),"")</f>
        <v/>
      </c>
      <c r="M237" s="25">
        <f>IF(J237="","",IF(ISNUMBER(J237),J237-TODAY(),"Check date"))</f>
        <v/>
      </c>
      <c r="N237" s="26">
        <f>IF(M237="","",IF(ISNUMBER(M237),IF(M237&lt;0,"Expired",IF(M237&lt;=30,"Due ≤30 days",IF(M237&lt;=90,"Due ≤90 days","OK"))),"Check date"))</f>
        <v/>
      </c>
      <c r="O237" s="27" t="n"/>
      <c r="P237" s="21" t="n"/>
      <c r="Q237" s="21" t="n"/>
      <c r="R237" s="21" t="n"/>
    </row>
    <row r="238">
      <c r="A238" s="21" t="n"/>
      <c r="B238" s="21" t="n"/>
      <c r="C238" s="21" t="n"/>
      <c r="D238" s="21" t="n"/>
      <c r="E238" s="21" t="n"/>
      <c r="F238" s="21" t="n"/>
      <c r="G238" s="21" t="n"/>
      <c r="H238" s="21" t="n"/>
      <c r="I238" s="22" t="n"/>
      <c r="J238" s="22" t="n"/>
      <c r="K238" s="23" t="n"/>
      <c r="L238" s="24">
        <f>IF(ISNUMBER(J238),J238-IF(ISNUMBER(K238),K238,30),"")</f>
        <v/>
      </c>
      <c r="M238" s="25">
        <f>IF(J238="","",IF(ISNUMBER(J238),J238-TODAY(),"Check date"))</f>
        <v/>
      </c>
      <c r="N238" s="26">
        <f>IF(M238="","",IF(ISNUMBER(M238),IF(M238&lt;0,"Expired",IF(M238&lt;=30,"Due ≤30 days",IF(M238&lt;=90,"Due ≤90 days","OK"))),"Check date"))</f>
        <v/>
      </c>
      <c r="O238" s="27" t="n"/>
      <c r="P238" s="21" t="n"/>
      <c r="Q238" s="21" t="n"/>
      <c r="R238" s="21" t="n"/>
    </row>
    <row r="239">
      <c r="A239" s="21" t="n"/>
      <c r="B239" s="21" t="n"/>
      <c r="C239" s="21" t="n"/>
      <c r="D239" s="21" t="n"/>
      <c r="E239" s="21" t="n"/>
      <c r="F239" s="21" t="n"/>
      <c r="G239" s="21" t="n"/>
      <c r="H239" s="21" t="n"/>
      <c r="I239" s="22" t="n"/>
      <c r="J239" s="22" t="n"/>
      <c r="K239" s="23" t="n"/>
      <c r="L239" s="24">
        <f>IF(ISNUMBER(J239),J239-IF(ISNUMBER(K239),K239,30),"")</f>
        <v/>
      </c>
      <c r="M239" s="25">
        <f>IF(J239="","",IF(ISNUMBER(J239),J239-TODAY(),"Check date"))</f>
        <v/>
      </c>
      <c r="N239" s="26">
        <f>IF(M239="","",IF(ISNUMBER(M239),IF(M239&lt;0,"Expired",IF(M239&lt;=30,"Due ≤30 days",IF(M239&lt;=90,"Due ≤90 days","OK"))),"Check date"))</f>
        <v/>
      </c>
      <c r="O239" s="27" t="n"/>
      <c r="P239" s="21" t="n"/>
      <c r="Q239" s="21" t="n"/>
      <c r="R239" s="21" t="n"/>
    </row>
    <row r="240">
      <c r="A240" s="21" t="n"/>
      <c r="B240" s="21" t="n"/>
      <c r="C240" s="21" t="n"/>
      <c r="D240" s="21" t="n"/>
      <c r="E240" s="21" t="n"/>
      <c r="F240" s="21" t="n"/>
      <c r="G240" s="21" t="n"/>
      <c r="H240" s="21" t="n"/>
      <c r="I240" s="22" t="n"/>
      <c r="J240" s="22" t="n"/>
      <c r="K240" s="23" t="n"/>
      <c r="L240" s="24">
        <f>IF(ISNUMBER(J240),J240-IF(ISNUMBER(K240),K240,30),"")</f>
        <v/>
      </c>
      <c r="M240" s="25">
        <f>IF(J240="","",IF(ISNUMBER(J240),J240-TODAY(),"Check date"))</f>
        <v/>
      </c>
      <c r="N240" s="26">
        <f>IF(M240="","",IF(ISNUMBER(M240),IF(M240&lt;0,"Expired",IF(M240&lt;=30,"Due ≤30 days",IF(M240&lt;=90,"Due ≤90 days","OK"))),"Check date"))</f>
        <v/>
      </c>
      <c r="O240" s="27" t="n"/>
      <c r="P240" s="21" t="n"/>
      <c r="Q240" s="21" t="n"/>
      <c r="R240" s="21" t="n"/>
    </row>
    <row r="241">
      <c r="A241" s="21" t="n"/>
      <c r="B241" s="21" t="n"/>
      <c r="C241" s="21" t="n"/>
      <c r="D241" s="21" t="n"/>
      <c r="E241" s="21" t="n"/>
      <c r="F241" s="21" t="n"/>
      <c r="G241" s="21" t="n"/>
      <c r="H241" s="21" t="n"/>
      <c r="I241" s="22" t="n"/>
      <c r="J241" s="22" t="n"/>
      <c r="K241" s="23" t="n"/>
      <c r="L241" s="24">
        <f>IF(ISNUMBER(J241),J241-IF(ISNUMBER(K241),K241,30),"")</f>
        <v/>
      </c>
      <c r="M241" s="25">
        <f>IF(J241="","",IF(ISNUMBER(J241),J241-TODAY(),"Check date"))</f>
        <v/>
      </c>
      <c r="N241" s="26">
        <f>IF(M241="","",IF(ISNUMBER(M241),IF(M241&lt;0,"Expired",IF(M241&lt;=30,"Due ≤30 days",IF(M241&lt;=90,"Due ≤90 days","OK"))),"Check date"))</f>
        <v/>
      </c>
      <c r="O241" s="27" t="n"/>
      <c r="P241" s="21" t="n"/>
      <c r="Q241" s="21" t="n"/>
      <c r="R241" s="21" t="n"/>
    </row>
    <row r="242">
      <c r="A242" s="21" t="n"/>
      <c r="B242" s="21" t="n"/>
      <c r="C242" s="21" t="n"/>
      <c r="D242" s="21" t="n"/>
      <c r="E242" s="21" t="n"/>
      <c r="F242" s="21" t="n"/>
      <c r="G242" s="21" t="n"/>
      <c r="H242" s="21" t="n"/>
      <c r="I242" s="22" t="n"/>
      <c r="J242" s="22" t="n"/>
      <c r="K242" s="23" t="n"/>
      <c r="L242" s="24">
        <f>IF(ISNUMBER(J242),J242-IF(ISNUMBER(K242),K242,30),"")</f>
        <v/>
      </c>
      <c r="M242" s="25">
        <f>IF(J242="","",IF(ISNUMBER(J242),J242-TODAY(),"Check date"))</f>
        <v/>
      </c>
      <c r="N242" s="26">
        <f>IF(M242="","",IF(ISNUMBER(M242),IF(M242&lt;0,"Expired",IF(M242&lt;=30,"Due ≤30 days",IF(M242&lt;=90,"Due ≤90 days","OK"))),"Check date"))</f>
        <v/>
      </c>
      <c r="O242" s="27" t="n"/>
      <c r="P242" s="21" t="n"/>
      <c r="Q242" s="21" t="n"/>
      <c r="R242" s="21" t="n"/>
    </row>
    <row r="243">
      <c r="A243" s="21" t="n"/>
      <c r="B243" s="21" t="n"/>
      <c r="C243" s="21" t="n"/>
      <c r="D243" s="21" t="n"/>
      <c r="E243" s="21" t="n"/>
      <c r="F243" s="21" t="n"/>
      <c r="G243" s="21" t="n"/>
      <c r="H243" s="21" t="n"/>
      <c r="I243" s="22" t="n"/>
      <c r="J243" s="22" t="n"/>
      <c r="K243" s="23" t="n"/>
      <c r="L243" s="24">
        <f>IF(ISNUMBER(J243),J243-IF(ISNUMBER(K243),K243,30),"")</f>
        <v/>
      </c>
      <c r="M243" s="25">
        <f>IF(J243="","",IF(ISNUMBER(J243),J243-TODAY(),"Check date"))</f>
        <v/>
      </c>
      <c r="N243" s="26">
        <f>IF(M243="","",IF(ISNUMBER(M243),IF(M243&lt;0,"Expired",IF(M243&lt;=30,"Due ≤30 days",IF(M243&lt;=90,"Due ≤90 days","OK"))),"Check date"))</f>
        <v/>
      </c>
      <c r="O243" s="27" t="n"/>
      <c r="P243" s="21" t="n"/>
      <c r="Q243" s="21" t="n"/>
      <c r="R243" s="21" t="n"/>
    </row>
    <row r="244">
      <c r="A244" s="21" t="n"/>
      <c r="B244" s="21" t="n"/>
      <c r="C244" s="21" t="n"/>
      <c r="D244" s="21" t="n"/>
      <c r="E244" s="21" t="n"/>
      <c r="F244" s="21" t="n"/>
      <c r="G244" s="21" t="n"/>
      <c r="H244" s="21" t="n"/>
      <c r="I244" s="22" t="n"/>
      <c r="J244" s="22" t="n"/>
      <c r="K244" s="23" t="n"/>
      <c r="L244" s="24">
        <f>IF(ISNUMBER(J244),J244-IF(ISNUMBER(K244),K244,30),"")</f>
        <v/>
      </c>
      <c r="M244" s="25">
        <f>IF(J244="","",IF(ISNUMBER(J244),J244-TODAY(),"Check date"))</f>
        <v/>
      </c>
      <c r="N244" s="26">
        <f>IF(M244="","",IF(ISNUMBER(M244),IF(M244&lt;0,"Expired",IF(M244&lt;=30,"Due ≤30 days",IF(M244&lt;=90,"Due ≤90 days","OK"))),"Check date"))</f>
        <v/>
      </c>
      <c r="O244" s="27" t="n"/>
      <c r="P244" s="21" t="n"/>
      <c r="Q244" s="21" t="n"/>
      <c r="R244" s="21" t="n"/>
    </row>
    <row r="245">
      <c r="A245" s="21" t="n"/>
      <c r="B245" s="21" t="n"/>
      <c r="C245" s="21" t="n"/>
      <c r="D245" s="21" t="n"/>
      <c r="E245" s="21" t="n"/>
      <c r="F245" s="21" t="n"/>
      <c r="G245" s="21" t="n"/>
      <c r="H245" s="21" t="n"/>
      <c r="I245" s="22" t="n"/>
      <c r="J245" s="22" t="n"/>
      <c r="K245" s="23" t="n"/>
      <c r="L245" s="24">
        <f>IF(ISNUMBER(J245),J245-IF(ISNUMBER(K245),K245,30),"")</f>
        <v/>
      </c>
      <c r="M245" s="25">
        <f>IF(J245="","",IF(ISNUMBER(J245),J245-TODAY(),"Check date"))</f>
        <v/>
      </c>
      <c r="N245" s="26">
        <f>IF(M245="","",IF(ISNUMBER(M245),IF(M245&lt;0,"Expired",IF(M245&lt;=30,"Due ≤30 days",IF(M245&lt;=90,"Due ≤90 days","OK"))),"Check date"))</f>
        <v/>
      </c>
      <c r="O245" s="27" t="n"/>
      <c r="P245" s="21" t="n"/>
      <c r="Q245" s="21" t="n"/>
      <c r="R245" s="21" t="n"/>
    </row>
    <row r="246">
      <c r="A246" s="21" t="n"/>
      <c r="B246" s="21" t="n"/>
      <c r="C246" s="21" t="n"/>
      <c r="D246" s="21" t="n"/>
      <c r="E246" s="21" t="n"/>
      <c r="F246" s="21" t="n"/>
      <c r="G246" s="21" t="n"/>
      <c r="H246" s="21" t="n"/>
      <c r="I246" s="22" t="n"/>
      <c r="J246" s="22" t="n"/>
      <c r="K246" s="23" t="n"/>
      <c r="L246" s="24">
        <f>IF(ISNUMBER(J246),J246-IF(ISNUMBER(K246),K246,30),"")</f>
        <v/>
      </c>
      <c r="M246" s="25">
        <f>IF(J246="","",IF(ISNUMBER(J246),J246-TODAY(),"Check date"))</f>
        <v/>
      </c>
      <c r="N246" s="26">
        <f>IF(M246="","",IF(ISNUMBER(M246),IF(M246&lt;0,"Expired",IF(M246&lt;=30,"Due ≤30 days",IF(M246&lt;=90,"Due ≤90 days","OK"))),"Check date"))</f>
        <v/>
      </c>
      <c r="O246" s="27" t="n"/>
      <c r="P246" s="21" t="n"/>
      <c r="Q246" s="21" t="n"/>
      <c r="R246" s="21" t="n"/>
    </row>
    <row r="247">
      <c r="A247" s="21" t="n"/>
      <c r="B247" s="21" t="n"/>
      <c r="C247" s="21" t="n"/>
      <c r="D247" s="21" t="n"/>
      <c r="E247" s="21" t="n"/>
      <c r="F247" s="21" t="n"/>
      <c r="G247" s="21" t="n"/>
      <c r="H247" s="21" t="n"/>
      <c r="I247" s="22" t="n"/>
      <c r="J247" s="22" t="n"/>
      <c r="K247" s="23" t="n"/>
      <c r="L247" s="24">
        <f>IF(ISNUMBER(J247),J247-IF(ISNUMBER(K247),K247,30),"")</f>
        <v/>
      </c>
      <c r="M247" s="25">
        <f>IF(J247="","",IF(ISNUMBER(J247),J247-TODAY(),"Check date"))</f>
        <v/>
      </c>
      <c r="N247" s="26">
        <f>IF(M247="","",IF(ISNUMBER(M247),IF(M247&lt;0,"Expired",IF(M247&lt;=30,"Due ≤30 days",IF(M247&lt;=90,"Due ≤90 days","OK"))),"Check date"))</f>
        <v/>
      </c>
      <c r="O247" s="27" t="n"/>
      <c r="P247" s="21" t="n"/>
      <c r="Q247" s="21" t="n"/>
      <c r="R247" s="21" t="n"/>
    </row>
    <row r="248">
      <c r="A248" s="21" t="n"/>
      <c r="B248" s="21" t="n"/>
      <c r="C248" s="21" t="n"/>
      <c r="D248" s="21" t="n"/>
      <c r="E248" s="21" t="n"/>
      <c r="F248" s="21" t="n"/>
      <c r="G248" s="21" t="n"/>
      <c r="H248" s="21" t="n"/>
      <c r="I248" s="22" t="n"/>
      <c r="J248" s="22" t="n"/>
      <c r="K248" s="23" t="n"/>
      <c r="L248" s="24">
        <f>IF(ISNUMBER(J248),J248-IF(ISNUMBER(K248),K248,30),"")</f>
        <v/>
      </c>
      <c r="M248" s="25">
        <f>IF(J248="","",IF(ISNUMBER(J248),J248-TODAY(),"Check date"))</f>
        <v/>
      </c>
      <c r="N248" s="26">
        <f>IF(M248="","",IF(ISNUMBER(M248),IF(M248&lt;0,"Expired",IF(M248&lt;=30,"Due ≤30 days",IF(M248&lt;=90,"Due ≤90 days","OK"))),"Check date"))</f>
        <v/>
      </c>
      <c r="O248" s="27" t="n"/>
      <c r="P248" s="21" t="n"/>
      <c r="Q248" s="21" t="n"/>
      <c r="R248" s="21" t="n"/>
    </row>
    <row r="249">
      <c r="A249" s="21" t="n"/>
      <c r="B249" s="21" t="n"/>
      <c r="C249" s="21" t="n"/>
      <c r="D249" s="21" t="n"/>
      <c r="E249" s="21" t="n"/>
      <c r="F249" s="21" t="n"/>
      <c r="G249" s="21" t="n"/>
      <c r="H249" s="21" t="n"/>
      <c r="I249" s="22" t="n"/>
      <c r="J249" s="22" t="n"/>
      <c r="K249" s="23" t="n"/>
      <c r="L249" s="24">
        <f>IF(ISNUMBER(J249),J249-IF(ISNUMBER(K249),K249,30),"")</f>
        <v/>
      </c>
      <c r="M249" s="25">
        <f>IF(J249="","",IF(ISNUMBER(J249),J249-TODAY(),"Check date"))</f>
        <v/>
      </c>
      <c r="N249" s="26">
        <f>IF(M249="","",IF(ISNUMBER(M249),IF(M249&lt;0,"Expired",IF(M249&lt;=30,"Due ≤30 days",IF(M249&lt;=90,"Due ≤90 days","OK"))),"Check date"))</f>
        <v/>
      </c>
      <c r="O249" s="27" t="n"/>
      <c r="P249" s="21" t="n"/>
      <c r="Q249" s="21" t="n"/>
      <c r="R249" s="21" t="n"/>
    </row>
    <row r="250">
      <c r="A250" s="21" t="n"/>
      <c r="B250" s="21" t="n"/>
      <c r="C250" s="21" t="n"/>
      <c r="D250" s="21" t="n"/>
      <c r="E250" s="21" t="n"/>
      <c r="F250" s="21" t="n"/>
      <c r="G250" s="21" t="n"/>
      <c r="H250" s="21" t="n"/>
      <c r="I250" s="22" t="n"/>
      <c r="J250" s="22" t="n"/>
      <c r="K250" s="23" t="n"/>
      <c r="L250" s="24">
        <f>IF(ISNUMBER(J250),J250-IF(ISNUMBER(K250),K250,30),"")</f>
        <v/>
      </c>
      <c r="M250" s="25">
        <f>IF(J250="","",IF(ISNUMBER(J250),J250-TODAY(),"Check date"))</f>
        <v/>
      </c>
      <c r="N250" s="26">
        <f>IF(M250="","",IF(ISNUMBER(M250),IF(M250&lt;0,"Expired",IF(M250&lt;=30,"Due ≤30 days",IF(M250&lt;=90,"Due ≤90 days","OK"))),"Check date"))</f>
        <v/>
      </c>
      <c r="O250" s="27" t="n"/>
      <c r="P250" s="21" t="n"/>
      <c r="Q250" s="21" t="n"/>
      <c r="R250" s="21" t="n"/>
    </row>
    <row r="251">
      <c r="A251" s="21" t="n"/>
      <c r="B251" s="21" t="n"/>
      <c r="C251" s="21" t="n"/>
      <c r="D251" s="21" t="n"/>
      <c r="E251" s="21" t="n"/>
      <c r="F251" s="21" t="n"/>
      <c r="G251" s="21" t="n"/>
      <c r="H251" s="21" t="n"/>
      <c r="I251" s="22" t="n"/>
      <c r="J251" s="22" t="n"/>
      <c r="K251" s="23" t="n"/>
      <c r="L251" s="24">
        <f>IF(ISNUMBER(J251),J251-IF(ISNUMBER(K251),K251,30),"")</f>
        <v/>
      </c>
      <c r="M251" s="25">
        <f>IF(J251="","",IF(ISNUMBER(J251),J251-TODAY(),"Check date"))</f>
        <v/>
      </c>
      <c r="N251" s="26">
        <f>IF(M251="","",IF(ISNUMBER(M251),IF(M251&lt;0,"Expired",IF(M251&lt;=30,"Due ≤30 days",IF(M251&lt;=90,"Due ≤90 days","OK"))),"Check date"))</f>
        <v/>
      </c>
      <c r="O251" s="27" t="n"/>
      <c r="P251" s="21" t="n"/>
      <c r="Q251" s="21" t="n"/>
      <c r="R251" s="21" t="n"/>
    </row>
    <row r="252">
      <c r="A252" s="21" t="n"/>
      <c r="B252" s="21" t="n"/>
      <c r="C252" s="21" t="n"/>
      <c r="D252" s="21" t="n"/>
      <c r="E252" s="21" t="n"/>
      <c r="F252" s="21" t="n"/>
      <c r="G252" s="21" t="n"/>
      <c r="H252" s="21" t="n"/>
      <c r="I252" s="22" t="n"/>
      <c r="J252" s="22" t="n"/>
      <c r="K252" s="23" t="n"/>
      <c r="L252" s="24">
        <f>IF(ISNUMBER(J252),J252-IF(ISNUMBER(K252),K252,30),"")</f>
        <v/>
      </c>
      <c r="M252" s="25">
        <f>IF(J252="","",IF(ISNUMBER(J252),J252-TODAY(),"Check date"))</f>
        <v/>
      </c>
      <c r="N252" s="26">
        <f>IF(M252="","",IF(ISNUMBER(M252),IF(M252&lt;0,"Expired",IF(M252&lt;=30,"Due ≤30 days",IF(M252&lt;=90,"Due ≤90 days","OK"))),"Check date"))</f>
        <v/>
      </c>
      <c r="O252" s="27" t="n"/>
      <c r="P252" s="21" t="n"/>
      <c r="Q252" s="21" t="n"/>
      <c r="R252" s="21" t="n"/>
    </row>
    <row r="253">
      <c r="A253" s="21" t="n"/>
      <c r="B253" s="21" t="n"/>
      <c r="C253" s="21" t="n"/>
      <c r="D253" s="21" t="n"/>
      <c r="E253" s="21" t="n"/>
      <c r="F253" s="21" t="n"/>
      <c r="G253" s="21" t="n"/>
      <c r="H253" s="21" t="n"/>
      <c r="I253" s="22" t="n"/>
      <c r="J253" s="22" t="n"/>
      <c r="K253" s="23" t="n"/>
      <c r="L253" s="24">
        <f>IF(ISNUMBER(J253),J253-IF(ISNUMBER(K253),K253,30),"")</f>
        <v/>
      </c>
      <c r="M253" s="25">
        <f>IF(J253="","",IF(ISNUMBER(J253),J253-TODAY(),"Check date"))</f>
        <v/>
      </c>
      <c r="N253" s="26">
        <f>IF(M253="","",IF(ISNUMBER(M253),IF(M253&lt;0,"Expired",IF(M253&lt;=30,"Due ≤30 days",IF(M253&lt;=90,"Due ≤90 days","OK"))),"Check date"))</f>
        <v/>
      </c>
      <c r="O253" s="27" t="n"/>
      <c r="P253" s="21" t="n"/>
      <c r="Q253" s="21" t="n"/>
      <c r="R253" s="21" t="n"/>
    </row>
    <row r="254">
      <c r="A254" s="21" t="n"/>
      <c r="B254" s="21" t="n"/>
      <c r="C254" s="21" t="n"/>
      <c r="D254" s="21" t="n"/>
      <c r="E254" s="21" t="n"/>
      <c r="F254" s="21" t="n"/>
      <c r="G254" s="21" t="n"/>
      <c r="H254" s="21" t="n"/>
      <c r="I254" s="22" t="n"/>
      <c r="J254" s="22" t="n"/>
      <c r="K254" s="23" t="n"/>
      <c r="L254" s="24">
        <f>IF(ISNUMBER(J254),J254-IF(ISNUMBER(K254),K254,30),"")</f>
        <v/>
      </c>
      <c r="M254" s="25">
        <f>IF(J254="","",IF(ISNUMBER(J254),J254-TODAY(),"Check date"))</f>
        <v/>
      </c>
      <c r="N254" s="26">
        <f>IF(M254="","",IF(ISNUMBER(M254),IF(M254&lt;0,"Expired",IF(M254&lt;=30,"Due ≤30 days",IF(M254&lt;=90,"Due ≤90 days","OK"))),"Check date"))</f>
        <v/>
      </c>
      <c r="O254" s="27" t="n"/>
      <c r="P254" s="21" t="n"/>
      <c r="Q254" s="21" t="n"/>
      <c r="R254" s="21" t="n"/>
    </row>
    <row r="255">
      <c r="A255" s="21" t="n"/>
      <c r="B255" s="21" t="n"/>
      <c r="C255" s="21" t="n"/>
      <c r="D255" s="21" t="n"/>
      <c r="E255" s="21" t="n"/>
      <c r="F255" s="21" t="n"/>
      <c r="G255" s="21" t="n"/>
      <c r="H255" s="21" t="n"/>
      <c r="I255" s="22" t="n"/>
      <c r="J255" s="22" t="n"/>
      <c r="K255" s="23" t="n"/>
      <c r="L255" s="24">
        <f>IF(ISNUMBER(J255),J255-IF(ISNUMBER(K255),K255,30),"")</f>
        <v/>
      </c>
      <c r="M255" s="25">
        <f>IF(J255="","",IF(ISNUMBER(J255),J255-TODAY(),"Check date"))</f>
        <v/>
      </c>
      <c r="N255" s="26">
        <f>IF(M255="","",IF(ISNUMBER(M255),IF(M255&lt;0,"Expired",IF(M255&lt;=30,"Due ≤30 days",IF(M255&lt;=90,"Due ≤90 days","OK"))),"Check date"))</f>
        <v/>
      </c>
      <c r="O255" s="27" t="n"/>
      <c r="P255" s="21" t="n"/>
      <c r="Q255" s="21" t="n"/>
      <c r="R255" s="21" t="n"/>
    </row>
    <row r="256">
      <c r="A256" s="21" t="n"/>
      <c r="B256" s="21" t="n"/>
      <c r="C256" s="21" t="n"/>
      <c r="D256" s="21" t="n"/>
      <c r="E256" s="21" t="n"/>
      <c r="F256" s="21" t="n"/>
      <c r="G256" s="21" t="n"/>
      <c r="H256" s="21" t="n"/>
      <c r="I256" s="22" t="n"/>
      <c r="J256" s="22" t="n"/>
      <c r="K256" s="23" t="n"/>
      <c r="L256" s="24">
        <f>IF(ISNUMBER(J256),J256-IF(ISNUMBER(K256),K256,30),"")</f>
        <v/>
      </c>
      <c r="M256" s="25">
        <f>IF(J256="","",IF(ISNUMBER(J256),J256-TODAY(),"Check date"))</f>
        <v/>
      </c>
      <c r="N256" s="26">
        <f>IF(M256="","",IF(ISNUMBER(M256),IF(M256&lt;0,"Expired",IF(M256&lt;=30,"Due ≤30 days",IF(M256&lt;=90,"Due ≤90 days","OK"))),"Check date"))</f>
        <v/>
      </c>
      <c r="O256" s="27" t="n"/>
      <c r="P256" s="21" t="n"/>
      <c r="Q256" s="21" t="n"/>
      <c r="R256" s="21" t="n"/>
    </row>
    <row r="257">
      <c r="A257" s="21" t="n"/>
      <c r="B257" s="21" t="n"/>
      <c r="C257" s="21" t="n"/>
      <c r="D257" s="21" t="n"/>
      <c r="E257" s="21" t="n"/>
      <c r="F257" s="21" t="n"/>
      <c r="G257" s="21" t="n"/>
      <c r="H257" s="21" t="n"/>
      <c r="I257" s="22" t="n"/>
      <c r="J257" s="22" t="n"/>
      <c r="K257" s="23" t="n"/>
      <c r="L257" s="24">
        <f>IF(ISNUMBER(J257),J257-IF(ISNUMBER(K257),K257,30),"")</f>
        <v/>
      </c>
      <c r="M257" s="25">
        <f>IF(J257="","",IF(ISNUMBER(J257),J257-TODAY(),"Check date"))</f>
        <v/>
      </c>
      <c r="N257" s="26">
        <f>IF(M257="","",IF(ISNUMBER(M257),IF(M257&lt;0,"Expired",IF(M257&lt;=30,"Due ≤30 days",IF(M257&lt;=90,"Due ≤90 days","OK"))),"Check date"))</f>
        <v/>
      </c>
      <c r="O257" s="27" t="n"/>
      <c r="P257" s="21" t="n"/>
      <c r="Q257" s="21" t="n"/>
      <c r="R257" s="21" t="n"/>
    </row>
    <row r="258">
      <c r="A258" s="21" t="n"/>
      <c r="B258" s="21" t="n"/>
      <c r="C258" s="21" t="n"/>
      <c r="D258" s="21" t="n"/>
      <c r="E258" s="21" t="n"/>
      <c r="F258" s="21" t="n"/>
      <c r="G258" s="21" t="n"/>
      <c r="H258" s="21" t="n"/>
      <c r="I258" s="22" t="n"/>
      <c r="J258" s="22" t="n"/>
      <c r="K258" s="23" t="n"/>
      <c r="L258" s="24">
        <f>IF(ISNUMBER(J258),J258-IF(ISNUMBER(K258),K258,30),"")</f>
        <v/>
      </c>
      <c r="M258" s="25">
        <f>IF(J258="","",IF(ISNUMBER(J258),J258-TODAY(),"Check date"))</f>
        <v/>
      </c>
      <c r="N258" s="26">
        <f>IF(M258="","",IF(ISNUMBER(M258),IF(M258&lt;0,"Expired",IF(M258&lt;=30,"Due ≤30 days",IF(M258&lt;=90,"Due ≤90 days","OK"))),"Check date"))</f>
        <v/>
      </c>
      <c r="O258" s="27" t="n"/>
      <c r="P258" s="21" t="n"/>
      <c r="Q258" s="21" t="n"/>
      <c r="R258" s="21" t="n"/>
    </row>
    <row r="259">
      <c r="A259" s="21" t="n"/>
      <c r="B259" s="21" t="n"/>
      <c r="C259" s="21" t="n"/>
      <c r="D259" s="21" t="n"/>
      <c r="E259" s="21" t="n"/>
      <c r="F259" s="21" t="n"/>
      <c r="G259" s="21" t="n"/>
      <c r="H259" s="21" t="n"/>
      <c r="I259" s="22" t="n"/>
      <c r="J259" s="22" t="n"/>
      <c r="K259" s="23" t="n"/>
      <c r="L259" s="24">
        <f>IF(ISNUMBER(J259),J259-IF(ISNUMBER(K259),K259,30),"")</f>
        <v/>
      </c>
      <c r="M259" s="25">
        <f>IF(J259="","",IF(ISNUMBER(J259),J259-TODAY(),"Check date"))</f>
        <v/>
      </c>
      <c r="N259" s="26">
        <f>IF(M259="","",IF(ISNUMBER(M259),IF(M259&lt;0,"Expired",IF(M259&lt;=30,"Due ≤30 days",IF(M259&lt;=90,"Due ≤90 days","OK"))),"Check date"))</f>
        <v/>
      </c>
      <c r="O259" s="27" t="n"/>
      <c r="P259" s="21" t="n"/>
      <c r="Q259" s="21" t="n"/>
      <c r="R259" s="21" t="n"/>
    </row>
    <row r="260">
      <c r="A260" s="21" t="n"/>
      <c r="B260" s="21" t="n"/>
      <c r="C260" s="21" t="n"/>
      <c r="D260" s="21" t="n"/>
      <c r="E260" s="21" t="n"/>
      <c r="F260" s="21" t="n"/>
      <c r="G260" s="21" t="n"/>
      <c r="H260" s="21" t="n"/>
      <c r="I260" s="22" t="n"/>
      <c r="J260" s="22" t="n"/>
      <c r="K260" s="23" t="n"/>
      <c r="L260" s="24">
        <f>IF(ISNUMBER(J260),J260-IF(ISNUMBER(K260),K260,30),"")</f>
        <v/>
      </c>
      <c r="M260" s="25">
        <f>IF(J260="","",IF(ISNUMBER(J260),J260-TODAY(),"Check date"))</f>
        <v/>
      </c>
      <c r="N260" s="26">
        <f>IF(M260="","",IF(ISNUMBER(M260),IF(M260&lt;0,"Expired",IF(M260&lt;=30,"Due ≤30 days",IF(M260&lt;=90,"Due ≤90 days","OK"))),"Check date"))</f>
        <v/>
      </c>
      <c r="O260" s="27" t="n"/>
      <c r="P260" s="21" t="n"/>
      <c r="Q260" s="21" t="n"/>
      <c r="R260" s="21" t="n"/>
    </row>
    <row r="261">
      <c r="A261" s="21" t="n"/>
      <c r="B261" s="21" t="n"/>
      <c r="C261" s="21" t="n"/>
      <c r="D261" s="21" t="n"/>
      <c r="E261" s="21" t="n"/>
      <c r="F261" s="21" t="n"/>
      <c r="G261" s="21" t="n"/>
      <c r="H261" s="21" t="n"/>
      <c r="I261" s="22" t="n"/>
      <c r="J261" s="22" t="n"/>
      <c r="K261" s="23" t="n"/>
      <c r="L261" s="24">
        <f>IF(ISNUMBER(J261),J261-IF(ISNUMBER(K261),K261,30),"")</f>
        <v/>
      </c>
      <c r="M261" s="25">
        <f>IF(J261="","",IF(ISNUMBER(J261),J261-TODAY(),"Check date"))</f>
        <v/>
      </c>
      <c r="N261" s="26">
        <f>IF(M261="","",IF(ISNUMBER(M261),IF(M261&lt;0,"Expired",IF(M261&lt;=30,"Due ≤30 days",IF(M261&lt;=90,"Due ≤90 days","OK"))),"Check date"))</f>
        <v/>
      </c>
      <c r="O261" s="27" t="n"/>
      <c r="P261" s="21" t="n"/>
      <c r="Q261" s="21" t="n"/>
      <c r="R261" s="21" t="n"/>
    </row>
    <row r="262">
      <c r="A262" s="21" t="n"/>
      <c r="B262" s="21" t="n"/>
      <c r="C262" s="21" t="n"/>
      <c r="D262" s="21" t="n"/>
      <c r="E262" s="21" t="n"/>
      <c r="F262" s="21" t="n"/>
      <c r="G262" s="21" t="n"/>
      <c r="H262" s="21" t="n"/>
      <c r="I262" s="22" t="n"/>
      <c r="J262" s="22" t="n"/>
      <c r="K262" s="23" t="n"/>
      <c r="L262" s="24">
        <f>IF(ISNUMBER(J262),J262-IF(ISNUMBER(K262),K262,30),"")</f>
        <v/>
      </c>
      <c r="M262" s="25">
        <f>IF(J262="","",IF(ISNUMBER(J262),J262-TODAY(),"Check date"))</f>
        <v/>
      </c>
      <c r="N262" s="26">
        <f>IF(M262="","",IF(ISNUMBER(M262),IF(M262&lt;0,"Expired",IF(M262&lt;=30,"Due ≤30 days",IF(M262&lt;=90,"Due ≤90 days","OK"))),"Check date"))</f>
        <v/>
      </c>
      <c r="O262" s="27" t="n"/>
      <c r="P262" s="21" t="n"/>
      <c r="Q262" s="21" t="n"/>
      <c r="R262" s="21" t="n"/>
    </row>
    <row r="263">
      <c r="A263" s="21" t="n"/>
      <c r="B263" s="21" t="n"/>
      <c r="C263" s="21" t="n"/>
      <c r="D263" s="21" t="n"/>
      <c r="E263" s="21" t="n"/>
      <c r="F263" s="21" t="n"/>
      <c r="G263" s="21" t="n"/>
      <c r="H263" s="21" t="n"/>
      <c r="I263" s="22" t="n"/>
      <c r="J263" s="22" t="n"/>
      <c r="K263" s="23" t="n"/>
      <c r="L263" s="24">
        <f>IF(ISNUMBER(J263),J263-IF(ISNUMBER(K263),K263,30),"")</f>
        <v/>
      </c>
      <c r="M263" s="25">
        <f>IF(J263="","",IF(ISNUMBER(J263),J263-TODAY(),"Check date"))</f>
        <v/>
      </c>
      <c r="N263" s="26">
        <f>IF(M263="","",IF(ISNUMBER(M263),IF(M263&lt;0,"Expired",IF(M263&lt;=30,"Due ≤30 days",IF(M263&lt;=90,"Due ≤90 days","OK"))),"Check date"))</f>
        <v/>
      </c>
      <c r="O263" s="27" t="n"/>
      <c r="P263" s="21" t="n"/>
      <c r="Q263" s="21" t="n"/>
      <c r="R263" s="21" t="n"/>
    </row>
    <row r="264">
      <c r="A264" s="21" t="n"/>
      <c r="B264" s="21" t="n"/>
      <c r="C264" s="21" t="n"/>
      <c r="D264" s="21" t="n"/>
      <c r="E264" s="21" t="n"/>
      <c r="F264" s="21" t="n"/>
      <c r="G264" s="21" t="n"/>
      <c r="H264" s="21" t="n"/>
      <c r="I264" s="22" t="n"/>
      <c r="J264" s="22" t="n"/>
      <c r="K264" s="23" t="n"/>
      <c r="L264" s="24">
        <f>IF(ISNUMBER(J264),J264-IF(ISNUMBER(K264),K264,30),"")</f>
        <v/>
      </c>
      <c r="M264" s="25">
        <f>IF(J264="","",IF(ISNUMBER(J264),J264-TODAY(),"Check date"))</f>
        <v/>
      </c>
      <c r="N264" s="26">
        <f>IF(M264="","",IF(ISNUMBER(M264),IF(M264&lt;0,"Expired",IF(M264&lt;=30,"Due ≤30 days",IF(M264&lt;=90,"Due ≤90 days","OK"))),"Check date"))</f>
        <v/>
      </c>
      <c r="O264" s="27" t="n"/>
      <c r="P264" s="21" t="n"/>
      <c r="Q264" s="21" t="n"/>
      <c r="R264" s="21" t="n"/>
    </row>
    <row r="265">
      <c r="A265" s="21" t="n"/>
      <c r="B265" s="21" t="n"/>
      <c r="C265" s="21" t="n"/>
      <c r="D265" s="21" t="n"/>
      <c r="E265" s="21" t="n"/>
      <c r="F265" s="21" t="n"/>
      <c r="G265" s="21" t="n"/>
      <c r="H265" s="21" t="n"/>
      <c r="I265" s="22" t="n"/>
      <c r="J265" s="22" t="n"/>
      <c r="K265" s="23" t="n"/>
      <c r="L265" s="24">
        <f>IF(ISNUMBER(J265),J265-IF(ISNUMBER(K265),K265,30),"")</f>
        <v/>
      </c>
      <c r="M265" s="25">
        <f>IF(J265="","",IF(ISNUMBER(J265),J265-TODAY(),"Check date"))</f>
        <v/>
      </c>
      <c r="N265" s="26">
        <f>IF(M265="","",IF(ISNUMBER(M265),IF(M265&lt;0,"Expired",IF(M265&lt;=30,"Due ≤30 days",IF(M265&lt;=90,"Due ≤90 days","OK"))),"Check date"))</f>
        <v/>
      </c>
      <c r="O265" s="27" t="n"/>
      <c r="P265" s="21" t="n"/>
      <c r="Q265" s="21" t="n"/>
      <c r="R265" s="21" t="n"/>
    </row>
    <row r="266">
      <c r="A266" s="21" t="n"/>
      <c r="B266" s="21" t="n"/>
      <c r="C266" s="21" t="n"/>
      <c r="D266" s="21" t="n"/>
      <c r="E266" s="21" t="n"/>
      <c r="F266" s="21" t="n"/>
      <c r="G266" s="21" t="n"/>
      <c r="H266" s="21" t="n"/>
      <c r="I266" s="22" t="n"/>
      <c r="J266" s="22" t="n"/>
      <c r="K266" s="23" t="n"/>
      <c r="L266" s="24">
        <f>IF(ISNUMBER(J266),J266-IF(ISNUMBER(K266),K266,30),"")</f>
        <v/>
      </c>
      <c r="M266" s="25">
        <f>IF(J266="","",IF(ISNUMBER(J266),J266-TODAY(),"Check date"))</f>
        <v/>
      </c>
      <c r="N266" s="26">
        <f>IF(M266="","",IF(ISNUMBER(M266),IF(M266&lt;0,"Expired",IF(M266&lt;=30,"Due ≤30 days",IF(M266&lt;=90,"Due ≤90 days","OK"))),"Check date"))</f>
        <v/>
      </c>
      <c r="O266" s="27" t="n"/>
      <c r="P266" s="21" t="n"/>
      <c r="Q266" s="21" t="n"/>
      <c r="R266" s="21" t="n"/>
    </row>
    <row r="267">
      <c r="A267" s="21" t="n"/>
      <c r="B267" s="21" t="n"/>
      <c r="C267" s="21" t="n"/>
      <c r="D267" s="21" t="n"/>
      <c r="E267" s="21" t="n"/>
      <c r="F267" s="21" t="n"/>
      <c r="G267" s="21" t="n"/>
      <c r="H267" s="21" t="n"/>
      <c r="I267" s="22" t="n"/>
      <c r="J267" s="22" t="n"/>
      <c r="K267" s="23" t="n"/>
      <c r="L267" s="24">
        <f>IF(ISNUMBER(J267),J267-IF(ISNUMBER(K267),K267,30),"")</f>
        <v/>
      </c>
      <c r="M267" s="25">
        <f>IF(J267="","",IF(ISNUMBER(J267),J267-TODAY(),"Check date"))</f>
        <v/>
      </c>
      <c r="N267" s="26">
        <f>IF(M267="","",IF(ISNUMBER(M267),IF(M267&lt;0,"Expired",IF(M267&lt;=30,"Due ≤30 days",IF(M267&lt;=90,"Due ≤90 days","OK"))),"Check date"))</f>
        <v/>
      </c>
      <c r="O267" s="27" t="n"/>
      <c r="P267" s="21" t="n"/>
      <c r="Q267" s="21" t="n"/>
      <c r="R267" s="21" t="n"/>
    </row>
    <row r="268">
      <c r="A268" s="21" t="n"/>
      <c r="B268" s="21" t="n"/>
      <c r="C268" s="21" t="n"/>
      <c r="D268" s="21" t="n"/>
      <c r="E268" s="21" t="n"/>
      <c r="F268" s="21" t="n"/>
      <c r="G268" s="21" t="n"/>
      <c r="H268" s="21" t="n"/>
      <c r="I268" s="22" t="n"/>
      <c r="J268" s="22" t="n"/>
      <c r="K268" s="23" t="n"/>
      <c r="L268" s="24">
        <f>IF(ISNUMBER(J268),J268-IF(ISNUMBER(K268),K268,30),"")</f>
        <v/>
      </c>
      <c r="M268" s="25">
        <f>IF(J268="","",IF(ISNUMBER(J268),J268-TODAY(),"Check date"))</f>
        <v/>
      </c>
      <c r="N268" s="26">
        <f>IF(M268="","",IF(ISNUMBER(M268),IF(M268&lt;0,"Expired",IF(M268&lt;=30,"Due ≤30 days",IF(M268&lt;=90,"Due ≤90 days","OK"))),"Check date"))</f>
        <v/>
      </c>
      <c r="O268" s="27" t="n"/>
      <c r="P268" s="21" t="n"/>
      <c r="Q268" s="21" t="n"/>
      <c r="R268" s="21" t="n"/>
    </row>
    <row r="269">
      <c r="A269" s="21" t="n"/>
      <c r="B269" s="21" t="n"/>
      <c r="C269" s="21" t="n"/>
      <c r="D269" s="21" t="n"/>
      <c r="E269" s="21" t="n"/>
      <c r="F269" s="21" t="n"/>
      <c r="G269" s="21" t="n"/>
      <c r="H269" s="21" t="n"/>
      <c r="I269" s="22" t="n"/>
      <c r="J269" s="22" t="n"/>
      <c r="K269" s="23" t="n"/>
      <c r="L269" s="24">
        <f>IF(ISNUMBER(J269),J269-IF(ISNUMBER(K269),K269,30),"")</f>
        <v/>
      </c>
      <c r="M269" s="25">
        <f>IF(J269="","",IF(ISNUMBER(J269),J269-TODAY(),"Check date"))</f>
        <v/>
      </c>
      <c r="N269" s="26">
        <f>IF(M269="","",IF(ISNUMBER(M269),IF(M269&lt;0,"Expired",IF(M269&lt;=30,"Due ≤30 days",IF(M269&lt;=90,"Due ≤90 days","OK"))),"Check date"))</f>
        <v/>
      </c>
      <c r="O269" s="27" t="n"/>
      <c r="P269" s="21" t="n"/>
      <c r="Q269" s="21" t="n"/>
      <c r="R269" s="21" t="n"/>
    </row>
    <row r="270">
      <c r="A270" s="21" t="n"/>
      <c r="B270" s="21" t="n"/>
      <c r="C270" s="21" t="n"/>
      <c r="D270" s="21" t="n"/>
      <c r="E270" s="21" t="n"/>
      <c r="F270" s="21" t="n"/>
      <c r="G270" s="21" t="n"/>
      <c r="H270" s="21" t="n"/>
      <c r="I270" s="22" t="n"/>
      <c r="J270" s="22" t="n"/>
      <c r="K270" s="23" t="n"/>
      <c r="L270" s="24">
        <f>IF(ISNUMBER(J270),J270-IF(ISNUMBER(K270),K270,30),"")</f>
        <v/>
      </c>
      <c r="M270" s="25">
        <f>IF(J270="","",IF(ISNUMBER(J270),J270-TODAY(),"Check date"))</f>
        <v/>
      </c>
      <c r="N270" s="26">
        <f>IF(M270="","",IF(ISNUMBER(M270),IF(M270&lt;0,"Expired",IF(M270&lt;=30,"Due ≤30 days",IF(M270&lt;=90,"Due ≤90 days","OK"))),"Check date"))</f>
        <v/>
      </c>
      <c r="O270" s="27" t="n"/>
      <c r="P270" s="21" t="n"/>
      <c r="Q270" s="21" t="n"/>
      <c r="R270" s="21" t="n"/>
    </row>
    <row r="271">
      <c r="A271" s="21" t="n"/>
      <c r="B271" s="21" t="n"/>
      <c r="C271" s="21" t="n"/>
      <c r="D271" s="21" t="n"/>
      <c r="E271" s="21" t="n"/>
      <c r="F271" s="21" t="n"/>
      <c r="G271" s="21" t="n"/>
      <c r="H271" s="21" t="n"/>
      <c r="I271" s="22" t="n"/>
      <c r="J271" s="22" t="n"/>
      <c r="K271" s="23" t="n"/>
      <c r="L271" s="24">
        <f>IF(ISNUMBER(J271),J271-IF(ISNUMBER(K271),K271,30),"")</f>
        <v/>
      </c>
      <c r="M271" s="25">
        <f>IF(J271="","",IF(ISNUMBER(J271),J271-TODAY(),"Check date"))</f>
        <v/>
      </c>
      <c r="N271" s="26">
        <f>IF(M271="","",IF(ISNUMBER(M271),IF(M271&lt;0,"Expired",IF(M271&lt;=30,"Due ≤30 days",IF(M271&lt;=90,"Due ≤90 days","OK"))),"Check date"))</f>
        <v/>
      </c>
      <c r="O271" s="27" t="n"/>
      <c r="P271" s="21" t="n"/>
      <c r="Q271" s="21" t="n"/>
      <c r="R271" s="21" t="n"/>
    </row>
    <row r="272">
      <c r="A272" s="21" t="n"/>
      <c r="B272" s="21" t="n"/>
      <c r="C272" s="21" t="n"/>
      <c r="D272" s="21" t="n"/>
      <c r="E272" s="21" t="n"/>
      <c r="F272" s="21" t="n"/>
      <c r="G272" s="21" t="n"/>
      <c r="H272" s="21" t="n"/>
      <c r="I272" s="22" t="n"/>
      <c r="J272" s="22" t="n"/>
      <c r="K272" s="23" t="n"/>
      <c r="L272" s="24">
        <f>IF(ISNUMBER(J272),J272-IF(ISNUMBER(K272),K272,30),"")</f>
        <v/>
      </c>
      <c r="M272" s="25">
        <f>IF(J272="","",IF(ISNUMBER(J272),J272-TODAY(),"Check date"))</f>
        <v/>
      </c>
      <c r="N272" s="26">
        <f>IF(M272="","",IF(ISNUMBER(M272),IF(M272&lt;0,"Expired",IF(M272&lt;=30,"Due ≤30 days",IF(M272&lt;=90,"Due ≤90 days","OK"))),"Check date"))</f>
        <v/>
      </c>
      <c r="O272" s="27" t="n"/>
      <c r="P272" s="21" t="n"/>
      <c r="Q272" s="21" t="n"/>
      <c r="R272" s="21" t="n"/>
    </row>
    <row r="273">
      <c r="A273" s="21" t="n"/>
      <c r="B273" s="21" t="n"/>
      <c r="C273" s="21" t="n"/>
      <c r="D273" s="21" t="n"/>
      <c r="E273" s="21" t="n"/>
      <c r="F273" s="21" t="n"/>
      <c r="G273" s="21" t="n"/>
      <c r="H273" s="21" t="n"/>
      <c r="I273" s="22" t="n"/>
      <c r="J273" s="22" t="n"/>
      <c r="K273" s="23" t="n"/>
      <c r="L273" s="24">
        <f>IF(ISNUMBER(J273),J273-IF(ISNUMBER(K273),K273,30),"")</f>
        <v/>
      </c>
      <c r="M273" s="25">
        <f>IF(J273="","",IF(ISNUMBER(J273),J273-TODAY(),"Check date"))</f>
        <v/>
      </c>
      <c r="N273" s="26">
        <f>IF(M273="","",IF(ISNUMBER(M273),IF(M273&lt;0,"Expired",IF(M273&lt;=30,"Due ≤30 days",IF(M273&lt;=90,"Due ≤90 days","OK"))),"Check date"))</f>
        <v/>
      </c>
      <c r="O273" s="27" t="n"/>
      <c r="P273" s="21" t="n"/>
      <c r="Q273" s="21" t="n"/>
      <c r="R273" s="21" t="n"/>
    </row>
    <row r="274">
      <c r="A274" s="21" t="n"/>
      <c r="B274" s="21" t="n"/>
      <c r="C274" s="21" t="n"/>
      <c r="D274" s="21" t="n"/>
      <c r="E274" s="21" t="n"/>
      <c r="F274" s="21" t="n"/>
      <c r="G274" s="21" t="n"/>
      <c r="H274" s="21" t="n"/>
      <c r="I274" s="22" t="n"/>
      <c r="J274" s="22" t="n"/>
      <c r="K274" s="23" t="n"/>
      <c r="L274" s="24">
        <f>IF(ISNUMBER(J274),J274-IF(ISNUMBER(K274),K274,30),"")</f>
        <v/>
      </c>
      <c r="M274" s="25">
        <f>IF(J274="","",IF(ISNUMBER(J274),J274-TODAY(),"Check date"))</f>
        <v/>
      </c>
      <c r="N274" s="26">
        <f>IF(M274="","",IF(ISNUMBER(M274),IF(M274&lt;0,"Expired",IF(M274&lt;=30,"Due ≤30 days",IF(M274&lt;=90,"Due ≤90 days","OK"))),"Check date"))</f>
        <v/>
      </c>
      <c r="O274" s="27" t="n"/>
      <c r="P274" s="21" t="n"/>
      <c r="Q274" s="21" t="n"/>
      <c r="R274" s="21" t="n"/>
    </row>
    <row r="275">
      <c r="A275" s="21" t="n"/>
      <c r="B275" s="21" t="n"/>
      <c r="C275" s="21" t="n"/>
      <c r="D275" s="21" t="n"/>
      <c r="E275" s="21" t="n"/>
      <c r="F275" s="21" t="n"/>
      <c r="G275" s="21" t="n"/>
      <c r="H275" s="21" t="n"/>
      <c r="I275" s="22" t="n"/>
      <c r="J275" s="22" t="n"/>
      <c r="K275" s="23" t="n"/>
      <c r="L275" s="24">
        <f>IF(ISNUMBER(J275),J275-IF(ISNUMBER(K275),K275,30),"")</f>
        <v/>
      </c>
      <c r="M275" s="25">
        <f>IF(J275="","",IF(ISNUMBER(J275),J275-TODAY(),"Check date"))</f>
        <v/>
      </c>
      <c r="N275" s="26">
        <f>IF(M275="","",IF(ISNUMBER(M275),IF(M275&lt;0,"Expired",IF(M275&lt;=30,"Due ≤30 days",IF(M275&lt;=90,"Due ≤90 days","OK"))),"Check date"))</f>
        <v/>
      </c>
      <c r="O275" s="27" t="n"/>
      <c r="P275" s="21" t="n"/>
      <c r="Q275" s="21" t="n"/>
      <c r="R275" s="21" t="n"/>
    </row>
    <row r="276">
      <c r="A276" s="21" t="n"/>
      <c r="B276" s="21" t="n"/>
      <c r="C276" s="21" t="n"/>
      <c r="D276" s="21" t="n"/>
      <c r="E276" s="21" t="n"/>
      <c r="F276" s="21" t="n"/>
      <c r="G276" s="21" t="n"/>
      <c r="H276" s="21" t="n"/>
      <c r="I276" s="22" t="n"/>
      <c r="J276" s="22" t="n"/>
      <c r="K276" s="23" t="n"/>
      <c r="L276" s="24">
        <f>IF(ISNUMBER(J276),J276-IF(ISNUMBER(K276),K276,30),"")</f>
        <v/>
      </c>
      <c r="M276" s="25">
        <f>IF(J276="","",IF(ISNUMBER(J276),J276-TODAY(),"Check date"))</f>
        <v/>
      </c>
      <c r="N276" s="26">
        <f>IF(M276="","",IF(ISNUMBER(M276),IF(M276&lt;0,"Expired",IF(M276&lt;=30,"Due ≤30 days",IF(M276&lt;=90,"Due ≤90 days","OK"))),"Check date"))</f>
        <v/>
      </c>
      <c r="O276" s="27" t="n"/>
      <c r="P276" s="21" t="n"/>
      <c r="Q276" s="21" t="n"/>
      <c r="R276" s="21" t="n"/>
    </row>
    <row r="277">
      <c r="A277" s="21" t="n"/>
      <c r="B277" s="21" t="n"/>
      <c r="C277" s="21" t="n"/>
      <c r="D277" s="21" t="n"/>
      <c r="E277" s="21" t="n"/>
      <c r="F277" s="21" t="n"/>
      <c r="G277" s="21" t="n"/>
      <c r="H277" s="21" t="n"/>
      <c r="I277" s="22" t="n"/>
      <c r="J277" s="22" t="n"/>
      <c r="K277" s="23" t="n"/>
      <c r="L277" s="24">
        <f>IF(ISNUMBER(J277),J277-IF(ISNUMBER(K277),K277,30),"")</f>
        <v/>
      </c>
      <c r="M277" s="25">
        <f>IF(J277="","",IF(ISNUMBER(J277),J277-TODAY(),"Check date"))</f>
        <v/>
      </c>
      <c r="N277" s="26">
        <f>IF(M277="","",IF(ISNUMBER(M277),IF(M277&lt;0,"Expired",IF(M277&lt;=30,"Due ≤30 days",IF(M277&lt;=90,"Due ≤90 days","OK"))),"Check date"))</f>
        <v/>
      </c>
      <c r="O277" s="27" t="n"/>
      <c r="P277" s="21" t="n"/>
      <c r="Q277" s="21" t="n"/>
      <c r="R277" s="21" t="n"/>
    </row>
    <row r="278">
      <c r="A278" s="21" t="n"/>
      <c r="B278" s="21" t="n"/>
      <c r="C278" s="21" t="n"/>
      <c r="D278" s="21" t="n"/>
      <c r="E278" s="21" t="n"/>
      <c r="F278" s="21" t="n"/>
      <c r="G278" s="21" t="n"/>
      <c r="H278" s="21" t="n"/>
      <c r="I278" s="22" t="n"/>
      <c r="J278" s="22" t="n"/>
      <c r="K278" s="23" t="n"/>
      <c r="L278" s="24">
        <f>IF(ISNUMBER(J278),J278-IF(ISNUMBER(K278),K278,30),"")</f>
        <v/>
      </c>
      <c r="M278" s="25">
        <f>IF(J278="","",IF(ISNUMBER(J278),J278-TODAY(),"Check date"))</f>
        <v/>
      </c>
      <c r="N278" s="26">
        <f>IF(M278="","",IF(ISNUMBER(M278),IF(M278&lt;0,"Expired",IF(M278&lt;=30,"Due ≤30 days",IF(M278&lt;=90,"Due ≤90 days","OK"))),"Check date"))</f>
        <v/>
      </c>
      <c r="O278" s="27" t="n"/>
      <c r="P278" s="21" t="n"/>
      <c r="Q278" s="21" t="n"/>
      <c r="R278" s="21" t="n"/>
    </row>
    <row r="279">
      <c r="A279" s="21" t="n"/>
      <c r="B279" s="21" t="n"/>
      <c r="C279" s="21" t="n"/>
      <c r="D279" s="21" t="n"/>
      <c r="E279" s="21" t="n"/>
      <c r="F279" s="21" t="n"/>
      <c r="G279" s="21" t="n"/>
      <c r="H279" s="21" t="n"/>
      <c r="I279" s="22" t="n"/>
      <c r="J279" s="22" t="n"/>
      <c r="K279" s="23" t="n"/>
      <c r="L279" s="24">
        <f>IF(ISNUMBER(J279),J279-IF(ISNUMBER(K279),K279,30),"")</f>
        <v/>
      </c>
      <c r="M279" s="25">
        <f>IF(J279="","",IF(ISNUMBER(J279),J279-TODAY(),"Check date"))</f>
        <v/>
      </c>
      <c r="N279" s="26">
        <f>IF(M279="","",IF(ISNUMBER(M279),IF(M279&lt;0,"Expired",IF(M279&lt;=30,"Due ≤30 days",IF(M279&lt;=90,"Due ≤90 days","OK"))),"Check date"))</f>
        <v/>
      </c>
      <c r="O279" s="27" t="n"/>
      <c r="P279" s="21" t="n"/>
      <c r="Q279" s="21" t="n"/>
      <c r="R279" s="21" t="n"/>
    </row>
    <row r="280">
      <c r="A280" s="21" t="n"/>
      <c r="B280" s="21" t="n"/>
      <c r="C280" s="21" t="n"/>
      <c r="D280" s="21" t="n"/>
      <c r="E280" s="21" t="n"/>
      <c r="F280" s="21" t="n"/>
      <c r="G280" s="21" t="n"/>
      <c r="H280" s="21" t="n"/>
      <c r="I280" s="22" t="n"/>
      <c r="J280" s="22" t="n"/>
      <c r="K280" s="23" t="n"/>
      <c r="L280" s="24">
        <f>IF(ISNUMBER(J280),J280-IF(ISNUMBER(K280),K280,30),"")</f>
        <v/>
      </c>
      <c r="M280" s="25">
        <f>IF(J280="","",IF(ISNUMBER(J280),J280-TODAY(),"Check date"))</f>
        <v/>
      </c>
      <c r="N280" s="26">
        <f>IF(M280="","",IF(ISNUMBER(M280),IF(M280&lt;0,"Expired",IF(M280&lt;=30,"Due ≤30 days",IF(M280&lt;=90,"Due ≤90 days","OK"))),"Check date"))</f>
        <v/>
      </c>
      <c r="O280" s="27" t="n"/>
      <c r="P280" s="21" t="n"/>
      <c r="Q280" s="21" t="n"/>
      <c r="R280" s="21" t="n"/>
    </row>
    <row r="281">
      <c r="A281" s="21" t="n"/>
      <c r="B281" s="21" t="n"/>
      <c r="C281" s="21" t="n"/>
      <c r="D281" s="21" t="n"/>
      <c r="E281" s="21" t="n"/>
      <c r="F281" s="21" t="n"/>
      <c r="G281" s="21" t="n"/>
      <c r="H281" s="21" t="n"/>
      <c r="I281" s="22" t="n"/>
      <c r="J281" s="22" t="n"/>
      <c r="K281" s="23" t="n"/>
      <c r="L281" s="24">
        <f>IF(ISNUMBER(J281),J281-IF(ISNUMBER(K281),K281,30),"")</f>
        <v/>
      </c>
      <c r="M281" s="25">
        <f>IF(J281="","",IF(ISNUMBER(J281),J281-TODAY(),"Check date"))</f>
        <v/>
      </c>
      <c r="N281" s="26">
        <f>IF(M281="","",IF(ISNUMBER(M281),IF(M281&lt;0,"Expired",IF(M281&lt;=30,"Due ≤30 days",IF(M281&lt;=90,"Due ≤90 days","OK"))),"Check date"))</f>
        <v/>
      </c>
      <c r="O281" s="27" t="n"/>
      <c r="P281" s="21" t="n"/>
      <c r="Q281" s="21" t="n"/>
      <c r="R281" s="21" t="n"/>
    </row>
    <row r="282">
      <c r="A282" s="21" t="n"/>
      <c r="B282" s="21" t="n"/>
      <c r="C282" s="21" t="n"/>
      <c r="D282" s="21" t="n"/>
      <c r="E282" s="21" t="n"/>
      <c r="F282" s="21" t="n"/>
      <c r="G282" s="21" t="n"/>
      <c r="H282" s="21" t="n"/>
      <c r="I282" s="22" t="n"/>
      <c r="J282" s="22" t="n"/>
      <c r="K282" s="23" t="n"/>
      <c r="L282" s="24">
        <f>IF(ISNUMBER(J282),J282-IF(ISNUMBER(K282),K282,30),"")</f>
        <v/>
      </c>
      <c r="M282" s="25">
        <f>IF(J282="","",IF(ISNUMBER(J282),J282-TODAY(),"Check date"))</f>
        <v/>
      </c>
      <c r="N282" s="26">
        <f>IF(M282="","",IF(ISNUMBER(M282),IF(M282&lt;0,"Expired",IF(M282&lt;=30,"Due ≤30 days",IF(M282&lt;=90,"Due ≤90 days","OK"))),"Check date"))</f>
        <v/>
      </c>
      <c r="O282" s="27" t="n"/>
      <c r="P282" s="21" t="n"/>
      <c r="Q282" s="21" t="n"/>
      <c r="R282" s="21" t="n"/>
    </row>
    <row r="283">
      <c r="A283" s="21" t="n"/>
      <c r="B283" s="21" t="n"/>
      <c r="C283" s="21" t="n"/>
      <c r="D283" s="21" t="n"/>
      <c r="E283" s="21" t="n"/>
      <c r="F283" s="21" t="n"/>
      <c r="G283" s="21" t="n"/>
      <c r="H283" s="21" t="n"/>
      <c r="I283" s="22" t="n"/>
      <c r="J283" s="22" t="n"/>
      <c r="K283" s="23" t="n"/>
      <c r="L283" s="24">
        <f>IF(ISNUMBER(J283),J283-IF(ISNUMBER(K283),K283,30),"")</f>
        <v/>
      </c>
      <c r="M283" s="25">
        <f>IF(J283="","",IF(ISNUMBER(J283),J283-TODAY(),"Check date"))</f>
        <v/>
      </c>
      <c r="N283" s="26">
        <f>IF(M283="","",IF(ISNUMBER(M283),IF(M283&lt;0,"Expired",IF(M283&lt;=30,"Due ≤30 days",IF(M283&lt;=90,"Due ≤90 days","OK"))),"Check date"))</f>
        <v/>
      </c>
      <c r="O283" s="27" t="n"/>
      <c r="P283" s="21" t="n"/>
      <c r="Q283" s="21" t="n"/>
      <c r="R283" s="21" t="n"/>
    </row>
    <row r="284">
      <c r="A284" s="21" t="n"/>
      <c r="B284" s="21" t="n"/>
      <c r="C284" s="21" t="n"/>
      <c r="D284" s="21" t="n"/>
      <c r="E284" s="21" t="n"/>
      <c r="F284" s="21" t="n"/>
      <c r="G284" s="21" t="n"/>
      <c r="H284" s="21" t="n"/>
      <c r="I284" s="22" t="n"/>
      <c r="J284" s="22" t="n"/>
      <c r="K284" s="23" t="n"/>
      <c r="L284" s="24">
        <f>IF(ISNUMBER(J284),J284-IF(ISNUMBER(K284),K284,30),"")</f>
        <v/>
      </c>
      <c r="M284" s="25">
        <f>IF(J284="","",IF(ISNUMBER(J284),J284-TODAY(),"Check date"))</f>
        <v/>
      </c>
      <c r="N284" s="26">
        <f>IF(M284="","",IF(ISNUMBER(M284),IF(M284&lt;0,"Expired",IF(M284&lt;=30,"Due ≤30 days",IF(M284&lt;=90,"Due ≤90 days","OK"))),"Check date"))</f>
        <v/>
      </c>
      <c r="O284" s="27" t="n"/>
      <c r="P284" s="21" t="n"/>
      <c r="Q284" s="21" t="n"/>
      <c r="R284" s="21" t="n"/>
    </row>
    <row r="285">
      <c r="A285" s="21" t="n"/>
      <c r="B285" s="21" t="n"/>
      <c r="C285" s="21" t="n"/>
      <c r="D285" s="21" t="n"/>
      <c r="E285" s="21" t="n"/>
      <c r="F285" s="21" t="n"/>
      <c r="G285" s="21" t="n"/>
      <c r="H285" s="21" t="n"/>
      <c r="I285" s="22" t="n"/>
      <c r="J285" s="22" t="n"/>
      <c r="K285" s="23" t="n"/>
      <c r="L285" s="24">
        <f>IF(ISNUMBER(J285),J285-IF(ISNUMBER(K285),K285,30),"")</f>
        <v/>
      </c>
      <c r="M285" s="25">
        <f>IF(J285="","",IF(ISNUMBER(J285),J285-TODAY(),"Check date"))</f>
        <v/>
      </c>
      <c r="N285" s="26">
        <f>IF(M285="","",IF(ISNUMBER(M285),IF(M285&lt;0,"Expired",IF(M285&lt;=30,"Due ≤30 days",IF(M285&lt;=90,"Due ≤90 days","OK"))),"Check date"))</f>
        <v/>
      </c>
      <c r="O285" s="27" t="n"/>
      <c r="P285" s="21" t="n"/>
      <c r="Q285" s="21" t="n"/>
      <c r="R285" s="21" t="n"/>
    </row>
    <row r="286">
      <c r="A286" s="21" t="n"/>
      <c r="B286" s="21" t="n"/>
      <c r="C286" s="21" t="n"/>
      <c r="D286" s="21" t="n"/>
      <c r="E286" s="21" t="n"/>
      <c r="F286" s="21" t="n"/>
      <c r="G286" s="21" t="n"/>
      <c r="H286" s="21" t="n"/>
      <c r="I286" s="22" t="n"/>
      <c r="J286" s="22" t="n"/>
      <c r="K286" s="23" t="n"/>
      <c r="L286" s="24">
        <f>IF(ISNUMBER(J286),J286-IF(ISNUMBER(K286),K286,30),"")</f>
        <v/>
      </c>
      <c r="M286" s="25">
        <f>IF(J286="","",IF(ISNUMBER(J286),J286-TODAY(),"Check date"))</f>
        <v/>
      </c>
      <c r="N286" s="26">
        <f>IF(M286="","",IF(ISNUMBER(M286),IF(M286&lt;0,"Expired",IF(M286&lt;=30,"Due ≤30 days",IF(M286&lt;=90,"Due ≤90 days","OK"))),"Check date"))</f>
        <v/>
      </c>
      <c r="O286" s="27" t="n"/>
      <c r="P286" s="21" t="n"/>
      <c r="Q286" s="21" t="n"/>
      <c r="R286" s="21" t="n"/>
    </row>
    <row r="287">
      <c r="A287" s="21" t="n"/>
      <c r="B287" s="21" t="n"/>
      <c r="C287" s="21" t="n"/>
      <c r="D287" s="21" t="n"/>
      <c r="E287" s="21" t="n"/>
      <c r="F287" s="21" t="n"/>
      <c r="G287" s="21" t="n"/>
      <c r="H287" s="21" t="n"/>
      <c r="I287" s="22" t="n"/>
      <c r="J287" s="22" t="n"/>
      <c r="K287" s="23" t="n"/>
      <c r="L287" s="24">
        <f>IF(ISNUMBER(J287),J287-IF(ISNUMBER(K287),K287,30),"")</f>
        <v/>
      </c>
      <c r="M287" s="25">
        <f>IF(J287="","",IF(ISNUMBER(J287),J287-TODAY(),"Check date"))</f>
        <v/>
      </c>
      <c r="N287" s="26">
        <f>IF(M287="","",IF(ISNUMBER(M287),IF(M287&lt;0,"Expired",IF(M287&lt;=30,"Due ≤30 days",IF(M287&lt;=90,"Due ≤90 days","OK"))),"Check date"))</f>
        <v/>
      </c>
      <c r="O287" s="27" t="n"/>
      <c r="P287" s="21" t="n"/>
      <c r="Q287" s="21" t="n"/>
      <c r="R287" s="21" t="n"/>
    </row>
    <row r="288">
      <c r="A288" s="21" t="n"/>
      <c r="B288" s="21" t="n"/>
      <c r="C288" s="21" t="n"/>
      <c r="D288" s="21" t="n"/>
      <c r="E288" s="21" t="n"/>
      <c r="F288" s="21" t="n"/>
      <c r="G288" s="21" t="n"/>
      <c r="H288" s="21" t="n"/>
      <c r="I288" s="22" t="n"/>
      <c r="J288" s="22" t="n"/>
      <c r="K288" s="23" t="n"/>
      <c r="L288" s="24">
        <f>IF(ISNUMBER(J288),J288-IF(ISNUMBER(K288),K288,30),"")</f>
        <v/>
      </c>
      <c r="M288" s="25">
        <f>IF(J288="","",IF(ISNUMBER(J288),J288-TODAY(),"Check date"))</f>
        <v/>
      </c>
      <c r="N288" s="26">
        <f>IF(M288="","",IF(ISNUMBER(M288),IF(M288&lt;0,"Expired",IF(M288&lt;=30,"Due ≤30 days",IF(M288&lt;=90,"Due ≤90 days","OK"))),"Check date"))</f>
        <v/>
      </c>
      <c r="O288" s="27" t="n"/>
      <c r="P288" s="21" t="n"/>
      <c r="Q288" s="21" t="n"/>
      <c r="R288" s="21" t="n"/>
    </row>
    <row r="289">
      <c r="A289" s="21" t="n"/>
      <c r="B289" s="21" t="n"/>
      <c r="C289" s="21" t="n"/>
      <c r="D289" s="21" t="n"/>
      <c r="E289" s="21" t="n"/>
      <c r="F289" s="21" t="n"/>
      <c r="G289" s="21" t="n"/>
      <c r="H289" s="21" t="n"/>
      <c r="I289" s="22" t="n"/>
      <c r="J289" s="22" t="n"/>
      <c r="K289" s="23" t="n"/>
      <c r="L289" s="24">
        <f>IF(ISNUMBER(J289),J289-IF(ISNUMBER(K289),K289,30),"")</f>
        <v/>
      </c>
      <c r="M289" s="25">
        <f>IF(J289="","",IF(ISNUMBER(J289),J289-TODAY(),"Check date"))</f>
        <v/>
      </c>
      <c r="N289" s="26">
        <f>IF(M289="","",IF(ISNUMBER(M289),IF(M289&lt;0,"Expired",IF(M289&lt;=30,"Due ≤30 days",IF(M289&lt;=90,"Due ≤90 days","OK"))),"Check date"))</f>
        <v/>
      </c>
      <c r="O289" s="27" t="n"/>
      <c r="P289" s="21" t="n"/>
      <c r="Q289" s="21" t="n"/>
      <c r="R289" s="21" t="n"/>
    </row>
    <row r="290">
      <c r="A290" s="21" t="n"/>
      <c r="B290" s="21" t="n"/>
      <c r="C290" s="21" t="n"/>
      <c r="D290" s="21" t="n"/>
      <c r="E290" s="21" t="n"/>
      <c r="F290" s="21" t="n"/>
      <c r="G290" s="21" t="n"/>
      <c r="H290" s="21" t="n"/>
      <c r="I290" s="22" t="n"/>
      <c r="J290" s="22" t="n"/>
      <c r="K290" s="23" t="n"/>
      <c r="L290" s="24">
        <f>IF(ISNUMBER(J290),J290-IF(ISNUMBER(K290),K290,30),"")</f>
        <v/>
      </c>
      <c r="M290" s="25">
        <f>IF(J290="","",IF(ISNUMBER(J290),J290-TODAY(),"Check date"))</f>
        <v/>
      </c>
      <c r="N290" s="26">
        <f>IF(M290="","",IF(ISNUMBER(M290),IF(M290&lt;0,"Expired",IF(M290&lt;=30,"Due ≤30 days",IF(M290&lt;=90,"Due ≤90 days","OK"))),"Check date"))</f>
        <v/>
      </c>
      <c r="O290" s="27" t="n"/>
      <c r="P290" s="21" t="n"/>
      <c r="Q290" s="21" t="n"/>
      <c r="R290" s="21" t="n"/>
    </row>
    <row r="291">
      <c r="A291" s="21" t="n"/>
      <c r="B291" s="21" t="n"/>
      <c r="C291" s="21" t="n"/>
      <c r="D291" s="21" t="n"/>
      <c r="E291" s="21" t="n"/>
      <c r="F291" s="21" t="n"/>
      <c r="G291" s="21" t="n"/>
      <c r="H291" s="21" t="n"/>
      <c r="I291" s="22" t="n"/>
      <c r="J291" s="22" t="n"/>
      <c r="K291" s="23" t="n"/>
      <c r="L291" s="24">
        <f>IF(ISNUMBER(J291),J291-IF(ISNUMBER(K291),K291,30),"")</f>
        <v/>
      </c>
      <c r="M291" s="25">
        <f>IF(J291="","",IF(ISNUMBER(J291),J291-TODAY(),"Check date"))</f>
        <v/>
      </c>
      <c r="N291" s="26">
        <f>IF(M291="","",IF(ISNUMBER(M291),IF(M291&lt;0,"Expired",IF(M291&lt;=30,"Due ≤30 days",IF(M291&lt;=90,"Due ≤90 days","OK"))),"Check date"))</f>
        <v/>
      </c>
      <c r="O291" s="27" t="n"/>
      <c r="P291" s="21" t="n"/>
      <c r="Q291" s="21" t="n"/>
      <c r="R291" s="21" t="n"/>
    </row>
    <row r="292">
      <c r="A292" s="21" t="n"/>
      <c r="B292" s="21" t="n"/>
      <c r="C292" s="21" t="n"/>
      <c r="D292" s="21" t="n"/>
      <c r="E292" s="21" t="n"/>
      <c r="F292" s="21" t="n"/>
      <c r="G292" s="21" t="n"/>
      <c r="H292" s="21" t="n"/>
      <c r="I292" s="22" t="n"/>
      <c r="J292" s="22" t="n"/>
      <c r="K292" s="23" t="n"/>
      <c r="L292" s="24">
        <f>IF(ISNUMBER(J292),J292-IF(ISNUMBER(K292),K292,30),"")</f>
        <v/>
      </c>
      <c r="M292" s="25">
        <f>IF(J292="","",IF(ISNUMBER(J292),J292-TODAY(),"Check date"))</f>
        <v/>
      </c>
      <c r="N292" s="26">
        <f>IF(M292="","",IF(ISNUMBER(M292),IF(M292&lt;0,"Expired",IF(M292&lt;=30,"Due ≤30 days",IF(M292&lt;=90,"Due ≤90 days","OK"))),"Check date"))</f>
        <v/>
      </c>
      <c r="O292" s="27" t="n"/>
      <c r="P292" s="21" t="n"/>
      <c r="Q292" s="21" t="n"/>
      <c r="R292" s="21" t="n"/>
    </row>
    <row r="293">
      <c r="A293" s="21" t="n"/>
      <c r="B293" s="21" t="n"/>
      <c r="C293" s="21" t="n"/>
      <c r="D293" s="21" t="n"/>
      <c r="E293" s="21" t="n"/>
      <c r="F293" s="21" t="n"/>
      <c r="G293" s="21" t="n"/>
      <c r="H293" s="21" t="n"/>
      <c r="I293" s="22" t="n"/>
      <c r="J293" s="22" t="n"/>
      <c r="K293" s="23" t="n"/>
      <c r="L293" s="24">
        <f>IF(ISNUMBER(J293),J293-IF(ISNUMBER(K293),K293,30),"")</f>
        <v/>
      </c>
      <c r="M293" s="25">
        <f>IF(J293="","",IF(ISNUMBER(J293),J293-TODAY(),"Check date"))</f>
        <v/>
      </c>
      <c r="N293" s="26">
        <f>IF(M293="","",IF(ISNUMBER(M293),IF(M293&lt;0,"Expired",IF(M293&lt;=30,"Due ≤30 days",IF(M293&lt;=90,"Due ≤90 days","OK"))),"Check date"))</f>
        <v/>
      </c>
      <c r="O293" s="27" t="n"/>
      <c r="P293" s="21" t="n"/>
      <c r="Q293" s="21" t="n"/>
      <c r="R293" s="21" t="n"/>
    </row>
    <row r="294">
      <c r="A294" s="21" t="n"/>
      <c r="B294" s="21" t="n"/>
      <c r="C294" s="21" t="n"/>
      <c r="D294" s="21" t="n"/>
      <c r="E294" s="21" t="n"/>
      <c r="F294" s="21" t="n"/>
      <c r="G294" s="21" t="n"/>
      <c r="H294" s="21" t="n"/>
      <c r="I294" s="22" t="n"/>
      <c r="J294" s="22" t="n"/>
      <c r="K294" s="23" t="n"/>
      <c r="L294" s="24">
        <f>IF(ISNUMBER(J294),J294-IF(ISNUMBER(K294),K294,30),"")</f>
        <v/>
      </c>
      <c r="M294" s="25">
        <f>IF(J294="","",IF(ISNUMBER(J294),J294-TODAY(),"Check date"))</f>
        <v/>
      </c>
      <c r="N294" s="26">
        <f>IF(M294="","",IF(ISNUMBER(M294),IF(M294&lt;0,"Expired",IF(M294&lt;=30,"Due ≤30 days",IF(M294&lt;=90,"Due ≤90 days","OK"))),"Check date"))</f>
        <v/>
      </c>
      <c r="O294" s="27" t="n"/>
      <c r="P294" s="21" t="n"/>
      <c r="Q294" s="21" t="n"/>
      <c r="R294" s="21" t="n"/>
    </row>
    <row r="295">
      <c r="A295" s="21" t="n"/>
      <c r="B295" s="21" t="n"/>
      <c r="C295" s="21" t="n"/>
      <c r="D295" s="21" t="n"/>
      <c r="E295" s="21" t="n"/>
      <c r="F295" s="21" t="n"/>
      <c r="G295" s="21" t="n"/>
      <c r="H295" s="21" t="n"/>
      <c r="I295" s="22" t="n"/>
      <c r="J295" s="22" t="n"/>
      <c r="K295" s="23" t="n"/>
      <c r="L295" s="24">
        <f>IF(ISNUMBER(J295),J295-IF(ISNUMBER(K295),K295,30),"")</f>
        <v/>
      </c>
      <c r="M295" s="25">
        <f>IF(J295="","",IF(ISNUMBER(J295),J295-TODAY(),"Check date"))</f>
        <v/>
      </c>
      <c r="N295" s="26">
        <f>IF(M295="","",IF(ISNUMBER(M295),IF(M295&lt;0,"Expired",IF(M295&lt;=30,"Due ≤30 days",IF(M295&lt;=90,"Due ≤90 days","OK"))),"Check date"))</f>
        <v/>
      </c>
      <c r="O295" s="27" t="n"/>
      <c r="P295" s="21" t="n"/>
      <c r="Q295" s="21" t="n"/>
      <c r="R295" s="21" t="n"/>
    </row>
    <row r="296">
      <c r="A296" s="21" t="n"/>
      <c r="B296" s="21" t="n"/>
      <c r="C296" s="21" t="n"/>
      <c r="D296" s="21" t="n"/>
      <c r="E296" s="21" t="n"/>
      <c r="F296" s="21" t="n"/>
      <c r="G296" s="21" t="n"/>
      <c r="H296" s="21" t="n"/>
      <c r="I296" s="22" t="n"/>
      <c r="J296" s="22" t="n"/>
      <c r="K296" s="23" t="n"/>
      <c r="L296" s="24">
        <f>IF(ISNUMBER(J296),J296-IF(ISNUMBER(K296),K296,30),"")</f>
        <v/>
      </c>
      <c r="M296" s="25">
        <f>IF(J296="","",IF(ISNUMBER(J296),J296-TODAY(),"Check date"))</f>
        <v/>
      </c>
      <c r="N296" s="26">
        <f>IF(M296="","",IF(ISNUMBER(M296),IF(M296&lt;0,"Expired",IF(M296&lt;=30,"Due ≤30 days",IF(M296&lt;=90,"Due ≤90 days","OK"))),"Check date"))</f>
        <v/>
      </c>
      <c r="O296" s="27" t="n"/>
      <c r="P296" s="21" t="n"/>
      <c r="Q296" s="21" t="n"/>
      <c r="R296" s="21" t="n"/>
    </row>
    <row r="297">
      <c r="A297" s="21" t="n"/>
      <c r="B297" s="21" t="n"/>
      <c r="C297" s="21" t="n"/>
      <c r="D297" s="21" t="n"/>
      <c r="E297" s="21" t="n"/>
      <c r="F297" s="21" t="n"/>
      <c r="G297" s="21" t="n"/>
      <c r="H297" s="21" t="n"/>
      <c r="I297" s="22" t="n"/>
      <c r="J297" s="22" t="n"/>
      <c r="K297" s="23" t="n"/>
      <c r="L297" s="24">
        <f>IF(ISNUMBER(J297),J297-IF(ISNUMBER(K297),K297,30),"")</f>
        <v/>
      </c>
      <c r="M297" s="25">
        <f>IF(J297="","",IF(ISNUMBER(J297),J297-TODAY(),"Check date"))</f>
        <v/>
      </c>
      <c r="N297" s="26">
        <f>IF(M297="","",IF(ISNUMBER(M297),IF(M297&lt;0,"Expired",IF(M297&lt;=30,"Due ≤30 days",IF(M297&lt;=90,"Due ≤90 days","OK"))),"Check date"))</f>
        <v/>
      </c>
      <c r="O297" s="27" t="n"/>
      <c r="P297" s="21" t="n"/>
      <c r="Q297" s="21" t="n"/>
      <c r="R297" s="21" t="n"/>
    </row>
    <row r="298">
      <c r="A298" s="21" t="n"/>
      <c r="B298" s="21" t="n"/>
      <c r="C298" s="21" t="n"/>
      <c r="D298" s="21" t="n"/>
      <c r="E298" s="21" t="n"/>
      <c r="F298" s="21" t="n"/>
      <c r="G298" s="21" t="n"/>
      <c r="H298" s="21" t="n"/>
      <c r="I298" s="22" t="n"/>
      <c r="J298" s="22" t="n"/>
      <c r="K298" s="23" t="n"/>
      <c r="L298" s="24">
        <f>IF(ISNUMBER(J298),J298-IF(ISNUMBER(K298),K298,30),"")</f>
        <v/>
      </c>
      <c r="M298" s="25">
        <f>IF(J298="","",IF(ISNUMBER(J298),J298-TODAY(),"Check date"))</f>
        <v/>
      </c>
      <c r="N298" s="26">
        <f>IF(M298="","",IF(ISNUMBER(M298),IF(M298&lt;0,"Expired",IF(M298&lt;=30,"Due ≤30 days",IF(M298&lt;=90,"Due ≤90 days","OK"))),"Check date"))</f>
        <v/>
      </c>
      <c r="O298" s="27" t="n"/>
      <c r="P298" s="21" t="n"/>
      <c r="Q298" s="21" t="n"/>
      <c r="R298" s="21" t="n"/>
    </row>
    <row r="299">
      <c r="A299" s="21" t="n"/>
      <c r="B299" s="21" t="n"/>
      <c r="C299" s="21" t="n"/>
      <c r="D299" s="21" t="n"/>
      <c r="E299" s="21" t="n"/>
      <c r="F299" s="21" t="n"/>
      <c r="G299" s="21" t="n"/>
      <c r="H299" s="21" t="n"/>
      <c r="I299" s="22" t="n"/>
      <c r="J299" s="22" t="n"/>
      <c r="K299" s="23" t="n"/>
      <c r="L299" s="24">
        <f>IF(ISNUMBER(J299),J299-IF(ISNUMBER(K299),K299,30),"")</f>
        <v/>
      </c>
      <c r="M299" s="25">
        <f>IF(J299="","",IF(ISNUMBER(J299),J299-TODAY(),"Check date"))</f>
        <v/>
      </c>
      <c r="N299" s="26">
        <f>IF(M299="","",IF(ISNUMBER(M299),IF(M299&lt;0,"Expired",IF(M299&lt;=30,"Due ≤30 days",IF(M299&lt;=90,"Due ≤90 days","OK"))),"Check date"))</f>
        <v/>
      </c>
      <c r="O299" s="27" t="n"/>
      <c r="P299" s="21" t="n"/>
      <c r="Q299" s="21" t="n"/>
      <c r="R299" s="21" t="n"/>
    </row>
    <row r="300">
      <c r="A300" s="21" t="n"/>
      <c r="B300" s="21" t="n"/>
      <c r="C300" s="21" t="n"/>
      <c r="D300" s="21" t="n"/>
      <c r="E300" s="21" t="n"/>
      <c r="F300" s="21" t="n"/>
      <c r="G300" s="21" t="n"/>
      <c r="H300" s="21" t="n"/>
      <c r="I300" s="22" t="n"/>
      <c r="J300" s="22" t="n"/>
      <c r="K300" s="23" t="n"/>
      <c r="L300" s="24">
        <f>IF(ISNUMBER(J300),J300-IF(ISNUMBER(K300),K300,30),"")</f>
        <v/>
      </c>
      <c r="M300" s="25">
        <f>IF(J300="","",IF(ISNUMBER(J300),J300-TODAY(),"Check date"))</f>
        <v/>
      </c>
      <c r="N300" s="26">
        <f>IF(M300="","",IF(ISNUMBER(M300),IF(M300&lt;0,"Expired",IF(M300&lt;=30,"Due ≤30 days",IF(M300&lt;=90,"Due ≤90 days","OK"))),"Check date"))</f>
        <v/>
      </c>
      <c r="O300" s="27" t="n"/>
      <c r="P300" s="21" t="n"/>
      <c r="Q300" s="21" t="n"/>
      <c r="R300" s="21" t="n"/>
    </row>
    <row r="301">
      <c r="A301" s="21" t="n"/>
      <c r="B301" s="21" t="n"/>
      <c r="C301" s="21" t="n"/>
      <c r="D301" s="21" t="n"/>
      <c r="E301" s="21" t="n"/>
      <c r="F301" s="21" t="n"/>
      <c r="G301" s="21" t="n"/>
      <c r="H301" s="21" t="n"/>
      <c r="I301" s="22" t="n"/>
      <c r="J301" s="22" t="n"/>
      <c r="K301" s="23" t="n"/>
      <c r="L301" s="24">
        <f>IF(ISNUMBER(J301),J301-IF(ISNUMBER(K301),K301,30),"")</f>
        <v/>
      </c>
      <c r="M301" s="25">
        <f>IF(J301="","",IF(ISNUMBER(J301),J301-TODAY(),"Check date"))</f>
        <v/>
      </c>
      <c r="N301" s="26">
        <f>IF(M301="","",IF(ISNUMBER(M301),IF(M301&lt;0,"Expired",IF(M301&lt;=30,"Due ≤30 days",IF(M301&lt;=90,"Due ≤90 days","OK"))),"Check date"))</f>
        <v/>
      </c>
      <c r="O301" s="27" t="n"/>
      <c r="P301" s="21" t="n"/>
      <c r="Q301" s="21" t="n"/>
      <c r="R301" s="21" t="n"/>
    </row>
    <row r="302">
      <c r="A302" s="21" t="n"/>
      <c r="B302" s="21" t="n"/>
      <c r="C302" s="21" t="n"/>
      <c r="D302" s="21" t="n"/>
      <c r="E302" s="21" t="n"/>
      <c r="F302" s="21" t="n"/>
      <c r="G302" s="21" t="n"/>
      <c r="H302" s="21" t="n"/>
      <c r="I302" s="22" t="n"/>
      <c r="J302" s="22" t="n"/>
      <c r="K302" s="23" t="n"/>
      <c r="L302" s="24">
        <f>IF(ISNUMBER(J302),J302-IF(ISNUMBER(K302),K302,30),"")</f>
        <v/>
      </c>
      <c r="M302" s="25">
        <f>IF(J302="","",IF(ISNUMBER(J302),J302-TODAY(),"Check date"))</f>
        <v/>
      </c>
      <c r="N302" s="26">
        <f>IF(M302="","",IF(ISNUMBER(M302),IF(M302&lt;0,"Expired",IF(M302&lt;=30,"Due ≤30 days",IF(M302&lt;=90,"Due ≤90 days","OK"))),"Check date"))</f>
        <v/>
      </c>
      <c r="O302" s="27" t="n"/>
      <c r="P302" s="21" t="n"/>
      <c r="Q302" s="21" t="n"/>
      <c r="R302" s="21" t="n"/>
    </row>
    <row r="303">
      <c r="A303" s="21" t="n"/>
      <c r="B303" s="21" t="n"/>
      <c r="C303" s="21" t="n"/>
      <c r="D303" s="21" t="n"/>
      <c r="E303" s="21" t="n"/>
      <c r="F303" s="21" t="n"/>
      <c r="G303" s="21" t="n"/>
      <c r="H303" s="21" t="n"/>
      <c r="I303" s="22" t="n"/>
      <c r="J303" s="22" t="n"/>
      <c r="K303" s="23" t="n"/>
      <c r="L303" s="24">
        <f>IF(ISNUMBER(J303),J303-IF(ISNUMBER(K303),K303,30),"")</f>
        <v/>
      </c>
      <c r="M303" s="25">
        <f>IF(J303="","",IF(ISNUMBER(J303),J303-TODAY(),"Check date"))</f>
        <v/>
      </c>
      <c r="N303" s="26">
        <f>IF(M303="","",IF(ISNUMBER(M303),IF(M303&lt;0,"Expired",IF(M303&lt;=30,"Due ≤30 days",IF(M303&lt;=90,"Due ≤90 days","OK"))),"Check date"))</f>
        <v/>
      </c>
      <c r="O303" s="27" t="n"/>
      <c r="P303" s="21" t="n"/>
      <c r="Q303" s="21" t="n"/>
      <c r="R303" s="21" t="n"/>
    </row>
    <row r="304">
      <c r="A304" s="21" t="n"/>
      <c r="B304" s="21" t="n"/>
      <c r="C304" s="21" t="n"/>
      <c r="D304" s="21" t="n"/>
      <c r="E304" s="21" t="n"/>
      <c r="F304" s="21" t="n"/>
      <c r="G304" s="21" t="n"/>
      <c r="H304" s="21" t="n"/>
      <c r="I304" s="22" t="n"/>
      <c r="J304" s="22" t="n"/>
      <c r="K304" s="23" t="n"/>
      <c r="L304" s="24">
        <f>IF(ISNUMBER(J304),J304-IF(ISNUMBER(K304),K304,30),"")</f>
        <v/>
      </c>
      <c r="M304" s="25">
        <f>IF(J304="","",IF(ISNUMBER(J304),J304-TODAY(),"Check date"))</f>
        <v/>
      </c>
      <c r="N304" s="26">
        <f>IF(M304="","",IF(ISNUMBER(M304),IF(M304&lt;0,"Expired",IF(M304&lt;=30,"Due ≤30 days",IF(M304&lt;=90,"Due ≤90 days","OK"))),"Check date"))</f>
        <v/>
      </c>
      <c r="O304" s="27" t="n"/>
      <c r="P304" s="21" t="n"/>
      <c r="Q304" s="21" t="n"/>
      <c r="R304" s="21" t="n"/>
    </row>
    <row r="305">
      <c r="A305" s="21" t="n"/>
      <c r="B305" s="21" t="n"/>
      <c r="C305" s="21" t="n"/>
      <c r="D305" s="21" t="n"/>
      <c r="E305" s="21" t="n"/>
      <c r="F305" s="21" t="n"/>
      <c r="G305" s="21" t="n"/>
      <c r="H305" s="21" t="n"/>
      <c r="I305" s="22" t="n"/>
      <c r="J305" s="22" t="n"/>
      <c r="K305" s="23" t="n"/>
      <c r="L305" s="24">
        <f>IF(ISNUMBER(J305),J305-IF(ISNUMBER(K305),K305,30),"")</f>
        <v/>
      </c>
      <c r="M305" s="25">
        <f>IF(J305="","",IF(ISNUMBER(J305),J305-TODAY(),"Check date"))</f>
        <v/>
      </c>
      <c r="N305" s="26">
        <f>IF(M305="","",IF(ISNUMBER(M305),IF(M305&lt;0,"Expired",IF(M305&lt;=30,"Due ≤30 days",IF(M305&lt;=90,"Due ≤90 days","OK"))),"Check date"))</f>
        <v/>
      </c>
      <c r="O305" s="27" t="n"/>
      <c r="P305" s="21" t="n"/>
      <c r="Q305" s="21" t="n"/>
      <c r="R305" s="21" t="n"/>
    </row>
    <row r="306">
      <c r="A306" s="21" t="n"/>
      <c r="B306" s="21" t="n"/>
      <c r="C306" s="21" t="n"/>
      <c r="D306" s="21" t="n"/>
      <c r="E306" s="21" t="n"/>
      <c r="F306" s="21" t="n"/>
      <c r="G306" s="21" t="n"/>
      <c r="H306" s="21" t="n"/>
      <c r="I306" s="22" t="n"/>
      <c r="J306" s="22" t="n"/>
      <c r="K306" s="23" t="n"/>
      <c r="L306" s="24">
        <f>IF(ISNUMBER(J306),J306-IF(ISNUMBER(K306),K306,30),"")</f>
        <v/>
      </c>
      <c r="M306" s="25">
        <f>IF(J306="","",IF(ISNUMBER(J306),J306-TODAY(),"Check date"))</f>
        <v/>
      </c>
      <c r="N306" s="26">
        <f>IF(M306="","",IF(ISNUMBER(M306),IF(M306&lt;0,"Expired",IF(M306&lt;=30,"Due ≤30 days",IF(M306&lt;=90,"Due ≤90 days","OK"))),"Check date"))</f>
        <v/>
      </c>
      <c r="O306" s="27" t="n"/>
      <c r="P306" s="21" t="n"/>
      <c r="Q306" s="21" t="n"/>
      <c r="R306" s="21" t="n"/>
    </row>
    <row r="307">
      <c r="A307" s="21" t="n"/>
      <c r="B307" s="21" t="n"/>
      <c r="C307" s="21" t="n"/>
      <c r="D307" s="21" t="n"/>
      <c r="E307" s="21" t="n"/>
      <c r="F307" s="21" t="n"/>
      <c r="G307" s="21" t="n"/>
      <c r="H307" s="21" t="n"/>
      <c r="I307" s="22" t="n"/>
      <c r="J307" s="22" t="n"/>
      <c r="K307" s="23" t="n"/>
      <c r="L307" s="24">
        <f>IF(ISNUMBER(J307),J307-IF(ISNUMBER(K307),K307,30),"")</f>
        <v/>
      </c>
      <c r="M307" s="25">
        <f>IF(J307="","",IF(ISNUMBER(J307),J307-TODAY(),"Check date"))</f>
        <v/>
      </c>
      <c r="N307" s="26">
        <f>IF(M307="","",IF(ISNUMBER(M307),IF(M307&lt;0,"Expired",IF(M307&lt;=30,"Due ≤30 days",IF(M307&lt;=90,"Due ≤90 days","OK"))),"Check date"))</f>
        <v/>
      </c>
      <c r="O307" s="27" t="n"/>
      <c r="P307" s="21" t="n"/>
      <c r="Q307" s="21" t="n"/>
      <c r="R307" s="21" t="n"/>
    </row>
    <row r="308">
      <c r="A308" s="21" t="n"/>
      <c r="B308" s="21" t="n"/>
      <c r="C308" s="21" t="n"/>
      <c r="D308" s="21" t="n"/>
      <c r="E308" s="21" t="n"/>
      <c r="F308" s="21" t="n"/>
      <c r="G308" s="21" t="n"/>
      <c r="H308" s="21" t="n"/>
      <c r="I308" s="22" t="n"/>
      <c r="J308" s="22" t="n"/>
      <c r="K308" s="23" t="n"/>
      <c r="L308" s="24">
        <f>IF(ISNUMBER(J308),J308-IF(ISNUMBER(K308),K308,30),"")</f>
        <v/>
      </c>
      <c r="M308" s="25">
        <f>IF(J308="","",IF(ISNUMBER(J308),J308-TODAY(),"Check date"))</f>
        <v/>
      </c>
      <c r="N308" s="26">
        <f>IF(M308="","",IF(ISNUMBER(M308),IF(M308&lt;0,"Expired",IF(M308&lt;=30,"Due ≤30 days",IF(M308&lt;=90,"Due ≤90 days","OK"))),"Check date"))</f>
        <v/>
      </c>
      <c r="O308" s="27" t="n"/>
      <c r="P308" s="21" t="n"/>
      <c r="Q308" s="21" t="n"/>
      <c r="R308" s="21" t="n"/>
    </row>
    <row r="309">
      <c r="A309" s="21" t="n"/>
      <c r="B309" s="21" t="n"/>
      <c r="C309" s="21" t="n"/>
      <c r="D309" s="21" t="n"/>
      <c r="E309" s="21" t="n"/>
      <c r="F309" s="21" t="n"/>
      <c r="G309" s="21" t="n"/>
      <c r="H309" s="21" t="n"/>
      <c r="I309" s="22" t="n"/>
      <c r="J309" s="22" t="n"/>
      <c r="K309" s="23" t="n"/>
      <c r="L309" s="24">
        <f>IF(ISNUMBER(J309),J309-IF(ISNUMBER(K309),K309,30),"")</f>
        <v/>
      </c>
      <c r="M309" s="25">
        <f>IF(J309="","",IF(ISNUMBER(J309),J309-TODAY(),"Check date"))</f>
        <v/>
      </c>
      <c r="N309" s="26">
        <f>IF(M309="","",IF(ISNUMBER(M309),IF(M309&lt;0,"Expired",IF(M309&lt;=30,"Due ≤30 days",IF(M309&lt;=90,"Due ≤90 days","OK"))),"Check date"))</f>
        <v/>
      </c>
      <c r="O309" s="27" t="n"/>
      <c r="P309" s="21" t="n"/>
      <c r="Q309" s="21" t="n"/>
      <c r="R309" s="21" t="n"/>
    </row>
    <row r="310">
      <c r="A310" s="21" t="n"/>
      <c r="B310" s="21" t="n"/>
      <c r="C310" s="21" t="n"/>
      <c r="D310" s="21" t="n"/>
      <c r="E310" s="21" t="n"/>
      <c r="F310" s="21" t="n"/>
      <c r="G310" s="21" t="n"/>
      <c r="H310" s="21" t="n"/>
      <c r="I310" s="22" t="n"/>
      <c r="J310" s="22" t="n"/>
      <c r="K310" s="23" t="n"/>
      <c r="L310" s="24">
        <f>IF(ISNUMBER(J310),J310-IF(ISNUMBER(K310),K310,30),"")</f>
        <v/>
      </c>
      <c r="M310" s="25">
        <f>IF(J310="","",IF(ISNUMBER(J310),J310-TODAY(),"Check date"))</f>
        <v/>
      </c>
      <c r="N310" s="26">
        <f>IF(M310="","",IF(ISNUMBER(M310),IF(M310&lt;0,"Expired",IF(M310&lt;=30,"Due ≤30 days",IF(M310&lt;=90,"Due ≤90 days","OK"))),"Check date"))</f>
        <v/>
      </c>
      <c r="O310" s="27" t="n"/>
      <c r="P310" s="21" t="n"/>
      <c r="Q310" s="21" t="n"/>
      <c r="R310" s="21" t="n"/>
    </row>
    <row r="311">
      <c r="A311" s="21" t="n"/>
      <c r="B311" s="21" t="n"/>
      <c r="C311" s="21" t="n"/>
      <c r="D311" s="21" t="n"/>
      <c r="E311" s="21" t="n"/>
      <c r="F311" s="21" t="n"/>
      <c r="G311" s="21" t="n"/>
      <c r="H311" s="21" t="n"/>
      <c r="I311" s="22" t="n"/>
      <c r="J311" s="22" t="n"/>
      <c r="K311" s="23" t="n"/>
      <c r="L311" s="24">
        <f>IF(ISNUMBER(J311),J311-IF(ISNUMBER(K311),K311,30),"")</f>
        <v/>
      </c>
      <c r="M311" s="25">
        <f>IF(J311="","",IF(ISNUMBER(J311),J311-TODAY(),"Check date"))</f>
        <v/>
      </c>
      <c r="N311" s="26">
        <f>IF(M311="","",IF(ISNUMBER(M311),IF(M311&lt;0,"Expired",IF(M311&lt;=30,"Due ≤30 days",IF(M311&lt;=90,"Due ≤90 days","OK"))),"Check date"))</f>
        <v/>
      </c>
      <c r="O311" s="27" t="n"/>
      <c r="P311" s="21" t="n"/>
      <c r="Q311" s="21" t="n"/>
      <c r="R311" s="21" t="n"/>
    </row>
    <row r="312">
      <c r="A312" s="21" t="n"/>
      <c r="B312" s="21" t="n"/>
      <c r="C312" s="21" t="n"/>
      <c r="D312" s="21" t="n"/>
      <c r="E312" s="21" t="n"/>
      <c r="F312" s="21" t="n"/>
      <c r="G312" s="21" t="n"/>
      <c r="H312" s="21" t="n"/>
      <c r="I312" s="22" t="n"/>
      <c r="J312" s="22" t="n"/>
      <c r="K312" s="23" t="n"/>
      <c r="L312" s="24">
        <f>IF(ISNUMBER(J312),J312-IF(ISNUMBER(K312),K312,30),"")</f>
        <v/>
      </c>
      <c r="M312" s="25">
        <f>IF(J312="","",IF(ISNUMBER(J312),J312-TODAY(),"Check date"))</f>
        <v/>
      </c>
      <c r="N312" s="26">
        <f>IF(M312="","",IF(ISNUMBER(M312),IF(M312&lt;0,"Expired",IF(M312&lt;=30,"Due ≤30 days",IF(M312&lt;=90,"Due ≤90 days","OK"))),"Check date"))</f>
        <v/>
      </c>
      <c r="O312" s="27" t="n"/>
      <c r="P312" s="21" t="n"/>
      <c r="Q312" s="21" t="n"/>
      <c r="R312" s="21" t="n"/>
    </row>
    <row r="313">
      <c r="A313" s="21" t="n"/>
      <c r="B313" s="21" t="n"/>
      <c r="C313" s="21" t="n"/>
      <c r="D313" s="21" t="n"/>
      <c r="E313" s="21" t="n"/>
      <c r="F313" s="21" t="n"/>
      <c r="G313" s="21" t="n"/>
      <c r="H313" s="21" t="n"/>
      <c r="I313" s="22" t="n"/>
      <c r="J313" s="22" t="n"/>
      <c r="K313" s="23" t="n"/>
      <c r="L313" s="24">
        <f>IF(ISNUMBER(J313),J313-IF(ISNUMBER(K313),K313,30),"")</f>
        <v/>
      </c>
      <c r="M313" s="25">
        <f>IF(J313="","",IF(ISNUMBER(J313),J313-TODAY(),"Check date"))</f>
        <v/>
      </c>
      <c r="N313" s="26">
        <f>IF(M313="","",IF(ISNUMBER(M313),IF(M313&lt;0,"Expired",IF(M313&lt;=30,"Due ≤30 days",IF(M313&lt;=90,"Due ≤90 days","OK"))),"Check date"))</f>
        <v/>
      </c>
      <c r="O313" s="27" t="n"/>
      <c r="P313" s="21" t="n"/>
      <c r="Q313" s="21" t="n"/>
      <c r="R313" s="21" t="n"/>
    </row>
    <row r="314">
      <c r="A314" s="21" t="n"/>
      <c r="B314" s="21" t="n"/>
      <c r="C314" s="21" t="n"/>
      <c r="D314" s="21" t="n"/>
      <c r="E314" s="21" t="n"/>
      <c r="F314" s="21" t="n"/>
      <c r="G314" s="21" t="n"/>
      <c r="H314" s="21" t="n"/>
      <c r="I314" s="22" t="n"/>
      <c r="J314" s="22" t="n"/>
      <c r="K314" s="23" t="n"/>
      <c r="L314" s="24">
        <f>IF(ISNUMBER(J314),J314-IF(ISNUMBER(K314),K314,30),"")</f>
        <v/>
      </c>
      <c r="M314" s="25">
        <f>IF(J314="","",IF(ISNUMBER(J314),J314-TODAY(),"Check date"))</f>
        <v/>
      </c>
      <c r="N314" s="26">
        <f>IF(M314="","",IF(ISNUMBER(M314),IF(M314&lt;0,"Expired",IF(M314&lt;=30,"Due ≤30 days",IF(M314&lt;=90,"Due ≤90 days","OK"))),"Check date"))</f>
        <v/>
      </c>
      <c r="O314" s="27" t="n"/>
      <c r="P314" s="21" t="n"/>
      <c r="Q314" s="21" t="n"/>
      <c r="R314" s="21" t="n"/>
    </row>
    <row r="315">
      <c r="A315" s="21" t="n"/>
      <c r="B315" s="21" t="n"/>
      <c r="C315" s="21" t="n"/>
      <c r="D315" s="21" t="n"/>
      <c r="E315" s="21" t="n"/>
      <c r="F315" s="21" t="n"/>
      <c r="G315" s="21" t="n"/>
      <c r="H315" s="21" t="n"/>
      <c r="I315" s="22" t="n"/>
      <c r="J315" s="22" t="n"/>
      <c r="K315" s="23" t="n"/>
      <c r="L315" s="24">
        <f>IF(ISNUMBER(J315),J315-IF(ISNUMBER(K315),K315,30),"")</f>
        <v/>
      </c>
      <c r="M315" s="25">
        <f>IF(J315="","",IF(ISNUMBER(J315),J315-TODAY(),"Check date"))</f>
        <v/>
      </c>
      <c r="N315" s="26">
        <f>IF(M315="","",IF(ISNUMBER(M315),IF(M315&lt;0,"Expired",IF(M315&lt;=30,"Due ≤30 days",IF(M315&lt;=90,"Due ≤90 days","OK"))),"Check date"))</f>
        <v/>
      </c>
      <c r="O315" s="27" t="n"/>
      <c r="P315" s="21" t="n"/>
      <c r="Q315" s="21" t="n"/>
      <c r="R315" s="21" t="n"/>
    </row>
    <row r="316">
      <c r="A316" s="21" t="n"/>
      <c r="B316" s="21" t="n"/>
      <c r="C316" s="21" t="n"/>
      <c r="D316" s="21" t="n"/>
      <c r="E316" s="21" t="n"/>
      <c r="F316" s="21" t="n"/>
      <c r="G316" s="21" t="n"/>
      <c r="H316" s="21" t="n"/>
      <c r="I316" s="22" t="n"/>
      <c r="J316" s="22" t="n"/>
      <c r="K316" s="23" t="n"/>
      <c r="L316" s="24">
        <f>IF(ISNUMBER(J316),J316-IF(ISNUMBER(K316),K316,30),"")</f>
        <v/>
      </c>
      <c r="M316" s="25">
        <f>IF(J316="","",IF(ISNUMBER(J316),J316-TODAY(),"Check date"))</f>
        <v/>
      </c>
      <c r="N316" s="26">
        <f>IF(M316="","",IF(ISNUMBER(M316),IF(M316&lt;0,"Expired",IF(M316&lt;=30,"Due ≤30 days",IF(M316&lt;=90,"Due ≤90 days","OK"))),"Check date"))</f>
        <v/>
      </c>
      <c r="O316" s="27" t="n"/>
      <c r="P316" s="21" t="n"/>
      <c r="Q316" s="21" t="n"/>
      <c r="R316" s="21" t="n"/>
    </row>
    <row r="317">
      <c r="A317" s="21" t="n"/>
      <c r="B317" s="21" t="n"/>
      <c r="C317" s="21" t="n"/>
      <c r="D317" s="21" t="n"/>
      <c r="E317" s="21" t="n"/>
      <c r="F317" s="21" t="n"/>
      <c r="G317" s="21" t="n"/>
      <c r="H317" s="21" t="n"/>
      <c r="I317" s="22" t="n"/>
      <c r="J317" s="22" t="n"/>
      <c r="K317" s="23" t="n"/>
      <c r="L317" s="24">
        <f>IF(ISNUMBER(J317),J317-IF(ISNUMBER(K317),K317,30),"")</f>
        <v/>
      </c>
      <c r="M317" s="25">
        <f>IF(J317="","",IF(ISNUMBER(J317),J317-TODAY(),"Check date"))</f>
        <v/>
      </c>
      <c r="N317" s="26">
        <f>IF(M317="","",IF(ISNUMBER(M317),IF(M317&lt;0,"Expired",IF(M317&lt;=30,"Due ≤30 days",IF(M317&lt;=90,"Due ≤90 days","OK"))),"Check date"))</f>
        <v/>
      </c>
      <c r="O317" s="27" t="n"/>
      <c r="P317" s="21" t="n"/>
      <c r="Q317" s="21" t="n"/>
      <c r="R317" s="21" t="n"/>
    </row>
    <row r="318">
      <c r="A318" s="21" t="n"/>
      <c r="B318" s="21" t="n"/>
      <c r="C318" s="21" t="n"/>
      <c r="D318" s="21" t="n"/>
      <c r="E318" s="21" t="n"/>
      <c r="F318" s="21" t="n"/>
      <c r="G318" s="21" t="n"/>
      <c r="H318" s="21" t="n"/>
      <c r="I318" s="22" t="n"/>
      <c r="J318" s="22" t="n"/>
      <c r="K318" s="23" t="n"/>
      <c r="L318" s="24">
        <f>IF(ISNUMBER(J318),J318-IF(ISNUMBER(K318),K318,30),"")</f>
        <v/>
      </c>
      <c r="M318" s="25">
        <f>IF(J318="","",IF(ISNUMBER(J318),J318-TODAY(),"Check date"))</f>
        <v/>
      </c>
      <c r="N318" s="26">
        <f>IF(M318="","",IF(ISNUMBER(M318),IF(M318&lt;0,"Expired",IF(M318&lt;=30,"Due ≤30 days",IF(M318&lt;=90,"Due ≤90 days","OK"))),"Check date"))</f>
        <v/>
      </c>
      <c r="O318" s="27" t="n"/>
      <c r="P318" s="21" t="n"/>
      <c r="Q318" s="21" t="n"/>
      <c r="R318" s="21" t="n"/>
    </row>
    <row r="319">
      <c r="A319" s="21" t="n"/>
      <c r="B319" s="21" t="n"/>
      <c r="C319" s="21" t="n"/>
      <c r="D319" s="21" t="n"/>
      <c r="E319" s="21" t="n"/>
      <c r="F319" s="21" t="n"/>
      <c r="G319" s="21" t="n"/>
      <c r="H319" s="21" t="n"/>
      <c r="I319" s="22" t="n"/>
      <c r="J319" s="22" t="n"/>
      <c r="K319" s="23" t="n"/>
      <c r="L319" s="24">
        <f>IF(ISNUMBER(J319),J319-IF(ISNUMBER(K319),K319,30),"")</f>
        <v/>
      </c>
      <c r="M319" s="25">
        <f>IF(J319="","",IF(ISNUMBER(J319),J319-TODAY(),"Check date"))</f>
        <v/>
      </c>
      <c r="N319" s="26">
        <f>IF(M319="","",IF(ISNUMBER(M319),IF(M319&lt;0,"Expired",IF(M319&lt;=30,"Due ≤30 days",IF(M319&lt;=90,"Due ≤90 days","OK"))),"Check date"))</f>
        <v/>
      </c>
      <c r="O319" s="27" t="n"/>
      <c r="P319" s="21" t="n"/>
      <c r="Q319" s="21" t="n"/>
      <c r="R319" s="21" t="n"/>
    </row>
    <row r="320">
      <c r="A320" s="21" t="n"/>
      <c r="B320" s="21" t="n"/>
      <c r="C320" s="21" t="n"/>
      <c r="D320" s="21" t="n"/>
      <c r="E320" s="21" t="n"/>
      <c r="F320" s="21" t="n"/>
      <c r="G320" s="21" t="n"/>
      <c r="H320" s="21" t="n"/>
      <c r="I320" s="22" t="n"/>
      <c r="J320" s="22" t="n"/>
      <c r="K320" s="23" t="n"/>
      <c r="L320" s="24">
        <f>IF(ISNUMBER(J320),J320-IF(ISNUMBER(K320),K320,30),"")</f>
        <v/>
      </c>
      <c r="M320" s="25">
        <f>IF(J320="","",IF(ISNUMBER(J320),J320-TODAY(),"Check date"))</f>
        <v/>
      </c>
      <c r="N320" s="26">
        <f>IF(M320="","",IF(ISNUMBER(M320),IF(M320&lt;0,"Expired",IF(M320&lt;=30,"Due ≤30 days",IF(M320&lt;=90,"Due ≤90 days","OK"))),"Check date"))</f>
        <v/>
      </c>
      <c r="O320" s="27" t="n"/>
      <c r="P320" s="21" t="n"/>
      <c r="Q320" s="21" t="n"/>
      <c r="R320" s="21" t="n"/>
    </row>
    <row r="321">
      <c r="A321" s="21" t="n"/>
      <c r="B321" s="21" t="n"/>
      <c r="C321" s="21" t="n"/>
      <c r="D321" s="21" t="n"/>
      <c r="E321" s="21" t="n"/>
      <c r="F321" s="21" t="n"/>
      <c r="G321" s="21" t="n"/>
      <c r="H321" s="21" t="n"/>
      <c r="I321" s="22" t="n"/>
      <c r="J321" s="22" t="n"/>
      <c r="K321" s="23" t="n"/>
      <c r="L321" s="24">
        <f>IF(ISNUMBER(J321),J321-IF(ISNUMBER(K321),K321,30),"")</f>
        <v/>
      </c>
      <c r="M321" s="25">
        <f>IF(J321="","",IF(ISNUMBER(J321),J321-TODAY(),"Check date"))</f>
        <v/>
      </c>
      <c r="N321" s="26">
        <f>IF(M321="","",IF(ISNUMBER(M321),IF(M321&lt;0,"Expired",IF(M321&lt;=30,"Due ≤30 days",IF(M321&lt;=90,"Due ≤90 days","OK"))),"Check date"))</f>
        <v/>
      </c>
      <c r="O321" s="27" t="n"/>
      <c r="P321" s="21" t="n"/>
      <c r="Q321" s="21" t="n"/>
      <c r="R321" s="21" t="n"/>
    </row>
    <row r="322">
      <c r="A322" s="21" t="n"/>
      <c r="B322" s="21" t="n"/>
      <c r="C322" s="21" t="n"/>
      <c r="D322" s="21" t="n"/>
      <c r="E322" s="21" t="n"/>
      <c r="F322" s="21" t="n"/>
      <c r="G322" s="21" t="n"/>
      <c r="H322" s="21" t="n"/>
      <c r="I322" s="22" t="n"/>
      <c r="J322" s="22" t="n"/>
      <c r="K322" s="23" t="n"/>
      <c r="L322" s="24">
        <f>IF(ISNUMBER(J322),J322-IF(ISNUMBER(K322),K322,30),"")</f>
        <v/>
      </c>
      <c r="M322" s="25">
        <f>IF(J322="","",IF(ISNUMBER(J322),J322-TODAY(),"Check date"))</f>
        <v/>
      </c>
      <c r="N322" s="26">
        <f>IF(M322="","",IF(ISNUMBER(M322),IF(M322&lt;0,"Expired",IF(M322&lt;=30,"Due ≤30 days",IF(M322&lt;=90,"Due ≤90 days","OK"))),"Check date"))</f>
        <v/>
      </c>
      <c r="O322" s="27" t="n"/>
      <c r="P322" s="21" t="n"/>
      <c r="Q322" s="21" t="n"/>
      <c r="R322" s="21" t="n"/>
    </row>
    <row r="323">
      <c r="A323" s="21" t="n"/>
      <c r="B323" s="21" t="n"/>
      <c r="C323" s="21" t="n"/>
      <c r="D323" s="21" t="n"/>
      <c r="E323" s="21" t="n"/>
      <c r="F323" s="21" t="n"/>
      <c r="G323" s="21" t="n"/>
      <c r="H323" s="21" t="n"/>
      <c r="I323" s="22" t="n"/>
      <c r="J323" s="22" t="n"/>
      <c r="K323" s="23" t="n"/>
      <c r="L323" s="24">
        <f>IF(ISNUMBER(J323),J323-IF(ISNUMBER(K323),K323,30),"")</f>
        <v/>
      </c>
      <c r="M323" s="25">
        <f>IF(J323="","",IF(ISNUMBER(J323),J323-TODAY(),"Check date"))</f>
        <v/>
      </c>
      <c r="N323" s="26">
        <f>IF(M323="","",IF(ISNUMBER(M323),IF(M323&lt;0,"Expired",IF(M323&lt;=30,"Due ≤30 days",IF(M323&lt;=90,"Due ≤90 days","OK"))),"Check date"))</f>
        <v/>
      </c>
      <c r="O323" s="27" t="n"/>
      <c r="P323" s="21" t="n"/>
      <c r="Q323" s="21" t="n"/>
      <c r="R323" s="21" t="n"/>
    </row>
    <row r="324">
      <c r="A324" s="21" t="n"/>
      <c r="B324" s="21" t="n"/>
      <c r="C324" s="21" t="n"/>
      <c r="D324" s="21" t="n"/>
      <c r="E324" s="21" t="n"/>
      <c r="F324" s="21" t="n"/>
      <c r="G324" s="21" t="n"/>
      <c r="H324" s="21" t="n"/>
      <c r="I324" s="22" t="n"/>
      <c r="J324" s="22" t="n"/>
      <c r="K324" s="23" t="n"/>
      <c r="L324" s="24">
        <f>IF(ISNUMBER(J324),J324-IF(ISNUMBER(K324),K324,30),"")</f>
        <v/>
      </c>
      <c r="M324" s="25">
        <f>IF(J324="","",IF(ISNUMBER(J324),J324-TODAY(),"Check date"))</f>
        <v/>
      </c>
      <c r="N324" s="26">
        <f>IF(M324="","",IF(ISNUMBER(M324),IF(M324&lt;0,"Expired",IF(M324&lt;=30,"Due ≤30 days",IF(M324&lt;=90,"Due ≤90 days","OK"))),"Check date"))</f>
        <v/>
      </c>
      <c r="O324" s="27" t="n"/>
      <c r="P324" s="21" t="n"/>
      <c r="Q324" s="21" t="n"/>
      <c r="R324" s="21" t="n"/>
    </row>
    <row r="325">
      <c r="A325" s="21" t="n"/>
      <c r="B325" s="21" t="n"/>
      <c r="C325" s="21" t="n"/>
      <c r="D325" s="21" t="n"/>
      <c r="E325" s="21" t="n"/>
      <c r="F325" s="21" t="n"/>
      <c r="G325" s="21" t="n"/>
      <c r="H325" s="21" t="n"/>
      <c r="I325" s="22" t="n"/>
      <c r="J325" s="22" t="n"/>
      <c r="K325" s="23" t="n"/>
      <c r="L325" s="24">
        <f>IF(ISNUMBER(J325),J325-IF(ISNUMBER(K325),K325,30),"")</f>
        <v/>
      </c>
      <c r="M325" s="25">
        <f>IF(J325="","",IF(ISNUMBER(J325),J325-TODAY(),"Check date"))</f>
        <v/>
      </c>
      <c r="N325" s="26">
        <f>IF(M325="","",IF(ISNUMBER(M325),IF(M325&lt;0,"Expired",IF(M325&lt;=30,"Due ≤30 days",IF(M325&lt;=90,"Due ≤90 days","OK"))),"Check date"))</f>
        <v/>
      </c>
      <c r="O325" s="27" t="n"/>
      <c r="P325" s="21" t="n"/>
      <c r="Q325" s="21" t="n"/>
      <c r="R325" s="21" t="n"/>
    </row>
    <row r="326">
      <c r="A326" s="21" t="n"/>
      <c r="B326" s="21" t="n"/>
      <c r="C326" s="21" t="n"/>
      <c r="D326" s="21" t="n"/>
      <c r="E326" s="21" t="n"/>
      <c r="F326" s="21" t="n"/>
      <c r="G326" s="21" t="n"/>
      <c r="H326" s="21" t="n"/>
      <c r="I326" s="22" t="n"/>
      <c r="J326" s="22" t="n"/>
      <c r="K326" s="23" t="n"/>
      <c r="L326" s="24">
        <f>IF(ISNUMBER(J326),J326-IF(ISNUMBER(K326),K326,30),"")</f>
        <v/>
      </c>
      <c r="M326" s="25">
        <f>IF(J326="","",IF(ISNUMBER(J326),J326-TODAY(),"Check date"))</f>
        <v/>
      </c>
      <c r="N326" s="26">
        <f>IF(M326="","",IF(ISNUMBER(M326),IF(M326&lt;0,"Expired",IF(M326&lt;=30,"Due ≤30 days",IF(M326&lt;=90,"Due ≤90 days","OK"))),"Check date"))</f>
        <v/>
      </c>
      <c r="O326" s="27" t="n"/>
      <c r="P326" s="21" t="n"/>
      <c r="Q326" s="21" t="n"/>
      <c r="R326" s="21" t="n"/>
    </row>
    <row r="327">
      <c r="A327" s="21" t="n"/>
      <c r="B327" s="21" t="n"/>
      <c r="C327" s="21" t="n"/>
      <c r="D327" s="21" t="n"/>
      <c r="E327" s="21" t="n"/>
      <c r="F327" s="21" t="n"/>
      <c r="G327" s="21" t="n"/>
      <c r="H327" s="21" t="n"/>
      <c r="I327" s="22" t="n"/>
      <c r="J327" s="22" t="n"/>
      <c r="K327" s="23" t="n"/>
      <c r="L327" s="24">
        <f>IF(ISNUMBER(J327),J327-IF(ISNUMBER(K327),K327,30),"")</f>
        <v/>
      </c>
      <c r="M327" s="25">
        <f>IF(J327="","",IF(ISNUMBER(J327),J327-TODAY(),"Check date"))</f>
        <v/>
      </c>
      <c r="N327" s="26">
        <f>IF(M327="","",IF(ISNUMBER(M327),IF(M327&lt;0,"Expired",IF(M327&lt;=30,"Due ≤30 days",IF(M327&lt;=90,"Due ≤90 days","OK"))),"Check date"))</f>
        <v/>
      </c>
      <c r="O327" s="27" t="n"/>
      <c r="P327" s="21" t="n"/>
      <c r="Q327" s="21" t="n"/>
      <c r="R327" s="21" t="n"/>
    </row>
    <row r="328">
      <c r="A328" s="21" t="n"/>
      <c r="B328" s="21" t="n"/>
      <c r="C328" s="21" t="n"/>
      <c r="D328" s="21" t="n"/>
      <c r="E328" s="21" t="n"/>
      <c r="F328" s="21" t="n"/>
      <c r="G328" s="21" t="n"/>
      <c r="H328" s="21" t="n"/>
      <c r="I328" s="22" t="n"/>
      <c r="J328" s="22" t="n"/>
      <c r="K328" s="23" t="n"/>
      <c r="L328" s="24">
        <f>IF(ISNUMBER(J328),J328-IF(ISNUMBER(K328),K328,30),"")</f>
        <v/>
      </c>
      <c r="M328" s="25">
        <f>IF(J328="","",IF(ISNUMBER(J328),J328-TODAY(),"Check date"))</f>
        <v/>
      </c>
      <c r="N328" s="26">
        <f>IF(M328="","",IF(ISNUMBER(M328),IF(M328&lt;0,"Expired",IF(M328&lt;=30,"Due ≤30 days",IF(M328&lt;=90,"Due ≤90 days","OK"))),"Check date"))</f>
        <v/>
      </c>
      <c r="O328" s="27" t="n"/>
      <c r="P328" s="21" t="n"/>
      <c r="Q328" s="21" t="n"/>
      <c r="R328" s="21" t="n"/>
    </row>
    <row r="329">
      <c r="A329" s="21" t="n"/>
      <c r="B329" s="21" t="n"/>
      <c r="C329" s="21" t="n"/>
      <c r="D329" s="21" t="n"/>
      <c r="E329" s="21" t="n"/>
      <c r="F329" s="21" t="n"/>
      <c r="G329" s="21" t="n"/>
      <c r="H329" s="21" t="n"/>
      <c r="I329" s="22" t="n"/>
      <c r="J329" s="22" t="n"/>
      <c r="K329" s="23" t="n"/>
      <c r="L329" s="24">
        <f>IF(ISNUMBER(J329),J329-IF(ISNUMBER(K329),K329,30),"")</f>
        <v/>
      </c>
      <c r="M329" s="25">
        <f>IF(J329="","",IF(ISNUMBER(J329),J329-TODAY(),"Check date"))</f>
        <v/>
      </c>
      <c r="N329" s="26">
        <f>IF(M329="","",IF(ISNUMBER(M329),IF(M329&lt;0,"Expired",IF(M329&lt;=30,"Due ≤30 days",IF(M329&lt;=90,"Due ≤90 days","OK"))),"Check date"))</f>
        <v/>
      </c>
      <c r="O329" s="27" t="n"/>
      <c r="P329" s="21" t="n"/>
      <c r="Q329" s="21" t="n"/>
      <c r="R329" s="21" t="n"/>
    </row>
    <row r="330">
      <c r="A330" s="21" t="n"/>
      <c r="B330" s="21" t="n"/>
      <c r="C330" s="21" t="n"/>
      <c r="D330" s="21" t="n"/>
      <c r="E330" s="21" t="n"/>
      <c r="F330" s="21" t="n"/>
      <c r="G330" s="21" t="n"/>
      <c r="H330" s="21" t="n"/>
      <c r="I330" s="22" t="n"/>
      <c r="J330" s="22" t="n"/>
      <c r="K330" s="23" t="n"/>
      <c r="L330" s="24">
        <f>IF(ISNUMBER(J330),J330-IF(ISNUMBER(K330),K330,30),"")</f>
        <v/>
      </c>
      <c r="M330" s="25">
        <f>IF(J330="","",IF(ISNUMBER(J330),J330-TODAY(),"Check date"))</f>
        <v/>
      </c>
      <c r="N330" s="26">
        <f>IF(M330="","",IF(ISNUMBER(M330),IF(M330&lt;0,"Expired",IF(M330&lt;=30,"Due ≤30 days",IF(M330&lt;=90,"Due ≤90 days","OK"))),"Check date"))</f>
        <v/>
      </c>
      <c r="O330" s="27" t="n"/>
      <c r="P330" s="21" t="n"/>
      <c r="Q330" s="21" t="n"/>
      <c r="R330" s="21" t="n"/>
    </row>
    <row r="331">
      <c r="A331" s="21" t="n"/>
      <c r="B331" s="21" t="n"/>
      <c r="C331" s="21" t="n"/>
      <c r="D331" s="21" t="n"/>
      <c r="E331" s="21" t="n"/>
      <c r="F331" s="21" t="n"/>
      <c r="G331" s="21" t="n"/>
      <c r="H331" s="21" t="n"/>
      <c r="I331" s="22" t="n"/>
      <c r="J331" s="22" t="n"/>
      <c r="K331" s="23" t="n"/>
      <c r="L331" s="24">
        <f>IF(ISNUMBER(J331),J331-IF(ISNUMBER(K331),K331,30),"")</f>
        <v/>
      </c>
      <c r="M331" s="25">
        <f>IF(J331="","",IF(ISNUMBER(J331),J331-TODAY(),"Check date"))</f>
        <v/>
      </c>
      <c r="N331" s="26">
        <f>IF(M331="","",IF(ISNUMBER(M331),IF(M331&lt;0,"Expired",IF(M331&lt;=30,"Due ≤30 days",IF(M331&lt;=90,"Due ≤90 days","OK"))),"Check date"))</f>
        <v/>
      </c>
      <c r="O331" s="27" t="n"/>
      <c r="P331" s="21" t="n"/>
      <c r="Q331" s="21" t="n"/>
      <c r="R331" s="21" t="n"/>
    </row>
    <row r="332">
      <c r="A332" s="21" t="n"/>
      <c r="B332" s="21" t="n"/>
      <c r="C332" s="21" t="n"/>
      <c r="D332" s="21" t="n"/>
      <c r="E332" s="21" t="n"/>
      <c r="F332" s="21" t="n"/>
      <c r="G332" s="21" t="n"/>
      <c r="H332" s="21" t="n"/>
      <c r="I332" s="22" t="n"/>
      <c r="J332" s="22" t="n"/>
      <c r="K332" s="23" t="n"/>
      <c r="L332" s="24">
        <f>IF(ISNUMBER(J332),J332-IF(ISNUMBER(K332),K332,30),"")</f>
        <v/>
      </c>
      <c r="M332" s="25">
        <f>IF(J332="","",IF(ISNUMBER(J332),J332-TODAY(),"Check date"))</f>
        <v/>
      </c>
      <c r="N332" s="26">
        <f>IF(M332="","",IF(ISNUMBER(M332),IF(M332&lt;0,"Expired",IF(M332&lt;=30,"Due ≤30 days",IF(M332&lt;=90,"Due ≤90 days","OK"))),"Check date"))</f>
        <v/>
      </c>
      <c r="O332" s="27" t="n"/>
      <c r="P332" s="21" t="n"/>
      <c r="Q332" s="21" t="n"/>
      <c r="R332" s="21" t="n"/>
    </row>
    <row r="333">
      <c r="A333" s="21" t="n"/>
      <c r="B333" s="21" t="n"/>
      <c r="C333" s="21" t="n"/>
      <c r="D333" s="21" t="n"/>
      <c r="E333" s="21" t="n"/>
      <c r="F333" s="21" t="n"/>
      <c r="G333" s="21" t="n"/>
      <c r="H333" s="21" t="n"/>
      <c r="I333" s="22" t="n"/>
      <c r="J333" s="22" t="n"/>
      <c r="K333" s="23" t="n"/>
      <c r="L333" s="24">
        <f>IF(ISNUMBER(J333),J333-IF(ISNUMBER(K333),K333,30),"")</f>
        <v/>
      </c>
      <c r="M333" s="25">
        <f>IF(J333="","",IF(ISNUMBER(J333),J333-TODAY(),"Check date"))</f>
        <v/>
      </c>
      <c r="N333" s="26">
        <f>IF(M333="","",IF(ISNUMBER(M333),IF(M333&lt;0,"Expired",IF(M333&lt;=30,"Due ≤30 days",IF(M333&lt;=90,"Due ≤90 days","OK"))),"Check date"))</f>
        <v/>
      </c>
      <c r="O333" s="27" t="n"/>
      <c r="P333" s="21" t="n"/>
      <c r="Q333" s="21" t="n"/>
      <c r="R333" s="21" t="n"/>
    </row>
    <row r="334">
      <c r="A334" s="21" t="n"/>
      <c r="B334" s="21" t="n"/>
      <c r="C334" s="21" t="n"/>
      <c r="D334" s="21" t="n"/>
      <c r="E334" s="21" t="n"/>
      <c r="F334" s="21" t="n"/>
      <c r="G334" s="21" t="n"/>
      <c r="H334" s="21" t="n"/>
      <c r="I334" s="22" t="n"/>
      <c r="J334" s="22" t="n"/>
      <c r="K334" s="23" t="n"/>
      <c r="L334" s="24">
        <f>IF(ISNUMBER(J334),J334-IF(ISNUMBER(K334),K334,30),"")</f>
        <v/>
      </c>
      <c r="M334" s="25">
        <f>IF(J334="","",IF(ISNUMBER(J334),J334-TODAY(),"Check date"))</f>
        <v/>
      </c>
      <c r="N334" s="26">
        <f>IF(M334="","",IF(ISNUMBER(M334),IF(M334&lt;0,"Expired",IF(M334&lt;=30,"Due ≤30 days",IF(M334&lt;=90,"Due ≤90 days","OK"))),"Check date"))</f>
        <v/>
      </c>
      <c r="O334" s="27" t="n"/>
      <c r="P334" s="21" t="n"/>
      <c r="Q334" s="21" t="n"/>
      <c r="R334" s="21" t="n"/>
    </row>
    <row r="335">
      <c r="A335" s="21" t="n"/>
      <c r="B335" s="21" t="n"/>
      <c r="C335" s="21" t="n"/>
      <c r="D335" s="21" t="n"/>
      <c r="E335" s="21" t="n"/>
      <c r="F335" s="21" t="n"/>
      <c r="G335" s="21" t="n"/>
      <c r="H335" s="21" t="n"/>
      <c r="I335" s="22" t="n"/>
      <c r="J335" s="22" t="n"/>
      <c r="K335" s="23" t="n"/>
      <c r="L335" s="24">
        <f>IF(ISNUMBER(J335),J335-IF(ISNUMBER(K335),K335,30),"")</f>
        <v/>
      </c>
      <c r="M335" s="25">
        <f>IF(J335="","",IF(ISNUMBER(J335),J335-TODAY(),"Check date"))</f>
        <v/>
      </c>
      <c r="N335" s="26">
        <f>IF(M335="","",IF(ISNUMBER(M335),IF(M335&lt;0,"Expired",IF(M335&lt;=30,"Due ≤30 days",IF(M335&lt;=90,"Due ≤90 days","OK"))),"Check date"))</f>
        <v/>
      </c>
      <c r="O335" s="27" t="n"/>
      <c r="P335" s="21" t="n"/>
      <c r="Q335" s="21" t="n"/>
      <c r="R335" s="21" t="n"/>
    </row>
    <row r="336">
      <c r="A336" s="21" t="n"/>
      <c r="B336" s="21" t="n"/>
      <c r="C336" s="21" t="n"/>
      <c r="D336" s="21" t="n"/>
      <c r="E336" s="21" t="n"/>
      <c r="F336" s="21" t="n"/>
      <c r="G336" s="21" t="n"/>
      <c r="H336" s="21" t="n"/>
      <c r="I336" s="22" t="n"/>
      <c r="J336" s="22" t="n"/>
      <c r="K336" s="23" t="n"/>
      <c r="L336" s="24">
        <f>IF(ISNUMBER(J336),J336-IF(ISNUMBER(K336),K336,30),"")</f>
        <v/>
      </c>
      <c r="M336" s="25">
        <f>IF(J336="","",IF(ISNUMBER(J336),J336-TODAY(),"Check date"))</f>
        <v/>
      </c>
      <c r="N336" s="26">
        <f>IF(M336="","",IF(ISNUMBER(M336),IF(M336&lt;0,"Expired",IF(M336&lt;=30,"Due ≤30 days",IF(M336&lt;=90,"Due ≤90 days","OK"))),"Check date"))</f>
        <v/>
      </c>
      <c r="O336" s="27" t="n"/>
      <c r="P336" s="21" t="n"/>
      <c r="Q336" s="21" t="n"/>
      <c r="R336" s="21" t="n"/>
    </row>
    <row r="337">
      <c r="A337" s="21" t="n"/>
      <c r="B337" s="21" t="n"/>
      <c r="C337" s="21" t="n"/>
      <c r="D337" s="21" t="n"/>
      <c r="E337" s="21" t="n"/>
      <c r="F337" s="21" t="n"/>
      <c r="G337" s="21" t="n"/>
      <c r="H337" s="21" t="n"/>
      <c r="I337" s="22" t="n"/>
      <c r="J337" s="22" t="n"/>
      <c r="K337" s="23" t="n"/>
      <c r="L337" s="24">
        <f>IF(ISNUMBER(J337),J337-IF(ISNUMBER(K337),K337,30),"")</f>
        <v/>
      </c>
      <c r="M337" s="25">
        <f>IF(J337="","",IF(ISNUMBER(J337),J337-TODAY(),"Check date"))</f>
        <v/>
      </c>
      <c r="N337" s="26">
        <f>IF(M337="","",IF(ISNUMBER(M337),IF(M337&lt;0,"Expired",IF(M337&lt;=30,"Due ≤30 days",IF(M337&lt;=90,"Due ≤90 days","OK"))),"Check date"))</f>
        <v/>
      </c>
      <c r="O337" s="27" t="n"/>
      <c r="P337" s="21" t="n"/>
      <c r="Q337" s="21" t="n"/>
      <c r="R337" s="21" t="n"/>
    </row>
    <row r="338">
      <c r="A338" s="21" t="n"/>
      <c r="B338" s="21" t="n"/>
      <c r="C338" s="21" t="n"/>
      <c r="D338" s="21" t="n"/>
      <c r="E338" s="21" t="n"/>
      <c r="F338" s="21" t="n"/>
      <c r="G338" s="21" t="n"/>
      <c r="H338" s="21" t="n"/>
      <c r="I338" s="22" t="n"/>
      <c r="J338" s="22" t="n"/>
      <c r="K338" s="23" t="n"/>
      <c r="L338" s="24">
        <f>IF(ISNUMBER(J338),J338-IF(ISNUMBER(K338),K338,30),"")</f>
        <v/>
      </c>
      <c r="M338" s="25">
        <f>IF(J338="","",IF(ISNUMBER(J338),J338-TODAY(),"Check date"))</f>
        <v/>
      </c>
      <c r="N338" s="26">
        <f>IF(M338="","",IF(ISNUMBER(M338),IF(M338&lt;0,"Expired",IF(M338&lt;=30,"Due ≤30 days",IF(M338&lt;=90,"Due ≤90 days","OK"))),"Check date"))</f>
        <v/>
      </c>
      <c r="O338" s="27" t="n"/>
      <c r="P338" s="21" t="n"/>
      <c r="Q338" s="21" t="n"/>
      <c r="R338" s="21" t="n"/>
    </row>
    <row r="339">
      <c r="A339" s="21" t="n"/>
      <c r="B339" s="21" t="n"/>
      <c r="C339" s="21" t="n"/>
      <c r="D339" s="21" t="n"/>
      <c r="E339" s="21" t="n"/>
      <c r="F339" s="21" t="n"/>
      <c r="G339" s="21" t="n"/>
      <c r="H339" s="21" t="n"/>
      <c r="I339" s="22" t="n"/>
      <c r="J339" s="22" t="n"/>
      <c r="K339" s="23" t="n"/>
      <c r="L339" s="24">
        <f>IF(ISNUMBER(J339),J339-IF(ISNUMBER(K339),K339,30),"")</f>
        <v/>
      </c>
      <c r="M339" s="25">
        <f>IF(J339="","",IF(ISNUMBER(J339),J339-TODAY(),"Check date"))</f>
        <v/>
      </c>
      <c r="N339" s="26">
        <f>IF(M339="","",IF(ISNUMBER(M339),IF(M339&lt;0,"Expired",IF(M339&lt;=30,"Due ≤30 days",IF(M339&lt;=90,"Due ≤90 days","OK"))),"Check date"))</f>
        <v/>
      </c>
      <c r="O339" s="27" t="n"/>
      <c r="P339" s="21" t="n"/>
      <c r="Q339" s="21" t="n"/>
      <c r="R339" s="21" t="n"/>
    </row>
    <row r="340">
      <c r="A340" s="21" t="n"/>
      <c r="B340" s="21" t="n"/>
      <c r="C340" s="21" t="n"/>
      <c r="D340" s="21" t="n"/>
      <c r="E340" s="21" t="n"/>
      <c r="F340" s="21" t="n"/>
      <c r="G340" s="21" t="n"/>
      <c r="H340" s="21" t="n"/>
      <c r="I340" s="22" t="n"/>
      <c r="J340" s="22" t="n"/>
      <c r="K340" s="23" t="n"/>
      <c r="L340" s="24">
        <f>IF(ISNUMBER(J340),J340-IF(ISNUMBER(K340),K340,30),"")</f>
        <v/>
      </c>
      <c r="M340" s="25">
        <f>IF(J340="","",IF(ISNUMBER(J340),J340-TODAY(),"Check date"))</f>
        <v/>
      </c>
      <c r="N340" s="26">
        <f>IF(M340="","",IF(ISNUMBER(M340),IF(M340&lt;0,"Expired",IF(M340&lt;=30,"Due ≤30 days",IF(M340&lt;=90,"Due ≤90 days","OK"))),"Check date"))</f>
        <v/>
      </c>
      <c r="O340" s="27" t="n"/>
      <c r="P340" s="21" t="n"/>
      <c r="Q340" s="21" t="n"/>
      <c r="R340" s="21" t="n"/>
    </row>
    <row r="341">
      <c r="A341" s="21" t="n"/>
      <c r="B341" s="21" t="n"/>
      <c r="C341" s="21" t="n"/>
      <c r="D341" s="21" t="n"/>
      <c r="E341" s="21" t="n"/>
      <c r="F341" s="21" t="n"/>
      <c r="G341" s="21" t="n"/>
      <c r="H341" s="21" t="n"/>
      <c r="I341" s="22" t="n"/>
      <c r="J341" s="22" t="n"/>
      <c r="K341" s="23" t="n"/>
      <c r="L341" s="24">
        <f>IF(ISNUMBER(J341),J341-IF(ISNUMBER(K341),K341,30),"")</f>
        <v/>
      </c>
      <c r="M341" s="25">
        <f>IF(J341="","",IF(ISNUMBER(J341),J341-TODAY(),"Check date"))</f>
        <v/>
      </c>
      <c r="N341" s="26">
        <f>IF(M341="","",IF(ISNUMBER(M341),IF(M341&lt;0,"Expired",IF(M341&lt;=30,"Due ≤30 days",IF(M341&lt;=90,"Due ≤90 days","OK"))),"Check date"))</f>
        <v/>
      </c>
      <c r="O341" s="27" t="n"/>
      <c r="P341" s="21" t="n"/>
      <c r="Q341" s="21" t="n"/>
      <c r="R341" s="21" t="n"/>
    </row>
    <row r="342">
      <c r="A342" s="21" t="n"/>
      <c r="B342" s="21" t="n"/>
      <c r="C342" s="21" t="n"/>
      <c r="D342" s="21" t="n"/>
      <c r="E342" s="21" t="n"/>
      <c r="F342" s="21" t="n"/>
      <c r="G342" s="21" t="n"/>
      <c r="H342" s="21" t="n"/>
      <c r="I342" s="22" t="n"/>
      <c r="J342" s="22" t="n"/>
      <c r="K342" s="23" t="n"/>
      <c r="L342" s="24">
        <f>IF(ISNUMBER(J342),J342-IF(ISNUMBER(K342),K342,30),"")</f>
        <v/>
      </c>
      <c r="M342" s="25">
        <f>IF(J342="","",IF(ISNUMBER(J342),J342-TODAY(),"Check date"))</f>
        <v/>
      </c>
      <c r="N342" s="26">
        <f>IF(M342="","",IF(ISNUMBER(M342),IF(M342&lt;0,"Expired",IF(M342&lt;=30,"Due ≤30 days",IF(M342&lt;=90,"Due ≤90 days","OK"))),"Check date"))</f>
        <v/>
      </c>
      <c r="O342" s="27" t="n"/>
      <c r="P342" s="21" t="n"/>
      <c r="Q342" s="21" t="n"/>
      <c r="R342" s="21" t="n"/>
    </row>
    <row r="343">
      <c r="A343" s="21" t="n"/>
      <c r="B343" s="21" t="n"/>
      <c r="C343" s="21" t="n"/>
      <c r="D343" s="21" t="n"/>
      <c r="E343" s="21" t="n"/>
      <c r="F343" s="21" t="n"/>
      <c r="G343" s="21" t="n"/>
      <c r="H343" s="21" t="n"/>
      <c r="I343" s="22" t="n"/>
      <c r="J343" s="22" t="n"/>
      <c r="K343" s="23" t="n"/>
      <c r="L343" s="24">
        <f>IF(ISNUMBER(J343),J343-IF(ISNUMBER(K343),K343,30),"")</f>
        <v/>
      </c>
      <c r="M343" s="25">
        <f>IF(J343="","",IF(ISNUMBER(J343),J343-TODAY(),"Check date"))</f>
        <v/>
      </c>
      <c r="N343" s="26">
        <f>IF(M343="","",IF(ISNUMBER(M343),IF(M343&lt;0,"Expired",IF(M343&lt;=30,"Due ≤30 days",IF(M343&lt;=90,"Due ≤90 days","OK"))),"Check date"))</f>
        <v/>
      </c>
      <c r="O343" s="27" t="n"/>
      <c r="P343" s="21" t="n"/>
      <c r="Q343" s="21" t="n"/>
      <c r="R343" s="21" t="n"/>
    </row>
    <row r="344">
      <c r="A344" s="21" t="n"/>
      <c r="B344" s="21" t="n"/>
      <c r="C344" s="21" t="n"/>
      <c r="D344" s="21" t="n"/>
      <c r="E344" s="21" t="n"/>
      <c r="F344" s="21" t="n"/>
      <c r="G344" s="21" t="n"/>
      <c r="H344" s="21" t="n"/>
      <c r="I344" s="22" t="n"/>
      <c r="J344" s="22" t="n"/>
      <c r="K344" s="23" t="n"/>
      <c r="L344" s="24">
        <f>IF(ISNUMBER(J344),J344-IF(ISNUMBER(K344),K344,30),"")</f>
        <v/>
      </c>
      <c r="M344" s="25">
        <f>IF(J344="","",IF(ISNUMBER(J344),J344-TODAY(),"Check date"))</f>
        <v/>
      </c>
      <c r="N344" s="26">
        <f>IF(M344="","",IF(ISNUMBER(M344),IF(M344&lt;0,"Expired",IF(M344&lt;=30,"Due ≤30 days",IF(M344&lt;=90,"Due ≤90 days","OK"))),"Check date"))</f>
        <v/>
      </c>
      <c r="O344" s="27" t="n"/>
      <c r="P344" s="21" t="n"/>
      <c r="Q344" s="21" t="n"/>
      <c r="R344" s="21" t="n"/>
    </row>
    <row r="345">
      <c r="A345" s="21" t="n"/>
      <c r="B345" s="21" t="n"/>
      <c r="C345" s="21" t="n"/>
      <c r="D345" s="21" t="n"/>
      <c r="E345" s="21" t="n"/>
      <c r="F345" s="21" t="n"/>
      <c r="G345" s="21" t="n"/>
      <c r="H345" s="21" t="n"/>
      <c r="I345" s="22" t="n"/>
      <c r="J345" s="22" t="n"/>
      <c r="K345" s="23" t="n"/>
      <c r="L345" s="24">
        <f>IF(ISNUMBER(J345),J345-IF(ISNUMBER(K345),K345,30),"")</f>
        <v/>
      </c>
      <c r="M345" s="25">
        <f>IF(J345="","",IF(ISNUMBER(J345),J345-TODAY(),"Check date"))</f>
        <v/>
      </c>
      <c r="N345" s="26">
        <f>IF(M345="","",IF(ISNUMBER(M345),IF(M345&lt;0,"Expired",IF(M345&lt;=30,"Due ≤30 days",IF(M345&lt;=90,"Due ≤90 days","OK"))),"Check date"))</f>
        <v/>
      </c>
      <c r="O345" s="27" t="n"/>
      <c r="P345" s="21" t="n"/>
      <c r="Q345" s="21" t="n"/>
      <c r="R345" s="21" t="n"/>
    </row>
    <row r="346">
      <c r="A346" s="21" t="n"/>
      <c r="B346" s="21" t="n"/>
      <c r="C346" s="21" t="n"/>
      <c r="D346" s="21" t="n"/>
      <c r="E346" s="21" t="n"/>
      <c r="F346" s="21" t="n"/>
      <c r="G346" s="21" t="n"/>
      <c r="H346" s="21" t="n"/>
      <c r="I346" s="22" t="n"/>
      <c r="J346" s="22" t="n"/>
      <c r="K346" s="23" t="n"/>
      <c r="L346" s="24">
        <f>IF(ISNUMBER(J346),J346-IF(ISNUMBER(K346),K346,30),"")</f>
        <v/>
      </c>
      <c r="M346" s="25">
        <f>IF(J346="","",IF(ISNUMBER(J346),J346-TODAY(),"Check date"))</f>
        <v/>
      </c>
      <c r="N346" s="26">
        <f>IF(M346="","",IF(ISNUMBER(M346),IF(M346&lt;0,"Expired",IF(M346&lt;=30,"Due ≤30 days",IF(M346&lt;=90,"Due ≤90 days","OK"))),"Check date"))</f>
        <v/>
      </c>
      <c r="O346" s="27" t="n"/>
      <c r="P346" s="21" t="n"/>
      <c r="Q346" s="21" t="n"/>
      <c r="R346" s="21" t="n"/>
    </row>
    <row r="347">
      <c r="A347" s="21" t="n"/>
      <c r="B347" s="21" t="n"/>
      <c r="C347" s="21" t="n"/>
      <c r="D347" s="21" t="n"/>
      <c r="E347" s="21" t="n"/>
      <c r="F347" s="21" t="n"/>
      <c r="G347" s="21" t="n"/>
      <c r="H347" s="21" t="n"/>
      <c r="I347" s="22" t="n"/>
      <c r="J347" s="22" t="n"/>
      <c r="K347" s="23" t="n"/>
      <c r="L347" s="24">
        <f>IF(ISNUMBER(J347),J347-IF(ISNUMBER(K347),K347,30),"")</f>
        <v/>
      </c>
      <c r="M347" s="25">
        <f>IF(J347="","",IF(ISNUMBER(J347),J347-TODAY(),"Check date"))</f>
        <v/>
      </c>
      <c r="N347" s="26">
        <f>IF(M347="","",IF(ISNUMBER(M347),IF(M347&lt;0,"Expired",IF(M347&lt;=30,"Due ≤30 days",IF(M347&lt;=90,"Due ≤90 days","OK"))),"Check date"))</f>
        <v/>
      </c>
      <c r="O347" s="27" t="n"/>
      <c r="P347" s="21" t="n"/>
      <c r="Q347" s="21" t="n"/>
      <c r="R347" s="21" t="n"/>
    </row>
    <row r="348">
      <c r="A348" s="21" t="n"/>
      <c r="B348" s="21" t="n"/>
      <c r="C348" s="21" t="n"/>
      <c r="D348" s="21" t="n"/>
      <c r="E348" s="21" t="n"/>
      <c r="F348" s="21" t="n"/>
      <c r="G348" s="21" t="n"/>
      <c r="H348" s="21" t="n"/>
      <c r="I348" s="22" t="n"/>
      <c r="J348" s="22" t="n"/>
      <c r="K348" s="23" t="n"/>
      <c r="L348" s="24">
        <f>IF(ISNUMBER(J348),J348-IF(ISNUMBER(K348),K348,30),"")</f>
        <v/>
      </c>
      <c r="M348" s="25">
        <f>IF(J348="","",IF(ISNUMBER(J348),J348-TODAY(),"Check date"))</f>
        <v/>
      </c>
      <c r="N348" s="26">
        <f>IF(M348="","",IF(ISNUMBER(M348),IF(M348&lt;0,"Expired",IF(M348&lt;=30,"Due ≤30 days",IF(M348&lt;=90,"Due ≤90 days","OK"))),"Check date"))</f>
        <v/>
      </c>
      <c r="O348" s="27" t="n"/>
      <c r="P348" s="21" t="n"/>
      <c r="Q348" s="21" t="n"/>
      <c r="R348" s="21" t="n"/>
    </row>
    <row r="349">
      <c r="A349" s="21" t="n"/>
      <c r="B349" s="21" t="n"/>
      <c r="C349" s="21" t="n"/>
      <c r="D349" s="21" t="n"/>
      <c r="E349" s="21" t="n"/>
      <c r="F349" s="21" t="n"/>
      <c r="G349" s="21" t="n"/>
      <c r="H349" s="21" t="n"/>
      <c r="I349" s="22" t="n"/>
      <c r="J349" s="22" t="n"/>
      <c r="K349" s="23" t="n"/>
      <c r="L349" s="24">
        <f>IF(ISNUMBER(J349),J349-IF(ISNUMBER(K349),K349,30),"")</f>
        <v/>
      </c>
      <c r="M349" s="25">
        <f>IF(J349="","",IF(ISNUMBER(J349),J349-TODAY(),"Check date"))</f>
        <v/>
      </c>
      <c r="N349" s="26">
        <f>IF(M349="","",IF(ISNUMBER(M349),IF(M349&lt;0,"Expired",IF(M349&lt;=30,"Due ≤30 days",IF(M349&lt;=90,"Due ≤90 days","OK"))),"Check date"))</f>
        <v/>
      </c>
      <c r="O349" s="27" t="n"/>
      <c r="P349" s="21" t="n"/>
      <c r="Q349" s="21" t="n"/>
      <c r="R349" s="21" t="n"/>
    </row>
    <row r="350">
      <c r="A350" s="21" t="n"/>
      <c r="B350" s="21" t="n"/>
      <c r="C350" s="21" t="n"/>
      <c r="D350" s="21" t="n"/>
      <c r="E350" s="21" t="n"/>
      <c r="F350" s="21" t="n"/>
      <c r="G350" s="21" t="n"/>
      <c r="H350" s="21" t="n"/>
      <c r="I350" s="22" t="n"/>
      <c r="J350" s="22" t="n"/>
      <c r="K350" s="23" t="n"/>
      <c r="L350" s="24">
        <f>IF(ISNUMBER(J350),J350-IF(ISNUMBER(K350),K350,30),"")</f>
        <v/>
      </c>
      <c r="M350" s="25">
        <f>IF(J350="","",IF(ISNUMBER(J350),J350-TODAY(),"Check date"))</f>
        <v/>
      </c>
      <c r="N350" s="26">
        <f>IF(M350="","",IF(ISNUMBER(M350),IF(M350&lt;0,"Expired",IF(M350&lt;=30,"Due ≤30 days",IF(M350&lt;=90,"Due ≤90 days","OK"))),"Check date"))</f>
        <v/>
      </c>
      <c r="O350" s="27" t="n"/>
      <c r="P350" s="21" t="n"/>
      <c r="Q350" s="21" t="n"/>
      <c r="R350" s="21" t="n"/>
    </row>
    <row r="351">
      <c r="A351" s="21" t="n"/>
      <c r="B351" s="21" t="n"/>
      <c r="C351" s="21" t="n"/>
      <c r="D351" s="21" t="n"/>
      <c r="E351" s="21" t="n"/>
      <c r="F351" s="21" t="n"/>
      <c r="G351" s="21" t="n"/>
      <c r="H351" s="21" t="n"/>
      <c r="I351" s="22" t="n"/>
      <c r="J351" s="22" t="n"/>
      <c r="K351" s="23" t="n"/>
      <c r="L351" s="24">
        <f>IF(ISNUMBER(J351),J351-IF(ISNUMBER(K351),K351,30),"")</f>
        <v/>
      </c>
      <c r="M351" s="25">
        <f>IF(J351="","",IF(ISNUMBER(J351),J351-TODAY(),"Check date"))</f>
        <v/>
      </c>
      <c r="N351" s="26">
        <f>IF(M351="","",IF(ISNUMBER(M351),IF(M351&lt;0,"Expired",IF(M351&lt;=30,"Due ≤30 days",IF(M351&lt;=90,"Due ≤90 days","OK"))),"Check date"))</f>
        <v/>
      </c>
      <c r="O351" s="27" t="n"/>
      <c r="P351" s="21" t="n"/>
      <c r="Q351" s="21" t="n"/>
      <c r="R351" s="21" t="n"/>
    </row>
    <row r="352">
      <c r="A352" s="21" t="n"/>
      <c r="B352" s="21" t="n"/>
      <c r="C352" s="21" t="n"/>
      <c r="D352" s="21" t="n"/>
      <c r="E352" s="21" t="n"/>
      <c r="F352" s="21" t="n"/>
      <c r="G352" s="21" t="n"/>
      <c r="H352" s="21" t="n"/>
      <c r="I352" s="22" t="n"/>
      <c r="J352" s="22" t="n"/>
      <c r="K352" s="23" t="n"/>
      <c r="L352" s="24">
        <f>IF(ISNUMBER(J352),J352-IF(ISNUMBER(K352),K352,30),"")</f>
        <v/>
      </c>
      <c r="M352" s="25">
        <f>IF(J352="","",IF(ISNUMBER(J352),J352-TODAY(),"Check date"))</f>
        <v/>
      </c>
      <c r="N352" s="26">
        <f>IF(M352="","",IF(ISNUMBER(M352),IF(M352&lt;0,"Expired",IF(M352&lt;=30,"Due ≤30 days",IF(M352&lt;=90,"Due ≤90 days","OK"))),"Check date"))</f>
        <v/>
      </c>
      <c r="O352" s="27" t="n"/>
      <c r="P352" s="21" t="n"/>
      <c r="Q352" s="21" t="n"/>
      <c r="R352" s="21" t="n"/>
    </row>
    <row r="353">
      <c r="A353" s="21" t="n"/>
      <c r="B353" s="21" t="n"/>
      <c r="C353" s="21" t="n"/>
      <c r="D353" s="21" t="n"/>
      <c r="E353" s="21" t="n"/>
      <c r="F353" s="21" t="n"/>
      <c r="G353" s="21" t="n"/>
      <c r="H353" s="21" t="n"/>
      <c r="I353" s="22" t="n"/>
      <c r="J353" s="22" t="n"/>
      <c r="K353" s="23" t="n"/>
      <c r="L353" s="24">
        <f>IF(ISNUMBER(J353),J353-IF(ISNUMBER(K353),K353,30),"")</f>
        <v/>
      </c>
      <c r="M353" s="25">
        <f>IF(J353="","",IF(ISNUMBER(J353),J353-TODAY(),"Check date"))</f>
        <v/>
      </c>
      <c r="N353" s="26">
        <f>IF(M353="","",IF(ISNUMBER(M353),IF(M353&lt;0,"Expired",IF(M353&lt;=30,"Due ≤30 days",IF(M353&lt;=90,"Due ≤90 days","OK"))),"Check date"))</f>
        <v/>
      </c>
      <c r="O353" s="27" t="n"/>
      <c r="P353" s="21" t="n"/>
      <c r="Q353" s="21" t="n"/>
      <c r="R353" s="21" t="n"/>
    </row>
    <row r="354">
      <c r="A354" s="21" t="n"/>
      <c r="B354" s="21" t="n"/>
      <c r="C354" s="21" t="n"/>
      <c r="D354" s="21" t="n"/>
      <c r="E354" s="21" t="n"/>
      <c r="F354" s="21" t="n"/>
      <c r="G354" s="21" t="n"/>
      <c r="H354" s="21" t="n"/>
      <c r="I354" s="22" t="n"/>
      <c r="J354" s="22" t="n"/>
      <c r="K354" s="23" t="n"/>
      <c r="L354" s="24">
        <f>IF(ISNUMBER(J354),J354-IF(ISNUMBER(K354),K354,30),"")</f>
        <v/>
      </c>
      <c r="M354" s="25">
        <f>IF(J354="","",IF(ISNUMBER(J354),J354-TODAY(),"Check date"))</f>
        <v/>
      </c>
      <c r="N354" s="26">
        <f>IF(M354="","",IF(ISNUMBER(M354),IF(M354&lt;0,"Expired",IF(M354&lt;=30,"Due ≤30 days",IF(M354&lt;=90,"Due ≤90 days","OK"))),"Check date"))</f>
        <v/>
      </c>
      <c r="O354" s="27" t="n"/>
      <c r="P354" s="21" t="n"/>
      <c r="Q354" s="21" t="n"/>
      <c r="R354" s="21" t="n"/>
    </row>
    <row r="355">
      <c r="A355" s="21" t="n"/>
      <c r="B355" s="21" t="n"/>
      <c r="C355" s="21" t="n"/>
      <c r="D355" s="21" t="n"/>
      <c r="E355" s="21" t="n"/>
      <c r="F355" s="21" t="n"/>
      <c r="G355" s="21" t="n"/>
      <c r="H355" s="21" t="n"/>
      <c r="I355" s="22" t="n"/>
      <c r="J355" s="22" t="n"/>
      <c r="K355" s="23" t="n"/>
      <c r="L355" s="24">
        <f>IF(ISNUMBER(J355),J355-IF(ISNUMBER(K355),K355,30),"")</f>
        <v/>
      </c>
      <c r="M355" s="25">
        <f>IF(J355="","",IF(ISNUMBER(J355),J355-TODAY(),"Check date"))</f>
        <v/>
      </c>
      <c r="N355" s="26">
        <f>IF(M355="","",IF(ISNUMBER(M355),IF(M355&lt;0,"Expired",IF(M355&lt;=30,"Due ≤30 days",IF(M355&lt;=90,"Due ≤90 days","OK"))),"Check date"))</f>
        <v/>
      </c>
      <c r="O355" s="27" t="n"/>
      <c r="P355" s="21" t="n"/>
      <c r="Q355" s="21" t="n"/>
      <c r="R355" s="21" t="n"/>
    </row>
    <row r="356">
      <c r="A356" s="21" t="n"/>
      <c r="B356" s="21" t="n"/>
      <c r="C356" s="21" t="n"/>
      <c r="D356" s="21" t="n"/>
      <c r="E356" s="21" t="n"/>
      <c r="F356" s="21" t="n"/>
      <c r="G356" s="21" t="n"/>
      <c r="H356" s="21" t="n"/>
      <c r="I356" s="22" t="n"/>
      <c r="J356" s="22" t="n"/>
      <c r="K356" s="23" t="n"/>
      <c r="L356" s="24">
        <f>IF(ISNUMBER(J356),J356-IF(ISNUMBER(K356),K356,30),"")</f>
        <v/>
      </c>
      <c r="M356" s="25">
        <f>IF(J356="","",IF(ISNUMBER(J356),J356-TODAY(),"Check date"))</f>
        <v/>
      </c>
      <c r="N356" s="26">
        <f>IF(M356="","",IF(ISNUMBER(M356),IF(M356&lt;0,"Expired",IF(M356&lt;=30,"Due ≤30 days",IF(M356&lt;=90,"Due ≤90 days","OK"))),"Check date"))</f>
        <v/>
      </c>
      <c r="O356" s="27" t="n"/>
      <c r="P356" s="21" t="n"/>
      <c r="Q356" s="21" t="n"/>
      <c r="R356" s="21" t="n"/>
    </row>
    <row r="357">
      <c r="A357" s="21" t="n"/>
      <c r="B357" s="21" t="n"/>
      <c r="C357" s="21" t="n"/>
      <c r="D357" s="21" t="n"/>
      <c r="E357" s="21" t="n"/>
      <c r="F357" s="21" t="n"/>
      <c r="G357" s="21" t="n"/>
      <c r="H357" s="21" t="n"/>
      <c r="I357" s="22" t="n"/>
      <c r="J357" s="22" t="n"/>
      <c r="K357" s="23" t="n"/>
      <c r="L357" s="24">
        <f>IF(ISNUMBER(J357),J357-IF(ISNUMBER(K357),K357,30),"")</f>
        <v/>
      </c>
      <c r="M357" s="25">
        <f>IF(J357="","",IF(ISNUMBER(J357),J357-TODAY(),"Check date"))</f>
        <v/>
      </c>
      <c r="N357" s="26">
        <f>IF(M357="","",IF(ISNUMBER(M357),IF(M357&lt;0,"Expired",IF(M357&lt;=30,"Due ≤30 days",IF(M357&lt;=90,"Due ≤90 days","OK"))),"Check date"))</f>
        <v/>
      </c>
      <c r="O357" s="27" t="n"/>
      <c r="P357" s="21" t="n"/>
      <c r="Q357" s="21" t="n"/>
      <c r="R357" s="21" t="n"/>
    </row>
    <row r="358">
      <c r="A358" s="21" t="n"/>
      <c r="B358" s="21" t="n"/>
      <c r="C358" s="21" t="n"/>
      <c r="D358" s="21" t="n"/>
      <c r="E358" s="21" t="n"/>
      <c r="F358" s="21" t="n"/>
      <c r="G358" s="21" t="n"/>
      <c r="H358" s="21" t="n"/>
      <c r="I358" s="22" t="n"/>
      <c r="J358" s="22" t="n"/>
      <c r="K358" s="23" t="n"/>
      <c r="L358" s="24">
        <f>IF(ISNUMBER(J358),J358-IF(ISNUMBER(K358),K358,30),"")</f>
        <v/>
      </c>
      <c r="M358" s="25">
        <f>IF(J358="","",IF(ISNUMBER(J358),J358-TODAY(),"Check date"))</f>
        <v/>
      </c>
      <c r="N358" s="26">
        <f>IF(M358="","",IF(ISNUMBER(M358),IF(M358&lt;0,"Expired",IF(M358&lt;=30,"Due ≤30 days",IF(M358&lt;=90,"Due ≤90 days","OK"))),"Check date"))</f>
        <v/>
      </c>
      <c r="O358" s="27" t="n"/>
      <c r="P358" s="21" t="n"/>
      <c r="Q358" s="21" t="n"/>
      <c r="R358" s="21" t="n"/>
    </row>
    <row r="359">
      <c r="A359" s="21" t="n"/>
      <c r="B359" s="21" t="n"/>
      <c r="C359" s="21" t="n"/>
      <c r="D359" s="21" t="n"/>
      <c r="E359" s="21" t="n"/>
      <c r="F359" s="21" t="n"/>
      <c r="G359" s="21" t="n"/>
      <c r="H359" s="21" t="n"/>
      <c r="I359" s="22" t="n"/>
      <c r="J359" s="22" t="n"/>
      <c r="K359" s="23" t="n"/>
      <c r="L359" s="24">
        <f>IF(ISNUMBER(J359),J359-IF(ISNUMBER(K359),K359,30),"")</f>
        <v/>
      </c>
      <c r="M359" s="25">
        <f>IF(J359="","",IF(ISNUMBER(J359),J359-TODAY(),"Check date"))</f>
        <v/>
      </c>
      <c r="N359" s="26">
        <f>IF(M359="","",IF(ISNUMBER(M359),IF(M359&lt;0,"Expired",IF(M359&lt;=30,"Due ≤30 days",IF(M359&lt;=90,"Due ≤90 days","OK"))),"Check date"))</f>
        <v/>
      </c>
      <c r="O359" s="27" t="n"/>
      <c r="P359" s="21" t="n"/>
      <c r="Q359" s="21" t="n"/>
      <c r="R359" s="21" t="n"/>
    </row>
    <row r="360">
      <c r="A360" s="21" t="n"/>
      <c r="B360" s="21" t="n"/>
      <c r="C360" s="21" t="n"/>
      <c r="D360" s="21" t="n"/>
      <c r="E360" s="21" t="n"/>
      <c r="F360" s="21" t="n"/>
      <c r="G360" s="21" t="n"/>
      <c r="H360" s="21" t="n"/>
      <c r="I360" s="22" t="n"/>
      <c r="J360" s="22" t="n"/>
      <c r="K360" s="23" t="n"/>
      <c r="L360" s="24">
        <f>IF(ISNUMBER(J360),J360-IF(ISNUMBER(K360),K360,30),"")</f>
        <v/>
      </c>
      <c r="M360" s="25">
        <f>IF(J360="","",IF(ISNUMBER(J360),J360-TODAY(),"Check date"))</f>
        <v/>
      </c>
      <c r="N360" s="26">
        <f>IF(M360="","",IF(ISNUMBER(M360),IF(M360&lt;0,"Expired",IF(M360&lt;=30,"Due ≤30 days",IF(M360&lt;=90,"Due ≤90 days","OK"))),"Check date"))</f>
        <v/>
      </c>
      <c r="O360" s="27" t="n"/>
      <c r="P360" s="21" t="n"/>
      <c r="Q360" s="21" t="n"/>
      <c r="R360" s="21" t="n"/>
    </row>
    <row r="361">
      <c r="A361" s="21" t="n"/>
      <c r="B361" s="21" t="n"/>
      <c r="C361" s="21" t="n"/>
      <c r="D361" s="21" t="n"/>
      <c r="E361" s="21" t="n"/>
      <c r="F361" s="21" t="n"/>
      <c r="G361" s="21" t="n"/>
      <c r="H361" s="21" t="n"/>
      <c r="I361" s="22" t="n"/>
      <c r="J361" s="22" t="n"/>
      <c r="K361" s="23" t="n"/>
      <c r="L361" s="24">
        <f>IF(ISNUMBER(J361),J361-IF(ISNUMBER(K361),K361,30),"")</f>
        <v/>
      </c>
      <c r="M361" s="25">
        <f>IF(J361="","",IF(ISNUMBER(J361),J361-TODAY(),"Check date"))</f>
        <v/>
      </c>
      <c r="N361" s="26">
        <f>IF(M361="","",IF(ISNUMBER(M361),IF(M361&lt;0,"Expired",IF(M361&lt;=30,"Due ≤30 days",IF(M361&lt;=90,"Due ≤90 days","OK"))),"Check date"))</f>
        <v/>
      </c>
      <c r="O361" s="27" t="n"/>
      <c r="P361" s="21" t="n"/>
      <c r="Q361" s="21" t="n"/>
      <c r="R361" s="21" t="n"/>
    </row>
    <row r="362">
      <c r="A362" s="21" t="n"/>
      <c r="B362" s="21" t="n"/>
      <c r="C362" s="21" t="n"/>
      <c r="D362" s="21" t="n"/>
      <c r="E362" s="21" t="n"/>
      <c r="F362" s="21" t="n"/>
      <c r="G362" s="21" t="n"/>
      <c r="H362" s="21" t="n"/>
      <c r="I362" s="22" t="n"/>
      <c r="J362" s="22" t="n"/>
      <c r="K362" s="23" t="n"/>
      <c r="L362" s="24">
        <f>IF(ISNUMBER(J362),J362-IF(ISNUMBER(K362),K362,30),"")</f>
        <v/>
      </c>
      <c r="M362" s="25">
        <f>IF(J362="","",IF(ISNUMBER(J362),J362-TODAY(),"Check date"))</f>
        <v/>
      </c>
      <c r="N362" s="26">
        <f>IF(M362="","",IF(ISNUMBER(M362),IF(M362&lt;0,"Expired",IF(M362&lt;=30,"Due ≤30 days",IF(M362&lt;=90,"Due ≤90 days","OK"))),"Check date"))</f>
        <v/>
      </c>
      <c r="O362" s="27" t="n"/>
      <c r="P362" s="21" t="n"/>
      <c r="Q362" s="21" t="n"/>
      <c r="R362" s="21" t="n"/>
    </row>
    <row r="363">
      <c r="A363" s="21" t="n"/>
      <c r="B363" s="21" t="n"/>
      <c r="C363" s="21" t="n"/>
      <c r="D363" s="21" t="n"/>
      <c r="E363" s="21" t="n"/>
      <c r="F363" s="21" t="n"/>
      <c r="G363" s="21" t="n"/>
      <c r="H363" s="21" t="n"/>
      <c r="I363" s="22" t="n"/>
      <c r="J363" s="22" t="n"/>
      <c r="K363" s="23" t="n"/>
      <c r="L363" s="24">
        <f>IF(ISNUMBER(J363),J363-IF(ISNUMBER(K363),K363,30),"")</f>
        <v/>
      </c>
      <c r="M363" s="25">
        <f>IF(J363="","",IF(ISNUMBER(J363),J363-TODAY(),"Check date"))</f>
        <v/>
      </c>
      <c r="N363" s="26">
        <f>IF(M363="","",IF(ISNUMBER(M363),IF(M363&lt;0,"Expired",IF(M363&lt;=30,"Due ≤30 days",IF(M363&lt;=90,"Due ≤90 days","OK"))),"Check date"))</f>
        <v/>
      </c>
      <c r="O363" s="27" t="n"/>
      <c r="P363" s="21" t="n"/>
      <c r="Q363" s="21" t="n"/>
      <c r="R363" s="21" t="n"/>
    </row>
    <row r="364">
      <c r="A364" s="21" t="n"/>
      <c r="B364" s="21" t="n"/>
      <c r="C364" s="21" t="n"/>
      <c r="D364" s="21" t="n"/>
      <c r="E364" s="21" t="n"/>
      <c r="F364" s="21" t="n"/>
      <c r="G364" s="21" t="n"/>
      <c r="H364" s="21" t="n"/>
      <c r="I364" s="22" t="n"/>
      <c r="J364" s="22" t="n"/>
      <c r="K364" s="23" t="n"/>
      <c r="L364" s="24">
        <f>IF(ISNUMBER(J364),J364-IF(ISNUMBER(K364),K364,30),"")</f>
        <v/>
      </c>
      <c r="M364" s="25">
        <f>IF(J364="","",IF(ISNUMBER(J364),J364-TODAY(),"Check date"))</f>
        <v/>
      </c>
      <c r="N364" s="26">
        <f>IF(M364="","",IF(ISNUMBER(M364),IF(M364&lt;0,"Expired",IF(M364&lt;=30,"Due ≤30 days",IF(M364&lt;=90,"Due ≤90 days","OK"))),"Check date"))</f>
        <v/>
      </c>
      <c r="O364" s="27" t="n"/>
      <c r="P364" s="21" t="n"/>
      <c r="Q364" s="21" t="n"/>
      <c r="R364" s="21" t="n"/>
    </row>
    <row r="365">
      <c r="A365" s="21" t="n"/>
      <c r="B365" s="21" t="n"/>
      <c r="C365" s="21" t="n"/>
      <c r="D365" s="21" t="n"/>
      <c r="E365" s="21" t="n"/>
      <c r="F365" s="21" t="n"/>
      <c r="G365" s="21" t="n"/>
      <c r="H365" s="21" t="n"/>
      <c r="I365" s="22" t="n"/>
      <c r="J365" s="22" t="n"/>
      <c r="K365" s="23" t="n"/>
      <c r="L365" s="24">
        <f>IF(ISNUMBER(J365),J365-IF(ISNUMBER(K365),K365,30),"")</f>
        <v/>
      </c>
      <c r="M365" s="25">
        <f>IF(J365="","",IF(ISNUMBER(J365),J365-TODAY(),"Check date"))</f>
        <v/>
      </c>
      <c r="N365" s="26">
        <f>IF(M365="","",IF(ISNUMBER(M365),IF(M365&lt;0,"Expired",IF(M365&lt;=30,"Due ≤30 days",IF(M365&lt;=90,"Due ≤90 days","OK"))),"Check date"))</f>
        <v/>
      </c>
      <c r="O365" s="27" t="n"/>
      <c r="P365" s="21" t="n"/>
      <c r="Q365" s="21" t="n"/>
      <c r="R365" s="21" t="n"/>
    </row>
    <row r="366">
      <c r="A366" s="21" t="n"/>
      <c r="B366" s="21" t="n"/>
      <c r="C366" s="21" t="n"/>
      <c r="D366" s="21" t="n"/>
      <c r="E366" s="21" t="n"/>
      <c r="F366" s="21" t="n"/>
      <c r="G366" s="21" t="n"/>
      <c r="H366" s="21" t="n"/>
      <c r="I366" s="22" t="n"/>
      <c r="J366" s="22" t="n"/>
      <c r="K366" s="23" t="n"/>
      <c r="L366" s="24">
        <f>IF(ISNUMBER(J366),J366-IF(ISNUMBER(K366),K366,30),"")</f>
        <v/>
      </c>
      <c r="M366" s="25">
        <f>IF(J366="","",IF(ISNUMBER(J366),J366-TODAY(),"Check date"))</f>
        <v/>
      </c>
      <c r="N366" s="26">
        <f>IF(M366="","",IF(ISNUMBER(M366),IF(M366&lt;0,"Expired",IF(M366&lt;=30,"Due ≤30 days",IF(M366&lt;=90,"Due ≤90 days","OK"))),"Check date"))</f>
        <v/>
      </c>
      <c r="O366" s="27" t="n"/>
      <c r="P366" s="21" t="n"/>
      <c r="Q366" s="21" t="n"/>
      <c r="R366" s="21" t="n"/>
    </row>
    <row r="367">
      <c r="A367" s="21" t="n"/>
      <c r="B367" s="21" t="n"/>
      <c r="C367" s="21" t="n"/>
      <c r="D367" s="21" t="n"/>
      <c r="E367" s="21" t="n"/>
      <c r="F367" s="21" t="n"/>
      <c r="G367" s="21" t="n"/>
      <c r="H367" s="21" t="n"/>
      <c r="I367" s="22" t="n"/>
      <c r="J367" s="22" t="n"/>
      <c r="K367" s="23" t="n"/>
      <c r="L367" s="24">
        <f>IF(ISNUMBER(J367),J367-IF(ISNUMBER(K367),K367,30),"")</f>
        <v/>
      </c>
      <c r="M367" s="25">
        <f>IF(J367="","",IF(ISNUMBER(J367),J367-TODAY(),"Check date"))</f>
        <v/>
      </c>
      <c r="N367" s="26">
        <f>IF(M367="","",IF(ISNUMBER(M367),IF(M367&lt;0,"Expired",IF(M367&lt;=30,"Due ≤30 days",IF(M367&lt;=90,"Due ≤90 days","OK"))),"Check date"))</f>
        <v/>
      </c>
      <c r="O367" s="27" t="n"/>
      <c r="P367" s="21" t="n"/>
      <c r="Q367" s="21" t="n"/>
      <c r="R367" s="21" t="n"/>
    </row>
    <row r="368">
      <c r="A368" s="21" t="n"/>
      <c r="B368" s="21" t="n"/>
      <c r="C368" s="21" t="n"/>
      <c r="D368" s="21" t="n"/>
      <c r="E368" s="21" t="n"/>
      <c r="F368" s="21" t="n"/>
      <c r="G368" s="21" t="n"/>
      <c r="H368" s="21" t="n"/>
      <c r="I368" s="22" t="n"/>
      <c r="J368" s="22" t="n"/>
      <c r="K368" s="23" t="n"/>
      <c r="L368" s="24">
        <f>IF(ISNUMBER(J368),J368-IF(ISNUMBER(K368),K368,30),"")</f>
        <v/>
      </c>
      <c r="M368" s="25">
        <f>IF(J368="","",IF(ISNUMBER(J368),J368-TODAY(),"Check date"))</f>
        <v/>
      </c>
      <c r="N368" s="26">
        <f>IF(M368="","",IF(ISNUMBER(M368),IF(M368&lt;0,"Expired",IF(M368&lt;=30,"Due ≤30 days",IF(M368&lt;=90,"Due ≤90 days","OK"))),"Check date"))</f>
        <v/>
      </c>
      <c r="O368" s="27" t="n"/>
      <c r="P368" s="21" t="n"/>
      <c r="Q368" s="21" t="n"/>
      <c r="R368" s="21" t="n"/>
    </row>
    <row r="369">
      <c r="A369" s="21" t="n"/>
      <c r="B369" s="21" t="n"/>
      <c r="C369" s="21" t="n"/>
      <c r="D369" s="21" t="n"/>
      <c r="E369" s="21" t="n"/>
      <c r="F369" s="21" t="n"/>
      <c r="G369" s="21" t="n"/>
      <c r="H369" s="21" t="n"/>
      <c r="I369" s="22" t="n"/>
      <c r="J369" s="22" t="n"/>
      <c r="K369" s="23" t="n"/>
      <c r="L369" s="24">
        <f>IF(ISNUMBER(J369),J369-IF(ISNUMBER(K369),K369,30),"")</f>
        <v/>
      </c>
      <c r="M369" s="25">
        <f>IF(J369="","",IF(ISNUMBER(J369),J369-TODAY(),"Check date"))</f>
        <v/>
      </c>
      <c r="N369" s="26">
        <f>IF(M369="","",IF(ISNUMBER(M369),IF(M369&lt;0,"Expired",IF(M369&lt;=30,"Due ≤30 days",IF(M369&lt;=90,"Due ≤90 days","OK"))),"Check date"))</f>
        <v/>
      </c>
      <c r="O369" s="27" t="n"/>
      <c r="P369" s="21" t="n"/>
      <c r="Q369" s="21" t="n"/>
      <c r="R369" s="21" t="n"/>
    </row>
    <row r="370">
      <c r="A370" s="21" t="n"/>
      <c r="B370" s="21" t="n"/>
      <c r="C370" s="21" t="n"/>
      <c r="D370" s="21" t="n"/>
      <c r="E370" s="21" t="n"/>
      <c r="F370" s="21" t="n"/>
      <c r="G370" s="21" t="n"/>
      <c r="H370" s="21" t="n"/>
      <c r="I370" s="22" t="n"/>
      <c r="J370" s="22" t="n"/>
      <c r="K370" s="23" t="n"/>
      <c r="L370" s="24">
        <f>IF(ISNUMBER(J370),J370-IF(ISNUMBER(K370),K370,30),"")</f>
        <v/>
      </c>
      <c r="M370" s="25">
        <f>IF(J370="","",IF(ISNUMBER(J370),J370-TODAY(),"Check date"))</f>
        <v/>
      </c>
      <c r="N370" s="26">
        <f>IF(M370="","",IF(ISNUMBER(M370),IF(M370&lt;0,"Expired",IF(M370&lt;=30,"Due ≤30 days",IF(M370&lt;=90,"Due ≤90 days","OK"))),"Check date"))</f>
        <v/>
      </c>
      <c r="O370" s="27" t="n"/>
      <c r="P370" s="21" t="n"/>
      <c r="Q370" s="21" t="n"/>
      <c r="R370" s="21" t="n"/>
    </row>
    <row r="371">
      <c r="A371" s="21" t="n"/>
      <c r="B371" s="21" t="n"/>
      <c r="C371" s="21" t="n"/>
      <c r="D371" s="21" t="n"/>
      <c r="E371" s="21" t="n"/>
      <c r="F371" s="21" t="n"/>
      <c r="G371" s="21" t="n"/>
      <c r="H371" s="21" t="n"/>
      <c r="I371" s="22" t="n"/>
      <c r="J371" s="22" t="n"/>
      <c r="K371" s="23" t="n"/>
      <c r="L371" s="24">
        <f>IF(ISNUMBER(J371),J371-IF(ISNUMBER(K371),K371,30),"")</f>
        <v/>
      </c>
      <c r="M371" s="25">
        <f>IF(J371="","",IF(ISNUMBER(J371),J371-TODAY(),"Check date"))</f>
        <v/>
      </c>
      <c r="N371" s="26">
        <f>IF(M371="","",IF(ISNUMBER(M371),IF(M371&lt;0,"Expired",IF(M371&lt;=30,"Due ≤30 days",IF(M371&lt;=90,"Due ≤90 days","OK"))),"Check date"))</f>
        <v/>
      </c>
      <c r="O371" s="27" t="n"/>
      <c r="P371" s="21" t="n"/>
      <c r="Q371" s="21" t="n"/>
      <c r="R371" s="21" t="n"/>
    </row>
    <row r="372">
      <c r="A372" s="21" t="n"/>
      <c r="B372" s="21" t="n"/>
      <c r="C372" s="21" t="n"/>
      <c r="D372" s="21" t="n"/>
      <c r="E372" s="21" t="n"/>
      <c r="F372" s="21" t="n"/>
      <c r="G372" s="21" t="n"/>
      <c r="H372" s="21" t="n"/>
      <c r="I372" s="22" t="n"/>
      <c r="J372" s="22" t="n"/>
      <c r="K372" s="23" t="n"/>
      <c r="L372" s="24">
        <f>IF(ISNUMBER(J372),J372-IF(ISNUMBER(K372),K372,30),"")</f>
        <v/>
      </c>
      <c r="M372" s="25">
        <f>IF(J372="","",IF(ISNUMBER(J372),J372-TODAY(),"Check date"))</f>
        <v/>
      </c>
      <c r="N372" s="26">
        <f>IF(M372="","",IF(ISNUMBER(M372),IF(M372&lt;0,"Expired",IF(M372&lt;=30,"Due ≤30 days",IF(M372&lt;=90,"Due ≤90 days","OK"))),"Check date"))</f>
        <v/>
      </c>
      <c r="O372" s="27" t="n"/>
      <c r="P372" s="21" t="n"/>
      <c r="Q372" s="21" t="n"/>
      <c r="R372" s="21" t="n"/>
    </row>
    <row r="373">
      <c r="A373" s="21" t="n"/>
      <c r="B373" s="21" t="n"/>
      <c r="C373" s="21" t="n"/>
      <c r="D373" s="21" t="n"/>
      <c r="E373" s="21" t="n"/>
      <c r="F373" s="21" t="n"/>
      <c r="G373" s="21" t="n"/>
      <c r="H373" s="21" t="n"/>
      <c r="I373" s="22" t="n"/>
      <c r="J373" s="22" t="n"/>
      <c r="K373" s="23" t="n"/>
      <c r="L373" s="24">
        <f>IF(ISNUMBER(J373),J373-IF(ISNUMBER(K373),K373,30),"")</f>
        <v/>
      </c>
      <c r="M373" s="25">
        <f>IF(J373="","",IF(ISNUMBER(J373),J373-TODAY(),"Check date"))</f>
        <v/>
      </c>
      <c r="N373" s="26">
        <f>IF(M373="","",IF(ISNUMBER(M373),IF(M373&lt;0,"Expired",IF(M373&lt;=30,"Due ≤30 days",IF(M373&lt;=90,"Due ≤90 days","OK"))),"Check date"))</f>
        <v/>
      </c>
      <c r="O373" s="27" t="n"/>
      <c r="P373" s="21" t="n"/>
      <c r="Q373" s="21" t="n"/>
      <c r="R373" s="21" t="n"/>
    </row>
    <row r="374">
      <c r="A374" s="21" t="n"/>
      <c r="B374" s="21" t="n"/>
      <c r="C374" s="21" t="n"/>
      <c r="D374" s="21" t="n"/>
      <c r="E374" s="21" t="n"/>
      <c r="F374" s="21" t="n"/>
      <c r="G374" s="21" t="n"/>
      <c r="H374" s="21" t="n"/>
      <c r="I374" s="22" t="n"/>
      <c r="J374" s="22" t="n"/>
      <c r="K374" s="23" t="n"/>
      <c r="L374" s="24">
        <f>IF(ISNUMBER(J374),J374-IF(ISNUMBER(K374),K374,30),"")</f>
        <v/>
      </c>
      <c r="M374" s="25">
        <f>IF(J374="","",IF(ISNUMBER(J374),J374-TODAY(),"Check date"))</f>
        <v/>
      </c>
      <c r="N374" s="26">
        <f>IF(M374="","",IF(ISNUMBER(M374),IF(M374&lt;0,"Expired",IF(M374&lt;=30,"Due ≤30 days",IF(M374&lt;=90,"Due ≤90 days","OK"))),"Check date"))</f>
        <v/>
      </c>
      <c r="O374" s="27" t="n"/>
      <c r="P374" s="21" t="n"/>
      <c r="Q374" s="21" t="n"/>
      <c r="R374" s="21" t="n"/>
    </row>
    <row r="375">
      <c r="A375" s="21" t="n"/>
      <c r="B375" s="21" t="n"/>
      <c r="C375" s="21" t="n"/>
      <c r="D375" s="21" t="n"/>
      <c r="E375" s="21" t="n"/>
      <c r="F375" s="21" t="n"/>
      <c r="G375" s="21" t="n"/>
      <c r="H375" s="21" t="n"/>
      <c r="I375" s="22" t="n"/>
      <c r="J375" s="22" t="n"/>
      <c r="K375" s="23" t="n"/>
      <c r="L375" s="24">
        <f>IF(ISNUMBER(J375),J375-IF(ISNUMBER(K375),K375,30),"")</f>
        <v/>
      </c>
      <c r="M375" s="25">
        <f>IF(J375="","",IF(ISNUMBER(J375),J375-TODAY(),"Check date"))</f>
        <v/>
      </c>
      <c r="N375" s="26">
        <f>IF(M375="","",IF(ISNUMBER(M375),IF(M375&lt;0,"Expired",IF(M375&lt;=30,"Due ≤30 days",IF(M375&lt;=90,"Due ≤90 days","OK"))),"Check date"))</f>
        <v/>
      </c>
      <c r="O375" s="27" t="n"/>
      <c r="P375" s="21" t="n"/>
      <c r="Q375" s="21" t="n"/>
      <c r="R375" s="21" t="n"/>
    </row>
    <row r="376">
      <c r="A376" s="21" t="n"/>
      <c r="B376" s="21" t="n"/>
      <c r="C376" s="21" t="n"/>
      <c r="D376" s="21" t="n"/>
      <c r="E376" s="21" t="n"/>
      <c r="F376" s="21" t="n"/>
      <c r="G376" s="21" t="n"/>
      <c r="H376" s="21" t="n"/>
      <c r="I376" s="22" t="n"/>
      <c r="J376" s="22" t="n"/>
      <c r="K376" s="23" t="n"/>
      <c r="L376" s="24">
        <f>IF(ISNUMBER(J376),J376-IF(ISNUMBER(K376),K376,30),"")</f>
        <v/>
      </c>
      <c r="M376" s="25">
        <f>IF(J376="","",IF(ISNUMBER(J376),J376-TODAY(),"Check date"))</f>
        <v/>
      </c>
      <c r="N376" s="26">
        <f>IF(M376="","",IF(ISNUMBER(M376),IF(M376&lt;0,"Expired",IF(M376&lt;=30,"Due ≤30 days",IF(M376&lt;=90,"Due ≤90 days","OK"))),"Check date"))</f>
        <v/>
      </c>
      <c r="O376" s="27" t="n"/>
      <c r="P376" s="21" t="n"/>
      <c r="Q376" s="21" t="n"/>
      <c r="R376" s="21" t="n"/>
    </row>
    <row r="377">
      <c r="A377" s="21" t="n"/>
      <c r="B377" s="21" t="n"/>
      <c r="C377" s="21" t="n"/>
      <c r="D377" s="21" t="n"/>
      <c r="E377" s="21" t="n"/>
      <c r="F377" s="21" t="n"/>
      <c r="G377" s="21" t="n"/>
      <c r="H377" s="21" t="n"/>
      <c r="I377" s="22" t="n"/>
      <c r="J377" s="22" t="n"/>
      <c r="K377" s="23" t="n"/>
      <c r="L377" s="24">
        <f>IF(ISNUMBER(J377),J377-IF(ISNUMBER(K377),K377,30),"")</f>
        <v/>
      </c>
      <c r="M377" s="25">
        <f>IF(J377="","",IF(ISNUMBER(J377),J377-TODAY(),"Check date"))</f>
        <v/>
      </c>
      <c r="N377" s="26">
        <f>IF(M377="","",IF(ISNUMBER(M377),IF(M377&lt;0,"Expired",IF(M377&lt;=30,"Due ≤30 days",IF(M377&lt;=90,"Due ≤90 days","OK"))),"Check date"))</f>
        <v/>
      </c>
      <c r="O377" s="27" t="n"/>
      <c r="P377" s="21" t="n"/>
      <c r="Q377" s="21" t="n"/>
      <c r="R377" s="21" t="n"/>
    </row>
    <row r="378">
      <c r="A378" s="21" t="n"/>
      <c r="B378" s="21" t="n"/>
      <c r="C378" s="21" t="n"/>
      <c r="D378" s="21" t="n"/>
      <c r="E378" s="21" t="n"/>
      <c r="F378" s="21" t="n"/>
      <c r="G378" s="21" t="n"/>
      <c r="H378" s="21" t="n"/>
      <c r="I378" s="22" t="n"/>
      <c r="J378" s="22" t="n"/>
      <c r="K378" s="23" t="n"/>
      <c r="L378" s="24">
        <f>IF(ISNUMBER(J378),J378-IF(ISNUMBER(K378),K378,30),"")</f>
        <v/>
      </c>
      <c r="M378" s="25">
        <f>IF(J378="","",IF(ISNUMBER(J378),J378-TODAY(),"Check date"))</f>
        <v/>
      </c>
      <c r="N378" s="26">
        <f>IF(M378="","",IF(ISNUMBER(M378),IF(M378&lt;0,"Expired",IF(M378&lt;=30,"Due ≤30 days",IF(M378&lt;=90,"Due ≤90 days","OK"))),"Check date"))</f>
        <v/>
      </c>
      <c r="O378" s="27" t="n"/>
      <c r="P378" s="21" t="n"/>
      <c r="Q378" s="21" t="n"/>
      <c r="R378" s="21" t="n"/>
    </row>
    <row r="379">
      <c r="A379" s="21" t="n"/>
      <c r="B379" s="21" t="n"/>
      <c r="C379" s="21" t="n"/>
      <c r="D379" s="21" t="n"/>
      <c r="E379" s="21" t="n"/>
      <c r="F379" s="21" t="n"/>
      <c r="G379" s="21" t="n"/>
      <c r="H379" s="21" t="n"/>
      <c r="I379" s="22" t="n"/>
      <c r="J379" s="22" t="n"/>
      <c r="K379" s="23" t="n"/>
      <c r="L379" s="24">
        <f>IF(ISNUMBER(J379),J379-IF(ISNUMBER(K379),K379,30),"")</f>
        <v/>
      </c>
      <c r="M379" s="25">
        <f>IF(J379="","",IF(ISNUMBER(J379),J379-TODAY(),"Check date"))</f>
        <v/>
      </c>
      <c r="N379" s="26">
        <f>IF(M379="","",IF(ISNUMBER(M379),IF(M379&lt;0,"Expired",IF(M379&lt;=30,"Due ≤30 days",IF(M379&lt;=90,"Due ≤90 days","OK"))),"Check date"))</f>
        <v/>
      </c>
      <c r="O379" s="27" t="n"/>
      <c r="P379" s="21" t="n"/>
      <c r="Q379" s="21" t="n"/>
      <c r="R379" s="21" t="n"/>
    </row>
    <row r="380">
      <c r="A380" s="21" t="n"/>
      <c r="B380" s="21" t="n"/>
      <c r="C380" s="21" t="n"/>
      <c r="D380" s="21" t="n"/>
      <c r="E380" s="21" t="n"/>
      <c r="F380" s="21" t="n"/>
      <c r="G380" s="21" t="n"/>
      <c r="H380" s="21" t="n"/>
      <c r="I380" s="22" t="n"/>
      <c r="J380" s="22" t="n"/>
      <c r="K380" s="23" t="n"/>
      <c r="L380" s="24">
        <f>IF(ISNUMBER(J380),J380-IF(ISNUMBER(K380),K380,30),"")</f>
        <v/>
      </c>
      <c r="M380" s="25">
        <f>IF(J380="","",IF(ISNUMBER(J380),J380-TODAY(),"Check date"))</f>
        <v/>
      </c>
      <c r="N380" s="26">
        <f>IF(M380="","",IF(ISNUMBER(M380),IF(M380&lt;0,"Expired",IF(M380&lt;=30,"Due ≤30 days",IF(M380&lt;=90,"Due ≤90 days","OK"))),"Check date"))</f>
        <v/>
      </c>
      <c r="O380" s="27" t="n"/>
      <c r="P380" s="21" t="n"/>
      <c r="Q380" s="21" t="n"/>
      <c r="R380" s="21" t="n"/>
    </row>
    <row r="381">
      <c r="A381" s="21" t="n"/>
      <c r="B381" s="21" t="n"/>
      <c r="C381" s="21" t="n"/>
      <c r="D381" s="21" t="n"/>
      <c r="E381" s="21" t="n"/>
      <c r="F381" s="21" t="n"/>
      <c r="G381" s="21" t="n"/>
      <c r="H381" s="21" t="n"/>
      <c r="I381" s="22" t="n"/>
      <c r="J381" s="22" t="n"/>
      <c r="K381" s="23" t="n"/>
      <c r="L381" s="24">
        <f>IF(ISNUMBER(J381),J381-IF(ISNUMBER(K381),K381,30),"")</f>
        <v/>
      </c>
      <c r="M381" s="25">
        <f>IF(J381="","",IF(ISNUMBER(J381),J381-TODAY(),"Check date"))</f>
        <v/>
      </c>
      <c r="N381" s="26">
        <f>IF(M381="","",IF(ISNUMBER(M381),IF(M381&lt;0,"Expired",IF(M381&lt;=30,"Due ≤30 days",IF(M381&lt;=90,"Due ≤90 days","OK"))),"Check date"))</f>
        <v/>
      </c>
      <c r="O381" s="27" t="n"/>
      <c r="P381" s="21" t="n"/>
      <c r="Q381" s="21" t="n"/>
      <c r="R381" s="21" t="n"/>
    </row>
    <row r="382">
      <c r="A382" s="21" t="n"/>
      <c r="B382" s="21" t="n"/>
      <c r="C382" s="21" t="n"/>
      <c r="D382" s="21" t="n"/>
      <c r="E382" s="21" t="n"/>
      <c r="F382" s="21" t="n"/>
      <c r="G382" s="21" t="n"/>
      <c r="H382" s="21" t="n"/>
      <c r="I382" s="22" t="n"/>
      <c r="J382" s="22" t="n"/>
      <c r="K382" s="23" t="n"/>
      <c r="L382" s="24">
        <f>IF(ISNUMBER(J382),J382-IF(ISNUMBER(K382),K382,30),"")</f>
        <v/>
      </c>
      <c r="M382" s="25">
        <f>IF(J382="","",IF(ISNUMBER(J382),J382-TODAY(),"Check date"))</f>
        <v/>
      </c>
      <c r="N382" s="26">
        <f>IF(M382="","",IF(ISNUMBER(M382),IF(M382&lt;0,"Expired",IF(M382&lt;=30,"Due ≤30 days",IF(M382&lt;=90,"Due ≤90 days","OK"))),"Check date"))</f>
        <v/>
      </c>
      <c r="O382" s="27" t="n"/>
      <c r="P382" s="21" t="n"/>
      <c r="Q382" s="21" t="n"/>
      <c r="R382" s="21" t="n"/>
    </row>
    <row r="383">
      <c r="A383" s="21" t="n"/>
      <c r="B383" s="21" t="n"/>
      <c r="C383" s="21" t="n"/>
      <c r="D383" s="21" t="n"/>
      <c r="E383" s="21" t="n"/>
      <c r="F383" s="21" t="n"/>
      <c r="G383" s="21" t="n"/>
      <c r="H383" s="21" t="n"/>
      <c r="I383" s="22" t="n"/>
      <c r="J383" s="22" t="n"/>
      <c r="K383" s="23" t="n"/>
      <c r="L383" s="24">
        <f>IF(ISNUMBER(J383),J383-IF(ISNUMBER(K383),K383,30),"")</f>
        <v/>
      </c>
      <c r="M383" s="25">
        <f>IF(J383="","",IF(ISNUMBER(J383),J383-TODAY(),"Check date"))</f>
        <v/>
      </c>
      <c r="N383" s="26">
        <f>IF(M383="","",IF(ISNUMBER(M383),IF(M383&lt;0,"Expired",IF(M383&lt;=30,"Due ≤30 days",IF(M383&lt;=90,"Due ≤90 days","OK"))),"Check date"))</f>
        <v/>
      </c>
      <c r="O383" s="27" t="n"/>
      <c r="P383" s="21" t="n"/>
      <c r="Q383" s="21" t="n"/>
      <c r="R383" s="21" t="n"/>
    </row>
    <row r="384">
      <c r="A384" s="21" t="n"/>
      <c r="B384" s="21" t="n"/>
      <c r="C384" s="21" t="n"/>
      <c r="D384" s="21" t="n"/>
      <c r="E384" s="21" t="n"/>
      <c r="F384" s="21" t="n"/>
      <c r="G384" s="21" t="n"/>
      <c r="H384" s="21" t="n"/>
      <c r="I384" s="22" t="n"/>
      <c r="J384" s="22" t="n"/>
      <c r="K384" s="23" t="n"/>
      <c r="L384" s="24">
        <f>IF(ISNUMBER(J384),J384-IF(ISNUMBER(K384),K384,30),"")</f>
        <v/>
      </c>
      <c r="M384" s="25">
        <f>IF(J384="","",IF(ISNUMBER(J384),J384-TODAY(),"Check date"))</f>
        <v/>
      </c>
      <c r="N384" s="26">
        <f>IF(M384="","",IF(ISNUMBER(M384),IF(M384&lt;0,"Expired",IF(M384&lt;=30,"Due ≤30 days",IF(M384&lt;=90,"Due ≤90 days","OK"))),"Check date"))</f>
        <v/>
      </c>
      <c r="O384" s="27" t="n"/>
      <c r="P384" s="21" t="n"/>
      <c r="Q384" s="21" t="n"/>
      <c r="R384" s="21" t="n"/>
    </row>
    <row r="385">
      <c r="A385" s="21" t="n"/>
      <c r="B385" s="21" t="n"/>
      <c r="C385" s="21" t="n"/>
      <c r="D385" s="21" t="n"/>
      <c r="E385" s="21" t="n"/>
      <c r="F385" s="21" t="n"/>
      <c r="G385" s="21" t="n"/>
      <c r="H385" s="21" t="n"/>
      <c r="I385" s="22" t="n"/>
      <c r="J385" s="22" t="n"/>
      <c r="K385" s="23" t="n"/>
      <c r="L385" s="24">
        <f>IF(ISNUMBER(J385),J385-IF(ISNUMBER(K385),K385,30),"")</f>
        <v/>
      </c>
      <c r="M385" s="25">
        <f>IF(J385="","",IF(ISNUMBER(J385),J385-TODAY(),"Check date"))</f>
        <v/>
      </c>
      <c r="N385" s="26">
        <f>IF(M385="","",IF(ISNUMBER(M385),IF(M385&lt;0,"Expired",IF(M385&lt;=30,"Due ≤30 days",IF(M385&lt;=90,"Due ≤90 days","OK"))),"Check date"))</f>
        <v/>
      </c>
      <c r="O385" s="27" t="n"/>
      <c r="P385" s="21" t="n"/>
      <c r="Q385" s="21" t="n"/>
      <c r="R385" s="21" t="n"/>
    </row>
    <row r="386">
      <c r="A386" s="21" t="n"/>
      <c r="B386" s="21" t="n"/>
      <c r="C386" s="21" t="n"/>
      <c r="D386" s="21" t="n"/>
      <c r="E386" s="21" t="n"/>
      <c r="F386" s="21" t="n"/>
      <c r="G386" s="21" t="n"/>
      <c r="H386" s="21" t="n"/>
      <c r="I386" s="22" t="n"/>
      <c r="J386" s="22" t="n"/>
      <c r="K386" s="23" t="n"/>
      <c r="L386" s="24">
        <f>IF(ISNUMBER(J386),J386-IF(ISNUMBER(K386),K386,30),"")</f>
        <v/>
      </c>
      <c r="M386" s="25">
        <f>IF(J386="","",IF(ISNUMBER(J386),J386-TODAY(),"Check date"))</f>
        <v/>
      </c>
      <c r="N386" s="26">
        <f>IF(M386="","",IF(ISNUMBER(M386),IF(M386&lt;0,"Expired",IF(M386&lt;=30,"Due ≤30 days",IF(M386&lt;=90,"Due ≤90 days","OK"))),"Check date"))</f>
        <v/>
      </c>
      <c r="O386" s="27" t="n"/>
      <c r="P386" s="21" t="n"/>
      <c r="Q386" s="21" t="n"/>
      <c r="R386" s="21" t="n"/>
    </row>
    <row r="387">
      <c r="A387" s="21" t="n"/>
      <c r="B387" s="21" t="n"/>
      <c r="C387" s="21" t="n"/>
      <c r="D387" s="21" t="n"/>
      <c r="E387" s="21" t="n"/>
      <c r="F387" s="21" t="n"/>
      <c r="G387" s="21" t="n"/>
      <c r="H387" s="21" t="n"/>
      <c r="I387" s="22" t="n"/>
      <c r="J387" s="22" t="n"/>
      <c r="K387" s="23" t="n"/>
      <c r="L387" s="24">
        <f>IF(ISNUMBER(J387),J387-IF(ISNUMBER(K387),K387,30),"")</f>
        <v/>
      </c>
      <c r="M387" s="25">
        <f>IF(J387="","",IF(ISNUMBER(J387),J387-TODAY(),"Check date"))</f>
        <v/>
      </c>
      <c r="N387" s="26">
        <f>IF(M387="","",IF(ISNUMBER(M387),IF(M387&lt;0,"Expired",IF(M387&lt;=30,"Due ≤30 days",IF(M387&lt;=90,"Due ≤90 days","OK"))),"Check date"))</f>
        <v/>
      </c>
      <c r="O387" s="27" t="n"/>
      <c r="P387" s="21" t="n"/>
      <c r="Q387" s="21" t="n"/>
      <c r="R387" s="21" t="n"/>
    </row>
    <row r="388">
      <c r="A388" s="21" t="n"/>
      <c r="B388" s="21" t="n"/>
      <c r="C388" s="21" t="n"/>
      <c r="D388" s="21" t="n"/>
      <c r="E388" s="21" t="n"/>
      <c r="F388" s="21" t="n"/>
      <c r="G388" s="21" t="n"/>
      <c r="H388" s="21" t="n"/>
      <c r="I388" s="22" t="n"/>
      <c r="J388" s="22" t="n"/>
      <c r="K388" s="23" t="n"/>
      <c r="L388" s="24">
        <f>IF(ISNUMBER(J388),J388-IF(ISNUMBER(K388),K388,30),"")</f>
        <v/>
      </c>
      <c r="M388" s="25">
        <f>IF(J388="","",IF(ISNUMBER(J388),J388-TODAY(),"Check date"))</f>
        <v/>
      </c>
      <c r="N388" s="26">
        <f>IF(M388="","",IF(ISNUMBER(M388),IF(M388&lt;0,"Expired",IF(M388&lt;=30,"Due ≤30 days",IF(M388&lt;=90,"Due ≤90 days","OK"))),"Check date"))</f>
        <v/>
      </c>
      <c r="O388" s="27" t="n"/>
      <c r="P388" s="21" t="n"/>
      <c r="Q388" s="21" t="n"/>
      <c r="R388" s="21" t="n"/>
    </row>
    <row r="389">
      <c r="A389" s="21" t="n"/>
      <c r="B389" s="21" t="n"/>
      <c r="C389" s="21" t="n"/>
      <c r="D389" s="21" t="n"/>
      <c r="E389" s="21" t="n"/>
      <c r="F389" s="21" t="n"/>
      <c r="G389" s="21" t="n"/>
      <c r="H389" s="21" t="n"/>
      <c r="I389" s="22" t="n"/>
      <c r="J389" s="22" t="n"/>
      <c r="K389" s="23" t="n"/>
      <c r="L389" s="24">
        <f>IF(ISNUMBER(J389),J389-IF(ISNUMBER(K389),K389,30),"")</f>
        <v/>
      </c>
      <c r="M389" s="25">
        <f>IF(J389="","",IF(ISNUMBER(J389),J389-TODAY(),"Check date"))</f>
        <v/>
      </c>
      <c r="N389" s="26">
        <f>IF(M389="","",IF(ISNUMBER(M389),IF(M389&lt;0,"Expired",IF(M389&lt;=30,"Due ≤30 days",IF(M389&lt;=90,"Due ≤90 days","OK"))),"Check date"))</f>
        <v/>
      </c>
      <c r="O389" s="27" t="n"/>
      <c r="P389" s="21" t="n"/>
      <c r="Q389" s="21" t="n"/>
      <c r="R389" s="21" t="n"/>
    </row>
    <row r="390">
      <c r="A390" s="21" t="n"/>
      <c r="B390" s="21" t="n"/>
      <c r="C390" s="21" t="n"/>
      <c r="D390" s="21" t="n"/>
      <c r="E390" s="21" t="n"/>
      <c r="F390" s="21" t="n"/>
      <c r="G390" s="21" t="n"/>
      <c r="H390" s="21" t="n"/>
      <c r="I390" s="22" t="n"/>
      <c r="J390" s="22" t="n"/>
      <c r="K390" s="23" t="n"/>
      <c r="L390" s="24">
        <f>IF(ISNUMBER(J390),J390-IF(ISNUMBER(K390),K390,30),"")</f>
        <v/>
      </c>
      <c r="M390" s="25">
        <f>IF(J390="","",IF(ISNUMBER(J390),J390-TODAY(),"Check date"))</f>
        <v/>
      </c>
      <c r="N390" s="26">
        <f>IF(M390="","",IF(ISNUMBER(M390),IF(M390&lt;0,"Expired",IF(M390&lt;=30,"Due ≤30 days",IF(M390&lt;=90,"Due ≤90 days","OK"))),"Check date"))</f>
        <v/>
      </c>
      <c r="O390" s="27" t="n"/>
      <c r="P390" s="21" t="n"/>
      <c r="Q390" s="21" t="n"/>
      <c r="R390" s="21" t="n"/>
    </row>
    <row r="391">
      <c r="A391" s="21" t="n"/>
      <c r="B391" s="21" t="n"/>
      <c r="C391" s="21" t="n"/>
      <c r="D391" s="21" t="n"/>
      <c r="E391" s="21" t="n"/>
      <c r="F391" s="21" t="n"/>
      <c r="G391" s="21" t="n"/>
      <c r="H391" s="21" t="n"/>
      <c r="I391" s="22" t="n"/>
      <c r="J391" s="22" t="n"/>
      <c r="K391" s="23" t="n"/>
      <c r="L391" s="24">
        <f>IF(ISNUMBER(J391),J391-IF(ISNUMBER(K391),K391,30),"")</f>
        <v/>
      </c>
      <c r="M391" s="25">
        <f>IF(J391="","",IF(ISNUMBER(J391),J391-TODAY(),"Check date"))</f>
        <v/>
      </c>
      <c r="N391" s="26">
        <f>IF(M391="","",IF(ISNUMBER(M391),IF(M391&lt;0,"Expired",IF(M391&lt;=30,"Due ≤30 days",IF(M391&lt;=90,"Due ≤90 days","OK"))),"Check date"))</f>
        <v/>
      </c>
      <c r="O391" s="27" t="n"/>
      <c r="P391" s="21" t="n"/>
      <c r="Q391" s="21" t="n"/>
      <c r="R391" s="21" t="n"/>
    </row>
    <row r="392">
      <c r="A392" s="21" t="n"/>
      <c r="B392" s="21" t="n"/>
      <c r="C392" s="21" t="n"/>
      <c r="D392" s="21" t="n"/>
      <c r="E392" s="21" t="n"/>
      <c r="F392" s="21" t="n"/>
      <c r="G392" s="21" t="n"/>
      <c r="H392" s="21" t="n"/>
      <c r="I392" s="22" t="n"/>
      <c r="J392" s="22" t="n"/>
      <c r="K392" s="23" t="n"/>
      <c r="L392" s="24">
        <f>IF(ISNUMBER(J392),J392-IF(ISNUMBER(K392),K392,30),"")</f>
        <v/>
      </c>
      <c r="M392" s="25">
        <f>IF(J392="","",IF(ISNUMBER(J392),J392-TODAY(),"Check date"))</f>
        <v/>
      </c>
      <c r="N392" s="26">
        <f>IF(M392="","",IF(ISNUMBER(M392),IF(M392&lt;0,"Expired",IF(M392&lt;=30,"Due ≤30 days",IF(M392&lt;=90,"Due ≤90 days","OK"))),"Check date"))</f>
        <v/>
      </c>
      <c r="O392" s="27" t="n"/>
      <c r="P392" s="21" t="n"/>
      <c r="Q392" s="21" t="n"/>
      <c r="R392" s="21" t="n"/>
    </row>
    <row r="393">
      <c r="A393" s="21" t="n"/>
      <c r="B393" s="21" t="n"/>
      <c r="C393" s="21" t="n"/>
      <c r="D393" s="21" t="n"/>
      <c r="E393" s="21" t="n"/>
      <c r="F393" s="21" t="n"/>
      <c r="G393" s="21" t="n"/>
      <c r="H393" s="21" t="n"/>
      <c r="I393" s="22" t="n"/>
      <c r="J393" s="22" t="n"/>
      <c r="K393" s="23" t="n"/>
      <c r="L393" s="24">
        <f>IF(ISNUMBER(J393),J393-IF(ISNUMBER(K393),K393,30),"")</f>
        <v/>
      </c>
      <c r="M393" s="25">
        <f>IF(J393="","",IF(ISNUMBER(J393),J393-TODAY(),"Check date"))</f>
        <v/>
      </c>
      <c r="N393" s="26">
        <f>IF(M393="","",IF(ISNUMBER(M393),IF(M393&lt;0,"Expired",IF(M393&lt;=30,"Due ≤30 days",IF(M393&lt;=90,"Due ≤90 days","OK"))),"Check date"))</f>
        <v/>
      </c>
      <c r="O393" s="27" t="n"/>
      <c r="P393" s="21" t="n"/>
      <c r="Q393" s="21" t="n"/>
      <c r="R393" s="21" t="n"/>
    </row>
    <row r="394">
      <c r="A394" s="21" t="n"/>
      <c r="B394" s="21" t="n"/>
      <c r="C394" s="21" t="n"/>
      <c r="D394" s="21" t="n"/>
      <c r="E394" s="21" t="n"/>
      <c r="F394" s="21" t="n"/>
      <c r="G394" s="21" t="n"/>
      <c r="H394" s="21" t="n"/>
      <c r="I394" s="22" t="n"/>
      <c r="J394" s="22" t="n"/>
      <c r="K394" s="23" t="n"/>
      <c r="L394" s="24">
        <f>IF(ISNUMBER(J394),J394-IF(ISNUMBER(K394),K394,30),"")</f>
        <v/>
      </c>
      <c r="M394" s="25">
        <f>IF(J394="","",IF(ISNUMBER(J394),J394-TODAY(),"Check date"))</f>
        <v/>
      </c>
      <c r="N394" s="26">
        <f>IF(M394="","",IF(ISNUMBER(M394),IF(M394&lt;0,"Expired",IF(M394&lt;=30,"Due ≤30 days",IF(M394&lt;=90,"Due ≤90 days","OK"))),"Check date"))</f>
        <v/>
      </c>
      <c r="O394" s="27" t="n"/>
      <c r="P394" s="21" t="n"/>
      <c r="Q394" s="21" t="n"/>
      <c r="R394" s="21" t="n"/>
    </row>
    <row r="395">
      <c r="A395" s="21" t="n"/>
      <c r="B395" s="21" t="n"/>
      <c r="C395" s="21" t="n"/>
      <c r="D395" s="21" t="n"/>
      <c r="E395" s="21" t="n"/>
      <c r="F395" s="21" t="n"/>
      <c r="G395" s="21" t="n"/>
      <c r="H395" s="21" t="n"/>
      <c r="I395" s="22" t="n"/>
      <c r="J395" s="22" t="n"/>
      <c r="K395" s="23" t="n"/>
      <c r="L395" s="24">
        <f>IF(ISNUMBER(J395),J395-IF(ISNUMBER(K395),K395,30),"")</f>
        <v/>
      </c>
      <c r="M395" s="25">
        <f>IF(J395="","",IF(ISNUMBER(J395),J395-TODAY(),"Check date"))</f>
        <v/>
      </c>
      <c r="N395" s="26">
        <f>IF(M395="","",IF(ISNUMBER(M395),IF(M395&lt;0,"Expired",IF(M395&lt;=30,"Due ≤30 days",IF(M395&lt;=90,"Due ≤90 days","OK"))),"Check date"))</f>
        <v/>
      </c>
      <c r="O395" s="27" t="n"/>
      <c r="P395" s="21" t="n"/>
      <c r="Q395" s="21" t="n"/>
      <c r="R395" s="21" t="n"/>
    </row>
    <row r="396">
      <c r="A396" s="21" t="n"/>
      <c r="B396" s="21" t="n"/>
      <c r="C396" s="21" t="n"/>
      <c r="D396" s="21" t="n"/>
      <c r="E396" s="21" t="n"/>
      <c r="F396" s="21" t="n"/>
      <c r="G396" s="21" t="n"/>
      <c r="H396" s="21" t="n"/>
      <c r="I396" s="22" t="n"/>
      <c r="J396" s="22" t="n"/>
      <c r="K396" s="23" t="n"/>
      <c r="L396" s="24">
        <f>IF(ISNUMBER(J396),J396-IF(ISNUMBER(K396),K396,30),"")</f>
        <v/>
      </c>
      <c r="M396" s="25">
        <f>IF(J396="","",IF(ISNUMBER(J396),J396-TODAY(),"Check date"))</f>
        <v/>
      </c>
      <c r="N396" s="26">
        <f>IF(M396="","",IF(ISNUMBER(M396),IF(M396&lt;0,"Expired",IF(M396&lt;=30,"Due ≤30 days",IF(M396&lt;=90,"Due ≤90 days","OK"))),"Check date"))</f>
        <v/>
      </c>
      <c r="O396" s="27" t="n"/>
      <c r="P396" s="21" t="n"/>
      <c r="Q396" s="21" t="n"/>
      <c r="R396" s="21" t="n"/>
    </row>
    <row r="397">
      <c r="A397" s="21" t="n"/>
      <c r="B397" s="21" t="n"/>
      <c r="C397" s="21" t="n"/>
      <c r="D397" s="21" t="n"/>
      <c r="E397" s="21" t="n"/>
      <c r="F397" s="21" t="n"/>
      <c r="G397" s="21" t="n"/>
      <c r="H397" s="21" t="n"/>
      <c r="I397" s="22" t="n"/>
      <c r="J397" s="22" t="n"/>
      <c r="K397" s="23" t="n"/>
      <c r="L397" s="24">
        <f>IF(ISNUMBER(J397),J397-IF(ISNUMBER(K397),K397,30),"")</f>
        <v/>
      </c>
      <c r="M397" s="25">
        <f>IF(J397="","",IF(ISNUMBER(J397),J397-TODAY(),"Check date"))</f>
        <v/>
      </c>
      <c r="N397" s="26">
        <f>IF(M397="","",IF(ISNUMBER(M397),IF(M397&lt;0,"Expired",IF(M397&lt;=30,"Due ≤30 days",IF(M397&lt;=90,"Due ≤90 days","OK"))),"Check date"))</f>
        <v/>
      </c>
      <c r="O397" s="27" t="n"/>
      <c r="P397" s="21" t="n"/>
      <c r="Q397" s="21" t="n"/>
      <c r="R397" s="21" t="n"/>
    </row>
    <row r="398">
      <c r="A398" s="21" t="n"/>
      <c r="B398" s="21" t="n"/>
      <c r="C398" s="21" t="n"/>
      <c r="D398" s="21" t="n"/>
      <c r="E398" s="21" t="n"/>
      <c r="F398" s="21" t="n"/>
      <c r="G398" s="21" t="n"/>
      <c r="H398" s="21" t="n"/>
      <c r="I398" s="22" t="n"/>
      <c r="J398" s="22" t="n"/>
      <c r="K398" s="23" t="n"/>
      <c r="L398" s="24">
        <f>IF(ISNUMBER(J398),J398-IF(ISNUMBER(K398),K398,30),"")</f>
        <v/>
      </c>
      <c r="M398" s="25">
        <f>IF(J398="","",IF(ISNUMBER(J398),J398-TODAY(),"Check date"))</f>
        <v/>
      </c>
      <c r="N398" s="26">
        <f>IF(M398="","",IF(ISNUMBER(M398),IF(M398&lt;0,"Expired",IF(M398&lt;=30,"Due ≤30 days",IF(M398&lt;=90,"Due ≤90 days","OK"))),"Check date"))</f>
        <v/>
      </c>
      <c r="O398" s="27" t="n"/>
      <c r="P398" s="21" t="n"/>
      <c r="Q398" s="21" t="n"/>
      <c r="R398" s="21" t="n"/>
    </row>
    <row r="399">
      <c r="A399" s="21" t="n"/>
      <c r="B399" s="21" t="n"/>
      <c r="C399" s="21" t="n"/>
      <c r="D399" s="21" t="n"/>
      <c r="E399" s="21" t="n"/>
      <c r="F399" s="21" t="n"/>
      <c r="G399" s="21" t="n"/>
      <c r="H399" s="21" t="n"/>
      <c r="I399" s="22" t="n"/>
      <c r="J399" s="22" t="n"/>
      <c r="K399" s="23" t="n"/>
      <c r="L399" s="24">
        <f>IF(ISNUMBER(J399),J399-IF(ISNUMBER(K399),K399,30),"")</f>
        <v/>
      </c>
      <c r="M399" s="25">
        <f>IF(J399="","",IF(ISNUMBER(J399),J399-TODAY(),"Check date"))</f>
        <v/>
      </c>
      <c r="N399" s="26">
        <f>IF(M399="","",IF(ISNUMBER(M399),IF(M399&lt;0,"Expired",IF(M399&lt;=30,"Due ≤30 days",IF(M399&lt;=90,"Due ≤90 days","OK"))),"Check date"))</f>
        <v/>
      </c>
      <c r="O399" s="27" t="n"/>
      <c r="P399" s="21" t="n"/>
      <c r="Q399" s="21" t="n"/>
      <c r="R399" s="21" t="n"/>
    </row>
    <row r="400">
      <c r="A400" s="21" t="n"/>
      <c r="B400" s="21" t="n"/>
      <c r="C400" s="21" t="n"/>
      <c r="D400" s="21" t="n"/>
      <c r="E400" s="21" t="n"/>
      <c r="F400" s="21" t="n"/>
      <c r="G400" s="21" t="n"/>
      <c r="H400" s="21" t="n"/>
      <c r="I400" s="22" t="n"/>
      <c r="J400" s="22" t="n"/>
      <c r="K400" s="23" t="n"/>
      <c r="L400" s="24">
        <f>IF(ISNUMBER(J400),J400-IF(ISNUMBER(K400),K400,30),"")</f>
        <v/>
      </c>
      <c r="M400" s="25">
        <f>IF(J400="","",IF(ISNUMBER(J400),J400-TODAY(),"Check date"))</f>
        <v/>
      </c>
      <c r="N400" s="26">
        <f>IF(M400="","",IF(ISNUMBER(M400),IF(M400&lt;0,"Expired",IF(M400&lt;=30,"Due ≤30 days",IF(M400&lt;=90,"Due ≤90 days","OK"))),"Check date"))</f>
        <v/>
      </c>
      <c r="O400" s="27" t="n"/>
      <c r="P400" s="21" t="n"/>
      <c r="Q400" s="21" t="n"/>
      <c r="R400" s="21" t="n"/>
    </row>
    <row r="401">
      <c r="A401" s="21" t="n"/>
      <c r="B401" s="21" t="n"/>
      <c r="C401" s="21" t="n"/>
      <c r="D401" s="21" t="n"/>
      <c r="E401" s="21" t="n"/>
      <c r="F401" s="21" t="n"/>
      <c r="G401" s="21" t="n"/>
      <c r="H401" s="21" t="n"/>
      <c r="I401" s="22" t="n"/>
      <c r="J401" s="22" t="n"/>
      <c r="K401" s="23" t="n"/>
      <c r="L401" s="24">
        <f>IF(ISNUMBER(J401),J401-IF(ISNUMBER(K401),K401,30),"")</f>
        <v/>
      </c>
      <c r="M401" s="25">
        <f>IF(J401="","",IF(ISNUMBER(J401),J401-TODAY(),"Check date"))</f>
        <v/>
      </c>
      <c r="N401" s="26">
        <f>IF(M401="","",IF(ISNUMBER(M401),IF(M401&lt;0,"Expired",IF(M401&lt;=30,"Due ≤30 days",IF(M401&lt;=90,"Due ≤90 days","OK"))),"Check date"))</f>
        <v/>
      </c>
      <c r="O401" s="27" t="n"/>
      <c r="P401" s="21" t="n"/>
      <c r="Q401" s="21" t="n"/>
      <c r="R401" s="21" t="n"/>
    </row>
    <row r="402">
      <c r="A402" s="21" t="n"/>
      <c r="B402" s="21" t="n"/>
      <c r="C402" s="21" t="n"/>
      <c r="D402" s="21" t="n"/>
      <c r="E402" s="21" t="n"/>
      <c r="F402" s="21" t="n"/>
      <c r="G402" s="21" t="n"/>
      <c r="H402" s="21" t="n"/>
      <c r="I402" s="22" t="n"/>
      <c r="J402" s="22" t="n"/>
      <c r="K402" s="23" t="n"/>
      <c r="L402" s="24">
        <f>IF(ISNUMBER(J402),J402-IF(ISNUMBER(K402),K402,30),"")</f>
        <v/>
      </c>
      <c r="M402" s="25">
        <f>IF(J402="","",IF(ISNUMBER(J402),J402-TODAY(),"Check date"))</f>
        <v/>
      </c>
      <c r="N402" s="26">
        <f>IF(M402="","",IF(ISNUMBER(M402),IF(M402&lt;0,"Expired",IF(M402&lt;=30,"Due ≤30 days",IF(M402&lt;=90,"Due ≤90 days","OK"))),"Check date"))</f>
        <v/>
      </c>
      <c r="O402" s="27" t="n"/>
      <c r="P402" s="21" t="n"/>
      <c r="Q402" s="21" t="n"/>
      <c r="R402" s="21" t="n"/>
    </row>
    <row r="403">
      <c r="A403" s="21" t="n"/>
      <c r="B403" s="21" t="n"/>
      <c r="C403" s="21" t="n"/>
      <c r="D403" s="21" t="n"/>
      <c r="E403" s="21" t="n"/>
      <c r="F403" s="21" t="n"/>
      <c r="G403" s="21" t="n"/>
      <c r="H403" s="21" t="n"/>
      <c r="I403" s="22" t="n"/>
      <c r="J403" s="22" t="n"/>
      <c r="K403" s="23" t="n"/>
      <c r="L403" s="24">
        <f>IF(ISNUMBER(J403),J403-IF(ISNUMBER(K403),K403,30),"")</f>
        <v/>
      </c>
      <c r="M403" s="25">
        <f>IF(J403="","",IF(ISNUMBER(J403),J403-TODAY(),"Check date"))</f>
        <v/>
      </c>
      <c r="N403" s="26">
        <f>IF(M403="","",IF(ISNUMBER(M403),IF(M403&lt;0,"Expired",IF(M403&lt;=30,"Due ≤30 days",IF(M403&lt;=90,"Due ≤90 days","OK"))),"Check date"))</f>
        <v/>
      </c>
      <c r="O403" s="27" t="n"/>
      <c r="P403" s="21" t="n"/>
      <c r="Q403" s="21" t="n"/>
      <c r="R403" s="21" t="n"/>
    </row>
    <row r="404">
      <c r="A404" s="21" t="n"/>
      <c r="B404" s="21" t="n"/>
      <c r="C404" s="21" t="n"/>
      <c r="D404" s="21" t="n"/>
      <c r="E404" s="21" t="n"/>
      <c r="F404" s="21" t="n"/>
      <c r="G404" s="21" t="n"/>
      <c r="H404" s="21" t="n"/>
      <c r="I404" s="22" t="n"/>
      <c r="J404" s="22" t="n"/>
      <c r="K404" s="23" t="n"/>
      <c r="L404" s="24">
        <f>IF(ISNUMBER(J404),J404-IF(ISNUMBER(K404),K404,30),"")</f>
        <v/>
      </c>
      <c r="M404" s="25">
        <f>IF(J404="","",IF(ISNUMBER(J404),J404-TODAY(),"Check date"))</f>
        <v/>
      </c>
      <c r="N404" s="26">
        <f>IF(M404="","",IF(ISNUMBER(M404),IF(M404&lt;0,"Expired",IF(M404&lt;=30,"Due ≤30 days",IF(M404&lt;=90,"Due ≤90 days","OK"))),"Check date"))</f>
        <v/>
      </c>
      <c r="O404" s="27" t="n"/>
      <c r="P404" s="21" t="n"/>
      <c r="Q404" s="21" t="n"/>
      <c r="R404" s="21" t="n"/>
    </row>
    <row r="405">
      <c r="A405" s="21" t="n"/>
      <c r="B405" s="21" t="n"/>
      <c r="C405" s="21" t="n"/>
      <c r="D405" s="21" t="n"/>
      <c r="E405" s="21" t="n"/>
      <c r="F405" s="21" t="n"/>
      <c r="G405" s="21" t="n"/>
      <c r="H405" s="21" t="n"/>
      <c r="I405" s="22" t="n"/>
      <c r="J405" s="22" t="n"/>
      <c r="K405" s="23" t="n"/>
      <c r="L405" s="24">
        <f>IF(ISNUMBER(J405),J405-IF(ISNUMBER(K405),K405,30),"")</f>
        <v/>
      </c>
      <c r="M405" s="25">
        <f>IF(J405="","",IF(ISNUMBER(J405),J405-TODAY(),"Check date"))</f>
        <v/>
      </c>
      <c r="N405" s="26">
        <f>IF(M405="","",IF(ISNUMBER(M405),IF(M405&lt;0,"Expired",IF(M405&lt;=30,"Due ≤30 days",IF(M405&lt;=90,"Due ≤90 days","OK"))),"Check date"))</f>
        <v/>
      </c>
      <c r="O405" s="27" t="n"/>
      <c r="P405" s="21" t="n"/>
      <c r="Q405" s="21" t="n"/>
      <c r="R405" s="21" t="n"/>
    </row>
    <row r="406">
      <c r="A406" s="21" t="n"/>
      <c r="B406" s="21" t="n"/>
      <c r="C406" s="21" t="n"/>
      <c r="D406" s="21" t="n"/>
      <c r="E406" s="21" t="n"/>
      <c r="F406" s="21" t="n"/>
      <c r="G406" s="21" t="n"/>
      <c r="H406" s="21" t="n"/>
      <c r="I406" s="22" t="n"/>
      <c r="J406" s="22" t="n"/>
      <c r="K406" s="23" t="n"/>
      <c r="L406" s="24">
        <f>IF(ISNUMBER(J406),J406-IF(ISNUMBER(K406),K406,30),"")</f>
        <v/>
      </c>
      <c r="M406" s="25">
        <f>IF(J406="","",IF(ISNUMBER(J406),J406-TODAY(),"Check date"))</f>
        <v/>
      </c>
      <c r="N406" s="26">
        <f>IF(M406="","",IF(ISNUMBER(M406),IF(M406&lt;0,"Expired",IF(M406&lt;=30,"Due ≤30 days",IF(M406&lt;=90,"Due ≤90 days","OK"))),"Check date"))</f>
        <v/>
      </c>
      <c r="O406" s="27" t="n"/>
      <c r="P406" s="21" t="n"/>
      <c r="Q406" s="21" t="n"/>
      <c r="R406" s="21" t="n"/>
    </row>
    <row r="407">
      <c r="A407" s="21" t="n"/>
      <c r="B407" s="21" t="n"/>
      <c r="C407" s="21" t="n"/>
      <c r="D407" s="21" t="n"/>
      <c r="E407" s="21" t="n"/>
      <c r="F407" s="21" t="n"/>
      <c r="G407" s="21" t="n"/>
      <c r="H407" s="21" t="n"/>
      <c r="I407" s="22" t="n"/>
      <c r="J407" s="22" t="n"/>
      <c r="K407" s="23" t="n"/>
      <c r="L407" s="24">
        <f>IF(ISNUMBER(J407),J407-IF(ISNUMBER(K407),K407,30),"")</f>
        <v/>
      </c>
      <c r="M407" s="25">
        <f>IF(J407="","",IF(ISNUMBER(J407),J407-TODAY(),"Check date"))</f>
        <v/>
      </c>
      <c r="N407" s="26">
        <f>IF(M407="","",IF(ISNUMBER(M407),IF(M407&lt;0,"Expired",IF(M407&lt;=30,"Due ≤30 days",IF(M407&lt;=90,"Due ≤90 days","OK"))),"Check date"))</f>
        <v/>
      </c>
      <c r="O407" s="27" t="n"/>
      <c r="P407" s="21" t="n"/>
      <c r="Q407" s="21" t="n"/>
      <c r="R407" s="21" t="n"/>
    </row>
    <row r="408">
      <c r="A408" s="21" t="n"/>
      <c r="B408" s="21" t="n"/>
      <c r="C408" s="21" t="n"/>
      <c r="D408" s="21" t="n"/>
      <c r="E408" s="21" t="n"/>
      <c r="F408" s="21" t="n"/>
      <c r="G408" s="21" t="n"/>
      <c r="H408" s="21" t="n"/>
      <c r="I408" s="22" t="n"/>
      <c r="J408" s="22" t="n"/>
      <c r="K408" s="23" t="n"/>
      <c r="L408" s="24">
        <f>IF(ISNUMBER(J408),J408-IF(ISNUMBER(K408),K408,30),"")</f>
        <v/>
      </c>
      <c r="M408" s="25">
        <f>IF(J408="","",IF(ISNUMBER(J408),J408-TODAY(),"Check date"))</f>
        <v/>
      </c>
      <c r="N408" s="26">
        <f>IF(M408="","",IF(ISNUMBER(M408),IF(M408&lt;0,"Expired",IF(M408&lt;=30,"Due ≤30 days",IF(M408&lt;=90,"Due ≤90 days","OK"))),"Check date"))</f>
        <v/>
      </c>
      <c r="O408" s="27" t="n"/>
      <c r="P408" s="21" t="n"/>
      <c r="Q408" s="21" t="n"/>
      <c r="R408" s="21" t="n"/>
    </row>
    <row r="409">
      <c r="A409" s="21" t="n"/>
      <c r="B409" s="21" t="n"/>
      <c r="C409" s="21" t="n"/>
      <c r="D409" s="21" t="n"/>
      <c r="E409" s="21" t="n"/>
      <c r="F409" s="21" t="n"/>
      <c r="G409" s="21" t="n"/>
      <c r="H409" s="21" t="n"/>
      <c r="I409" s="22" t="n"/>
      <c r="J409" s="22" t="n"/>
      <c r="K409" s="23" t="n"/>
      <c r="L409" s="24">
        <f>IF(ISNUMBER(J409),J409-IF(ISNUMBER(K409),K409,30),"")</f>
        <v/>
      </c>
      <c r="M409" s="25">
        <f>IF(J409="","",IF(ISNUMBER(J409),J409-TODAY(),"Check date"))</f>
        <v/>
      </c>
      <c r="N409" s="26">
        <f>IF(M409="","",IF(ISNUMBER(M409),IF(M409&lt;0,"Expired",IF(M409&lt;=30,"Due ≤30 days",IF(M409&lt;=90,"Due ≤90 days","OK"))),"Check date"))</f>
        <v/>
      </c>
      <c r="O409" s="27" t="n"/>
      <c r="P409" s="21" t="n"/>
      <c r="Q409" s="21" t="n"/>
      <c r="R409" s="21" t="n"/>
    </row>
    <row r="410">
      <c r="A410" s="21" t="n"/>
      <c r="B410" s="21" t="n"/>
      <c r="C410" s="21" t="n"/>
      <c r="D410" s="21" t="n"/>
      <c r="E410" s="21" t="n"/>
      <c r="F410" s="21" t="n"/>
      <c r="G410" s="21" t="n"/>
      <c r="H410" s="21" t="n"/>
      <c r="I410" s="22" t="n"/>
      <c r="J410" s="22" t="n"/>
      <c r="K410" s="23" t="n"/>
      <c r="L410" s="24">
        <f>IF(ISNUMBER(J410),J410-IF(ISNUMBER(K410),K410,30),"")</f>
        <v/>
      </c>
      <c r="M410" s="25">
        <f>IF(J410="","",IF(ISNUMBER(J410),J410-TODAY(),"Check date"))</f>
        <v/>
      </c>
      <c r="N410" s="26">
        <f>IF(M410="","",IF(ISNUMBER(M410),IF(M410&lt;0,"Expired",IF(M410&lt;=30,"Due ≤30 days",IF(M410&lt;=90,"Due ≤90 days","OK"))),"Check date"))</f>
        <v/>
      </c>
      <c r="O410" s="27" t="n"/>
      <c r="P410" s="21" t="n"/>
      <c r="Q410" s="21" t="n"/>
      <c r="R410" s="21" t="n"/>
    </row>
    <row r="411">
      <c r="A411" s="21" t="n"/>
      <c r="B411" s="21" t="n"/>
      <c r="C411" s="21" t="n"/>
      <c r="D411" s="21" t="n"/>
      <c r="E411" s="21" t="n"/>
      <c r="F411" s="21" t="n"/>
      <c r="G411" s="21" t="n"/>
      <c r="H411" s="21" t="n"/>
      <c r="I411" s="22" t="n"/>
      <c r="J411" s="22" t="n"/>
      <c r="K411" s="23" t="n"/>
      <c r="L411" s="24">
        <f>IF(ISNUMBER(J411),J411-IF(ISNUMBER(K411),K411,30),"")</f>
        <v/>
      </c>
      <c r="M411" s="25">
        <f>IF(J411="","",IF(ISNUMBER(J411),J411-TODAY(),"Check date"))</f>
        <v/>
      </c>
      <c r="N411" s="26">
        <f>IF(M411="","",IF(ISNUMBER(M411),IF(M411&lt;0,"Expired",IF(M411&lt;=30,"Due ≤30 days",IF(M411&lt;=90,"Due ≤90 days","OK"))),"Check date"))</f>
        <v/>
      </c>
      <c r="O411" s="27" t="n"/>
      <c r="P411" s="21" t="n"/>
      <c r="Q411" s="21" t="n"/>
      <c r="R411" s="21" t="n"/>
    </row>
    <row r="412">
      <c r="A412" s="21" t="n"/>
      <c r="B412" s="21" t="n"/>
      <c r="C412" s="21" t="n"/>
      <c r="D412" s="21" t="n"/>
      <c r="E412" s="21" t="n"/>
      <c r="F412" s="21" t="n"/>
      <c r="G412" s="21" t="n"/>
      <c r="H412" s="21" t="n"/>
      <c r="I412" s="22" t="n"/>
      <c r="J412" s="22" t="n"/>
      <c r="K412" s="23" t="n"/>
      <c r="L412" s="24">
        <f>IF(ISNUMBER(J412),J412-IF(ISNUMBER(K412),K412,30),"")</f>
        <v/>
      </c>
      <c r="M412" s="25">
        <f>IF(J412="","",IF(ISNUMBER(J412),J412-TODAY(),"Check date"))</f>
        <v/>
      </c>
      <c r="N412" s="26">
        <f>IF(M412="","",IF(ISNUMBER(M412),IF(M412&lt;0,"Expired",IF(M412&lt;=30,"Due ≤30 days",IF(M412&lt;=90,"Due ≤90 days","OK"))),"Check date"))</f>
        <v/>
      </c>
      <c r="O412" s="27" t="n"/>
      <c r="P412" s="21" t="n"/>
      <c r="Q412" s="21" t="n"/>
      <c r="R412" s="21" t="n"/>
    </row>
    <row r="413">
      <c r="A413" s="21" t="n"/>
      <c r="B413" s="21" t="n"/>
      <c r="C413" s="21" t="n"/>
      <c r="D413" s="21" t="n"/>
      <c r="E413" s="21" t="n"/>
      <c r="F413" s="21" t="n"/>
      <c r="G413" s="21" t="n"/>
      <c r="H413" s="21" t="n"/>
      <c r="I413" s="22" t="n"/>
      <c r="J413" s="22" t="n"/>
      <c r="K413" s="23" t="n"/>
      <c r="L413" s="24">
        <f>IF(ISNUMBER(J413),J413-IF(ISNUMBER(K413),K413,30),"")</f>
        <v/>
      </c>
      <c r="M413" s="25">
        <f>IF(J413="","",IF(ISNUMBER(J413),J413-TODAY(),"Check date"))</f>
        <v/>
      </c>
      <c r="N413" s="26">
        <f>IF(M413="","",IF(ISNUMBER(M413),IF(M413&lt;0,"Expired",IF(M413&lt;=30,"Due ≤30 days",IF(M413&lt;=90,"Due ≤90 days","OK"))),"Check date"))</f>
        <v/>
      </c>
      <c r="O413" s="27" t="n"/>
      <c r="P413" s="21" t="n"/>
      <c r="Q413" s="21" t="n"/>
      <c r="R413" s="21" t="n"/>
    </row>
    <row r="414">
      <c r="A414" s="21" t="n"/>
      <c r="B414" s="21" t="n"/>
      <c r="C414" s="21" t="n"/>
      <c r="D414" s="21" t="n"/>
      <c r="E414" s="21" t="n"/>
      <c r="F414" s="21" t="n"/>
      <c r="G414" s="21" t="n"/>
      <c r="H414" s="21" t="n"/>
      <c r="I414" s="22" t="n"/>
      <c r="J414" s="22" t="n"/>
      <c r="K414" s="23" t="n"/>
      <c r="L414" s="24">
        <f>IF(ISNUMBER(J414),J414-IF(ISNUMBER(K414),K414,30),"")</f>
        <v/>
      </c>
      <c r="M414" s="25">
        <f>IF(J414="","",IF(ISNUMBER(J414),J414-TODAY(),"Check date"))</f>
        <v/>
      </c>
      <c r="N414" s="26">
        <f>IF(M414="","",IF(ISNUMBER(M414),IF(M414&lt;0,"Expired",IF(M414&lt;=30,"Due ≤30 days",IF(M414&lt;=90,"Due ≤90 days","OK"))),"Check date"))</f>
        <v/>
      </c>
      <c r="O414" s="27" t="n"/>
      <c r="P414" s="21" t="n"/>
      <c r="Q414" s="21" t="n"/>
      <c r="R414" s="21" t="n"/>
    </row>
    <row r="415">
      <c r="A415" s="21" t="n"/>
      <c r="B415" s="21" t="n"/>
      <c r="C415" s="21" t="n"/>
      <c r="D415" s="21" t="n"/>
      <c r="E415" s="21" t="n"/>
      <c r="F415" s="21" t="n"/>
      <c r="G415" s="21" t="n"/>
      <c r="H415" s="21" t="n"/>
      <c r="I415" s="22" t="n"/>
      <c r="J415" s="22" t="n"/>
      <c r="K415" s="23" t="n"/>
      <c r="L415" s="24">
        <f>IF(ISNUMBER(J415),J415-IF(ISNUMBER(K415),K415,30),"")</f>
        <v/>
      </c>
      <c r="M415" s="25">
        <f>IF(J415="","",IF(ISNUMBER(J415),J415-TODAY(),"Check date"))</f>
        <v/>
      </c>
      <c r="N415" s="26">
        <f>IF(M415="","",IF(ISNUMBER(M415),IF(M415&lt;0,"Expired",IF(M415&lt;=30,"Due ≤30 days",IF(M415&lt;=90,"Due ≤90 days","OK"))),"Check date"))</f>
        <v/>
      </c>
      <c r="O415" s="27" t="n"/>
      <c r="P415" s="21" t="n"/>
      <c r="Q415" s="21" t="n"/>
      <c r="R415" s="21" t="n"/>
    </row>
    <row r="416">
      <c r="A416" s="21" t="n"/>
      <c r="B416" s="21" t="n"/>
      <c r="C416" s="21" t="n"/>
      <c r="D416" s="21" t="n"/>
      <c r="E416" s="21" t="n"/>
      <c r="F416" s="21" t="n"/>
      <c r="G416" s="21" t="n"/>
      <c r="H416" s="21" t="n"/>
      <c r="I416" s="22" t="n"/>
      <c r="J416" s="22" t="n"/>
      <c r="K416" s="23" t="n"/>
      <c r="L416" s="24">
        <f>IF(ISNUMBER(J416),J416-IF(ISNUMBER(K416),K416,30),"")</f>
        <v/>
      </c>
      <c r="M416" s="25">
        <f>IF(J416="","",IF(ISNUMBER(J416),J416-TODAY(),"Check date"))</f>
        <v/>
      </c>
      <c r="N416" s="26">
        <f>IF(M416="","",IF(ISNUMBER(M416),IF(M416&lt;0,"Expired",IF(M416&lt;=30,"Due ≤30 days",IF(M416&lt;=90,"Due ≤90 days","OK"))),"Check date"))</f>
        <v/>
      </c>
      <c r="O416" s="27" t="n"/>
      <c r="P416" s="21" t="n"/>
      <c r="Q416" s="21" t="n"/>
      <c r="R416" s="21" t="n"/>
    </row>
    <row r="417">
      <c r="A417" s="21" t="n"/>
      <c r="B417" s="21" t="n"/>
      <c r="C417" s="21" t="n"/>
      <c r="D417" s="21" t="n"/>
      <c r="E417" s="21" t="n"/>
      <c r="F417" s="21" t="n"/>
      <c r="G417" s="21" t="n"/>
      <c r="H417" s="21" t="n"/>
      <c r="I417" s="22" t="n"/>
      <c r="J417" s="22" t="n"/>
      <c r="K417" s="23" t="n"/>
      <c r="L417" s="24">
        <f>IF(ISNUMBER(J417),J417-IF(ISNUMBER(K417),K417,30),"")</f>
        <v/>
      </c>
      <c r="M417" s="25">
        <f>IF(J417="","",IF(ISNUMBER(J417),J417-TODAY(),"Check date"))</f>
        <v/>
      </c>
      <c r="N417" s="26">
        <f>IF(M417="","",IF(ISNUMBER(M417),IF(M417&lt;0,"Expired",IF(M417&lt;=30,"Due ≤30 days",IF(M417&lt;=90,"Due ≤90 days","OK"))),"Check date"))</f>
        <v/>
      </c>
      <c r="O417" s="27" t="n"/>
      <c r="P417" s="21" t="n"/>
      <c r="Q417" s="21" t="n"/>
      <c r="R417" s="21" t="n"/>
    </row>
    <row r="418">
      <c r="A418" s="21" t="n"/>
      <c r="B418" s="21" t="n"/>
      <c r="C418" s="21" t="n"/>
      <c r="D418" s="21" t="n"/>
      <c r="E418" s="21" t="n"/>
      <c r="F418" s="21" t="n"/>
      <c r="G418" s="21" t="n"/>
      <c r="H418" s="21" t="n"/>
      <c r="I418" s="22" t="n"/>
      <c r="J418" s="22" t="n"/>
      <c r="K418" s="23" t="n"/>
      <c r="L418" s="24">
        <f>IF(ISNUMBER(J418),J418-IF(ISNUMBER(K418),K418,30),"")</f>
        <v/>
      </c>
      <c r="M418" s="25">
        <f>IF(J418="","",IF(ISNUMBER(J418),J418-TODAY(),"Check date"))</f>
        <v/>
      </c>
      <c r="N418" s="26">
        <f>IF(M418="","",IF(ISNUMBER(M418),IF(M418&lt;0,"Expired",IF(M418&lt;=30,"Due ≤30 days",IF(M418&lt;=90,"Due ≤90 days","OK"))),"Check date"))</f>
        <v/>
      </c>
      <c r="O418" s="27" t="n"/>
      <c r="P418" s="21" t="n"/>
      <c r="Q418" s="21" t="n"/>
      <c r="R418" s="21" t="n"/>
    </row>
    <row r="419">
      <c r="A419" s="21" t="n"/>
      <c r="B419" s="21" t="n"/>
      <c r="C419" s="21" t="n"/>
      <c r="D419" s="21" t="n"/>
      <c r="E419" s="21" t="n"/>
      <c r="F419" s="21" t="n"/>
      <c r="G419" s="21" t="n"/>
      <c r="H419" s="21" t="n"/>
      <c r="I419" s="22" t="n"/>
      <c r="J419" s="22" t="n"/>
      <c r="K419" s="23" t="n"/>
      <c r="L419" s="24">
        <f>IF(ISNUMBER(J419),J419-IF(ISNUMBER(K419),K419,30),"")</f>
        <v/>
      </c>
      <c r="M419" s="25">
        <f>IF(J419="","",IF(ISNUMBER(J419),J419-TODAY(),"Check date"))</f>
        <v/>
      </c>
      <c r="N419" s="26">
        <f>IF(M419="","",IF(ISNUMBER(M419),IF(M419&lt;0,"Expired",IF(M419&lt;=30,"Due ≤30 days",IF(M419&lt;=90,"Due ≤90 days","OK"))),"Check date"))</f>
        <v/>
      </c>
      <c r="O419" s="27" t="n"/>
      <c r="P419" s="21" t="n"/>
      <c r="Q419" s="21" t="n"/>
      <c r="R419" s="21" t="n"/>
    </row>
    <row r="420">
      <c r="A420" s="21" t="n"/>
      <c r="B420" s="21" t="n"/>
      <c r="C420" s="21" t="n"/>
      <c r="D420" s="21" t="n"/>
      <c r="E420" s="21" t="n"/>
      <c r="F420" s="21" t="n"/>
      <c r="G420" s="21" t="n"/>
      <c r="H420" s="21" t="n"/>
      <c r="I420" s="22" t="n"/>
      <c r="J420" s="22" t="n"/>
      <c r="K420" s="23" t="n"/>
      <c r="L420" s="24">
        <f>IF(ISNUMBER(J420),J420-IF(ISNUMBER(K420),K420,30),"")</f>
        <v/>
      </c>
      <c r="M420" s="25">
        <f>IF(J420="","",IF(ISNUMBER(J420),J420-TODAY(),"Check date"))</f>
        <v/>
      </c>
      <c r="N420" s="26">
        <f>IF(M420="","",IF(ISNUMBER(M420),IF(M420&lt;0,"Expired",IF(M420&lt;=30,"Due ≤30 days",IF(M420&lt;=90,"Due ≤90 days","OK"))),"Check date"))</f>
        <v/>
      </c>
      <c r="O420" s="27" t="n"/>
      <c r="P420" s="21" t="n"/>
      <c r="Q420" s="21" t="n"/>
      <c r="R420" s="21" t="n"/>
    </row>
    <row r="421">
      <c r="A421" s="21" t="n"/>
      <c r="B421" s="21" t="n"/>
      <c r="C421" s="21" t="n"/>
      <c r="D421" s="21" t="n"/>
      <c r="E421" s="21" t="n"/>
      <c r="F421" s="21" t="n"/>
      <c r="G421" s="21" t="n"/>
      <c r="H421" s="21" t="n"/>
      <c r="I421" s="22" t="n"/>
      <c r="J421" s="22" t="n"/>
      <c r="K421" s="23" t="n"/>
      <c r="L421" s="24">
        <f>IF(ISNUMBER(J421),J421-IF(ISNUMBER(K421),K421,30),"")</f>
        <v/>
      </c>
      <c r="M421" s="25">
        <f>IF(J421="","",IF(ISNUMBER(J421),J421-TODAY(),"Check date"))</f>
        <v/>
      </c>
      <c r="N421" s="26">
        <f>IF(M421="","",IF(ISNUMBER(M421),IF(M421&lt;0,"Expired",IF(M421&lt;=30,"Due ≤30 days",IF(M421&lt;=90,"Due ≤90 days","OK"))),"Check date"))</f>
        <v/>
      </c>
      <c r="O421" s="27" t="n"/>
      <c r="P421" s="21" t="n"/>
      <c r="Q421" s="21" t="n"/>
      <c r="R421" s="21" t="n"/>
    </row>
    <row r="422">
      <c r="A422" s="21" t="n"/>
      <c r="B422" s="21" t="n"/>
      <c r="C422" s="21" t="n"/>
      <c r="D422" s="21" t="n"/>
      <c r="E422" s="21" t="n"/>
      <c r="F422" s="21" t="n"/>
      <c r="G422" s="21" t="n"/>
      <c r="H422" s="21" t="n"/>
      <c r="I422" s="22" t="n"/>
      <c r="J422" s="22" t="n"/>
      <c r="K422" s="23" t="n"/>
      <c r="L422" s="24">
        <f>IF(ISNUMBER(J422),J422-IF(ISNUMBER(K422),K422,30),"")</f>
        <v/>
      </c>
      <c r="M422" s="25">
        <f>IF(J422="","",IF(ISNUMBER(J422),J422-TODAY(),"Check date"))</f>
        <v/>
      </c>
      <c r="N422" s="26">
        <f>IF(M422="","",IF(ISNUMBER(M422),IF(M422&lt;0,"Expired",IF(M422&lt;=30,"Due ≤30 days",IF(M422&lt;=90,"Due ≤90 days","OK"))),"Check date"))</f>
        <v/>
      </c>
      <c r="O422" s="27" t="n"/>
      <c r="P422" s="21" t="n"/>
      <c r="Q422" s="21" t="n"/>
      <c r="R422" s="21" t="n"/>
    </row>
    <row r="423">
      <c r="A423" s="21" t="n"/>
      <c r="B423" s="21" t="n"/>
      <c r="C423" s="21" t="n"/>
      <c r="D423" s="21" t="n"/>
      <c r="E423" s="21" t="n"/>
      <c r="F423" s="21" t="n"/>
      <c r="G423" s="21" t="n"/>
      <c r="H423" s="21" t="n"/>
      <c r="I423" s="22" t="n"/>
      <c r="J423" s="22" t="n"/>
      <c r="K423" s="23" t="n"/>
      <c r="L423" s="24">
        <f>IF(ISNUMBER(J423),J423-IF(ISNUMBER(K423),K423,30),"")</f>
        <v/>
      </c>
      <c r="M423" s="25">
        <f>IF(J423="","",IF(ISNUMBER(J423),J423-TODAY(),"Check date"))</f>
        <v/>
      </c>
      <c r="N423" s="26">
        <f>IF(M423="","",IF(ISNUMBER(M423),IF(M423&lt;0,"Expired",IF(M423&lt;=30,"Due ≤30 days",IF(M423&lt;=90,"Due ≤90 days","OK"))),"Check date"))</f>
        <v/>
      </c>
      <c r="O423" s="27" t="n"/>
      <c r="P423" s="21" t="n"/>
      <c r="Q423" s="21" t="n"/>
      <c r="R423" s="21" t="n"/>
    </row>
    <row r="424">
      <c r="A424" s="21" t="n"/>
      <c r="B424" s="21" t="n"/>
      <c r="C424" s="21" t="n"/>
      <c r="D424" s="21" t="n"/>
      <c r="E424" s="21" t="n"/>
      <c r="F424" s="21" t="n"/>
      <c r="G424" s="21" t="n"/>
      <c r="H424" s="21" t="n"/>
      <c r="I424" s="22" t="n"/>
      <c r="J424" s="22" t="n"/>
      <c r="K424" s="23" t="n"/>
      <c r="L424" s="24">
        <f>IF(ISNUMBER(J424),J424-IF(ISNUMBER(K424),K424,30),"")</f>
        <v/>
      </c>
      <c r="M424" s="25">
        <f>IF(J424="","",IF(ISNUMBER(J424),J424-TODAY(),"Check date"))</f>
        <v/>
      </c>
      <c r="N424" s="26">
        <f>IF(M424="","",IF(ISNUMBER(M424),IF(M424&lt;0,"Expired",IF(M424&lt;=30,"Due ≤30 days",IF(M424&lt;=90,"Due ≤90 days","OK"))),"Check date"))</f>
        <v/>
      </c>
      <c r="O424" s="27" t="n"/>
      <c r="P424" s="21" t="n"/>
      <c r="Q424" s="21" t="n"/>
      <c r="R424" s="21" t="n"/>
    </row>
    <row r="425">
      <c r="A425" s="21" t="n"/>
      <c r="B425" s="21" t="n"/>
      <c r="C425" s="21" t="n"/>
      <c r="D425" s="21" t="n"/>
      <c r="E425" s="21" t="n"/>
      <c r="F425" s="21" t="n"/>
      <c r="G425" s="21" t="n"/>
      <c r="H425" s="21" t="n"/>
      <c r="I425" s="22" t="n"/>
      <c r="J425" s="22" t="n"/>
      <c r="K425" s="23" t="n"/>
      <c r="L425" s="24">
        <f>IF(ISNUMBER(J425),J425-IF(ISNUMBER(K425),K425,30),"")</f>
        <v/>
      </c>
      <c r="M425" s="25">
        <f>IF(J425="","",IF(ISNUMBER(J425),J425-TODAY(),"Check date"))</f>
        <v/>
      </c>
      <c r="N425" s="26">
        <f>IF(M425="","",IF(ISNUMBER(M425),IF(M425&lt;0,"Expired",IF(M425&lt;=30,"Due ≤30 days",IF(M425&lt;=90,"Due ≤90 days","OK"))),"Check date"))</f>
        <v/>
      </c>
      <c r="O425" s="27" t="n"/>
      <c r="P425" s="21" t="n"/>
      <c r="Q425" s="21" t="n"/>
      <c r="R425" s="21" t="n"/>
    </row>
    <row r="426">
      <c r="A426" s="21" t="n"/>
      <c r="B426" s="21" t="n"/>
      <c r="C426" s="21" t="n"/>
      <c r="D426" s="21" t="n"/>
      <c r="E426" s="21" t="n"/>
      <c r="F426" s="21" t="n"/>
      <c r="G426" s="21" t="n"/>
      <c r="H426" s="21" t="n"/>
      <c r="I426" s="22" t="n"/>
      <c r="J426" s="22" t="n"/>
      <c r="K426" s="23" t="n"/>
      <c r="L426" s="24">
        <f>IF(ISNUMBER(J426),J426-IF(ISNUMBER(K426),K426,30),"")</f>
        <v/>
      </c>
      <c r="M426" s="25">
        <f>IF(J426="","",IF(ISNUMBER(J426),J426-TODAY(),"Check date"))</f>
        <v/>
      </c>
      <c r="N426" s="26">
        <f>IF(M426="","",IF(ISNUMBER(M426),IF(M426&lt;0,"Expired",IF(M426&lt;=30,"Due ≤30 days",IF(M426&lt;=90,"Due ≤90 days","OK"))),"Check date"))</f>
        <v/>
      </c>
      <c r="O426" s="27" t="n"/>
      <c r="P426" s="21" t="n"/>
      <c r="Q426" s="21" t="n"/>
      <c r="R426" s="21" t="n"/>
    </row>
    <row r="427">
      <c r="A427" s="21" t="n"/>
      <c r="B427" s="21" t="n"/>
      <c r="C427" s="21" t="n"/>
      <c r="D427" s="21" t="n"/>
      <c r="E427" s="21" t="n"/>
      <c r="F427" s="21" t="n"/>
      <c r="G427" s="21" t="n"/>
      <c r="H427" s="21" t="n"/>
      <c r="I427" s="22" t="n"/>
      <c r="J427" s="22" t="n"/>
      <c r="K427" s="23" t="n"/>
      <c r="L427" s="24">
        <f>IF(ISNUMBER(J427),J427-IF(ISNUMBER(K427),K427,30),"")</f>
        <v/>
      </c>
      <c r="M427" s="25">
        <f>IF(J427="","",IF(ISNUMBER(J427),J427-TODAY(),"Check date"))</f>
        <v/>
      </c>
      <c r="N427" s="26">
        <f>IF(M427="","",IF(ISNUMBER(M427),IF(M427&lt;0,"Expired",IF(M427&lt;=30,"Due ≤30 days",IF(M427&lt;=90,"Due ≤90 days","OK"))),"Check date"))</f>
        <v/>
      </c>
      <c r="O427" s="27" t="n"/>
      <c r="P427" s="21" t="n"/>
      <c r="Q427" s="21" t="n"/>
      <c r="R427" s="21" t="n"/>
    </row>
    <row r="428">
      <c r="A428" s="21" t="n"/>
      <c r="B428" s="21" t="n"/>
      <c r="C428" s="21" t="n"/>
      <c r="D428" s="21" t="n"/>
      <c r="E428" s="21" t="n"/>
      <c r="F428" s="21" t="n"/>
      <c r="G428" s="21" t="n"/>
      <c r="H428" s="21" t="n"/>
      <c r="I428" s="22" t="n"/>
      <c r="J428" s="22" t="n"/>
      <c r="K428" s="23" t="n"/>
      <c r="L428" s="24">
        <f>IF(ISNUMBER(J428),J428-IF(ISNUMBER(K428),K428,30),"")</f>
        <v/>
      </c>
      <c r="M428" s="25">
        <f>IF(J428="","",IF(ISNUMBER(J428),J428-TODAY(),"Check date"))</f>
        <v/>
      </c>
      <c r="N428" s="26">
        <f>IF(M428="","",IF(ISNUMBER(M428),IF(M428&lt;0,"Expired",IF(M428&lt;=30,"Due ≤30 days",IF(M428&lt;=90,"Due ≤90 days","OK"))),"Check date"))</f>
        <v/>
      </c>
      <c r="O428" s="27" t="n"/>
      <c r="P428" s="21" t="n"/>
      <c r="Q428" s="21" t="n"/>
      <c r="R428" s="21" t="n"/>
    </row>
    <row r="429">
      <c r="A429" s="21" t="n"/>
      <c r="B429" s="21" t="n"/>
      <c r="C429" s="21" t="n"/>
      <c r="D429" s="21" t="n"/>
      <c r="E429" s="21" t="n"/>
      <c r="F429" s="21" t="n"/>
      <c r="G429" s="21" t="n"/>
      <c r="H429" s="21" t="n"/>
      <c r="I429" s="22" t="n"/>
      <c r="J429" s="22" t="n"/>
      <c r="K429" s="23" t="n"/>
      <c r="L429" s="24">
        <f>IF(ISNUMBER(J429),J429-IF(ISNUMBER(K429),K429,30),"")</f>
        <v/>
      </c>
      <c r="M429" s="25">
        <f>IF(J429="","",IF(ISNUMBER(J429),J429-TODAY(),"Check date"))</f>
        <v/>
      </c>
      <c r="N429" s="26">
        <f>IF(M429="","",IF(ISNUMBER(M429),IF(M429&lt;0,"Expired",IF(M429&lt;=30,"Due ≤30 days",IF(M429&lt;=90,"Due ≤90 days","OK"))),"Check date"))</f>
        <v/>
      </c>
      <c r="O429" s="27" t="n"/>
      <c r="P429" s="21" t="n"/>
      <c r="Q429" s="21" t="n"/>
      <c r="R429" s="21" t="n"/>
    </row>
    <row r="430">
      <c r="A430" s="21" t="n"/>
      <c r="B430" s="21" t="n"/>
      <c r="C430" s="21" t="n"/>
      <c r="D430" s="21" t="n"/>
      <c r="E430" s="21" t="n"/>
      <c r="F430" s="21" t="n"/>
      <c r="G430" s="21" t="n"/>
      <c r="H430" s="21" t="n"/>
      <c r="I430" s="22" t="n"/>
      <c r="J430" s="22" t="n"/>
      <c r="K430" s="23" t="n"/>
      <c r="L430" s="24">
        <f>IF(ISNUMBER(J430),J430-IF(ISNUMBER(K430),K430,30),"")</f>
        <v/>
      </c>
      <c r="M430" s="25">
        <f>IF(J430="","",IF(ISNUMBER(J430),J430-TODAY(),"Check date"))</f>
        <v/>
      </c>
      <c r="N430" s="26">
        <f>IF(M430="","",IF(ISNUMBER(M430),IF(M430&lt;0,"Expired",IF(M430&lt;=30,"Due ≤30 days",IF(M430&lt;=90,"Due ≤90 days","OK"))),"Check date"))</f>
        <v/>
      </c>
      <c r="O430" s="27" t="n"/>
      <c r="P430" s="21" t="n"/>
      <c r="Q430" s="21" t="n"/>
      <c r="R430" s="21" t="n"/>
    </row>
    <row r="431">
      <c r="A431" s="21" t="n"/>
      <c r="B431" s="21" t="n"/>
      <c r="C431" s="21" t="n"/>
      <c r="D431" s="21" t="n"/>
      <c r="E431" s="21" t="n"/>
      <c r="F431" s="21" t="n"/>
      <c r="G431" s="21" t="n"/>
      <c r="H431" s="21" t="n"/>
      <c r="I431" s="22" t="n"/>
      <c r="J431" s="22" t="n"/>
      <c r="K431" s="23" t="n"/>
      <c r="L431" s="24">
        <f>IF(ISNUMBER(J431),J431-IF(ISNUMBER(K431),K431,30),"")</f>
        <v/>
      </c>
      <c r="M431" s="25">
        <f>IF(J431="","",IF(ISNUMBER(J431),J431-TODAY(),"Check date"))</f>
        <v/>
      </c>
      <c r="N431" s="26">
        <f>IF(M431="","",IF(ISNUMBER(M431),IF(M431&lt;0,"Expired",IF(M431&lt;=30,"Due ≤30 days",IF(M431&lt;=90,"Due ≤90 days","OK"))),"Check date"))</f>
        <v/>
      </c>
      <c r="O431" s="27" t="n"/>
      <c r="P431" s="21" t="n"/>
      <c r="Q431" s="21" t="n"/>
      <c r="R431" s="21" t="n"/>
    </row>
    <row r="432">
      <c r="A432" s="21" t="n"/>
      <c r="B432" s="21" t="n"/>
      <c r="C432" s="21" t="n"/>
      <c r="D432" s="21" t="n"/>
      <c r="E432" s="21" t="n"/>
      <c r="F432" s="21" t="n"/>
      <c r="G432" s="21" t="n"/>
      <c r="H432" s="21" t="n"/>
      <c r="I432" s="22" t="n"/>
      <c r="J432" s="22" t="n"/>
      <c r="K432" s="23" t="n"/>
      <c r="L432" s="24">
        <f>IF(ISNUMBER(J432),J432-IF(ISNUMBER(K432),K432,30),"")</f>
        <v/>
      </c>
      <c r="M432" s="25">
        <f>IF(J432="","",IF(ISNUMBER(J432),J432-TODAY(),"Check date"))</f>
        <v/>
      </c>
      <c r="N432" s="26">
        <f>IF(M432="","",IF(ISNUMBER(M432),IF(M432&lt;0,"Expired",IF(M432&lt;=30,"Due ≤30 days",IF(M432&lt;=90,"Due ≤90 days","OK"))),"Check date"))</f>
        <v/>
      </c>
      <c r="O432" s="27" t="n"/>
      <c r="P432" s="21" t="n"/>
      <c r="Q432" s="21" t="n"/>
      <c r="R432" s="21" t="n"/>
    </row>
    <row r="433">
      <c r="A433" s="21" t="n"/>
      <c r="B433" s="21" t="n"/>
      <c r="C433" s="21" t="n"/>
      <c r="D433" s="21" t="n"/>
      <c r="E433" s="21" t="n"/>
      <c r="F433" s="21" t="n"/>
      <c r="G433" s="21" t="n"/>
      <c r="H433" s="21" t="n"/>
      <c r="I433" s="22" t="n"/>
      <c r="J433" s="22" t="n"/>
      <c r="K433" s="23" t="n"/>
      <c r="L433" s="24">
        <f>IF(ISNUMBER(J433),J433-IF(ISNUMBER(K433),K433,30),"")</f>
        <v/>
      </c>
      <c r="M433" s="25">
        <f>IF(J433="","",IF(ISNUMBER(J433),J433-TODAY(),"Check date"))</f>
        <v/>
      </c>
      <c r="N433" s="26">
        <f>IF(M433="","",IF(ISNUMBER(M433),IF(M433&lt;0,"Expired",IF(M433&lt;=30,"Due ≤30 days",IF(M433&lt;=90,"Due ≤90 days","OK"))),"Check date"))</f>
        <v/>
      </c>
      <c r="O433" s="27" t="n"/>
      <c r="P433" s="21" t="n"/>
      <c r="Q433" s="21" t="n"/>
      <c r="R433" s="21" t="n"/>
    </row>
    <row r="434">
      <c r="A434" s="21" t="n"/>
      <c r="B434" s="21" t="n"/>
      <c r="C434" s="21" t="n"/>
      <c r="D434" s="21" t="n"/>
      <c r="E434" s="21" t="n"/>
      <c r="F434" s="21" t="n"/>
      <c r="G434" s="21" t="n"/>
      <c r="H434" s="21" t="n"/>
      <c r="I434" s="22" t="n"/>
      <c r="J434" s="22" t="n"/>
      <c r="K434" s="23" t="n"/>
      <c r="L434" s="24">
        <f>IF(ISNUMBER(J434),J434-IF(ISNUMBER(K434),K434,30),"")</f>
        <v/>
      </c>
      <c r="M434" s="25">
        <f>IF(J434="","",IF(ISNUMBER(J434),J434-TODAY(),"Check date"))</f>
        <v/>
      </c>
      <c r="N434" s="26">
        <f>IF(M434="","",IF(ISNUMBER(M434),IF(M434&lt;0,"Expired",IF(M434&lt;=30,"Due ≤30 days",IF(M434&lt;=90,"Due ≤90 days","OK"))),"Check date"))</f>
        <v/>
      </c>
      <c r="O434" s="27" t="n"/>
      <c r="P434" s="21" t="n"/>
      <c r="Q434" s="21" t="n"/>
      <c r="R434" s="21" t="n"/>
    </row>
    <row r="435">
      <c r="A435" s="21" t="n"/>
      <c r="B435" s="21" t="n"/>
      <c r="C435" s="21" t="n"/>
      <c r="D435" s="21" t="n"/>
      <c r="E435" s="21" t="n"/>
      <c r="F435" s="21" t="n"/>
      <c r="G435" s="21" t="n"/>
      <c r="H435" s="21" t="n"/>
      <c r="I435" s="22" t="n"/>
      <c r="J435" s="22" t="n"/>
      <c r="K435" s="23" t="n"/>
      <c r="L435" s="24">
        <f>IF(ISNUMBER(J435),J435-IF(ISNUMBER(K435),K435,30),"")</f>
        <v/>
      </c>
      <c r="M435" s="25">
        <f>IF(J435="","",IF(ISNUMBER(J435),J435-TODAY(),"Check date"))</f>
        <v/>
      </c>
      <c r="N435" s="26">
        <f>IF(M435="","",IF(ISNUMBER(M435),IF(M435&lt;0,"Expired",IF(M435&lt;=30,"Due ≤30 days",IF(M435&lt;=90,"Due ≤90 days","OK"))),"Check date"))</f>
        <v/>
      </c>
      <c r="O435" s="27" t="n"/>
      <c r="P435" s="21" t="n"/>
      <c r="Q435" s="21" t="n"/>
      <c r="R435" s="21" t="n"/>
    </row>
    <row r="436">
      <c r="A436" s="21" t="n"/>
      <c r="B436" s="21" t="n"/>
      <c r="C436" s="21" t="n"/>
      <c r="D436" s="21" t="n"/>
      <c r="E436" s="21" t="n"/>
      <c r="F436" s="21" t="n"/>
      <c r="G436" s="21" t="n"/>
      <c r="H436" s="21" t="n"/>
      <c r="I436" s="22" t="n"/>
      <c r="J436" s="22" t="n"/>
      <c r="K436" s="23" t="n"/>
      <c r="L436" s="24">
        <f>IF(ISNUMBER(J436),J436-IF(ISNUMBER(K436),K436,30),"")</f>
        <v/>
      </c>
      <c r="M436" s="25">
        <f>IF(J436="","",IF(ISNUMBER(J436),J436-TODAY(),"Check date"))</f>
        <v/>
      </c>
      <c r="N436" s="26">
        <f>IF(M436="","",IF(ISNUMBER(M436),IF(M436&lt;0,"Expired",IF(M436&lt;=30,"Due ≤30 days",IF(M436&lt;=90,"Due ≤90 days","OK"))),"Check date"))</f>
        <v/>
      </c>
      <c r="O436" s="27" t="n"/>
      <c r="P436" s="21" t="n"/>
      <c r="Q436" s="21" t="n"/>
      <c r="R436" s="21" t="n"/>
    </row>
    <row r="437">
      <c r="A437" s="21" t="n"/>
      <c r="B437" s="21" t="n"/>
      <c r="C437" s="21" t="n"/>
      <c r="D437" s="21" t="n"/>
      <c r="E437" s="21" t="n"/>
      <c r="F437" s="21" t="n"/>
      <c r="G437" s="21" t="n"/>
      <c r="H437" s="21" t="n"/>
      <c r="I437" s="22" t="n"/>
      <c r="J437" s="22" t="n"/>
      <c r="K437" s="23" t="n"/>
      <c r="L437" s="24">
        <f>IF(ISNUMBER(J437),J437-IF(ISNUMBER(K437),K437,30),"")</f>
        <v/>
      </c>
      <c r="M437" s="25">
        <f>IF(J437="","",IF(ISNUMBER(J437),J437-TODAY(),"Check date"))</f>
        <v/>
      </c>
      <c r="N437" s="26">
        <f>IF(M437="","",IF(ISNUMBER(M437),IF(M437&lt;0,"Expired",IF(M437&lt;=30,"Due ≤30 days",IF(M437&lt;=90,"Due ≤90 days","OK"))),"Check date"))</f>
        <v/>
      </c>
      <c r="O437" s="27" t="n"/>
      <c r="P437" s="21" t="n"/>
      <c r="Q437" s="21" t="n"/>
      <c r="R437" s="21" t="n"/>
    </row>
    <row r="438">
      <c r="A438" s="21" t="n"/>
      <c r="B438" s="21" t="n"/>
      <c r="C438" s="21" t="n"/>
      <c r="D438" s="21" t="n"/>
      <c r="E438" s="21" t="n"/>
      <c r="F438" s="21" t="n"/>
      <c r="G438" s="21" t="n"/>
      <c r="H438" s="21" t="n"/>
      <c r="I438" s="22" t="n"/>
      <c r="J438" s="22" t="n"/>
      <c r="K438" s="23" t="n"/>
      <c r="L438" s="24">
        <f>IF(ISNUMBER(J438),J438-IF(ISNUMBER(K438),K438,30),"")</f>
        <v/>
      </c>
      <c r="M438" s="25">
        <f>IF(J438="","",IF(ISNUMBER(J438),J438-TODAY(),"Check date"))</f>
        <v/>
      </c>
      <c r="N438" s="26">
        <f>IF(M438="","",IF(ISNUMBER(M438),IF(M438&lt;0,"Expired",IF(M438&lt;=30,"Due ≤30 days",IF(M438&lt;=90,"Due ≤90 days","OK"))),"Check date"))</f>
        <v/>
      </c>
      <c r="O438" s="27" t="n"/>
      <c r="P438" s="21" t="n"/>
      <c r="Q438" s="21" t="n"/>
      <c r="R438" s="21" t="n"/>
    </row>
    <row r="439">
      <c r="A439" s="21" t="n"/>
      <c r="B439" s="21" t="n"/>
      <c r="C439" s="21" t="n"/>
      <c r="D439" s="21" t="n"/>
      <c r="E439" s="21" t="n"/>
      <c r="F439" s="21" t="n"/>
      <c r="G439" s="21" t="n"/>
      <c r="H439" s="21" t="n"/>
      <c r="I439" s="22" t="n"/>
      <c r="J439" s="22" t="n"/>
      <c r="K439" s="23" t="n"/>
      <c r="L439" s="24">
        <f>IF(ISNUMBER(J439),J439-IF(ISNUMBER(K439),K439,30),"")</f>
        <v/>
      </c>
      <c r="M439" s="25">
        <f>IF(J439="","",IF(ISNUMBER(J439),J439-TODAY(),"Check date"))</f>
        <v/>
      </c>
      <c r="N439" s="26">
        <f>IF(M439="","",IF(ISNUMBER(M439),IF(M439&lt;0,"Expired",IF(M439&lt;=30,"Due ≤30 days",IF(M439&lt;=90,"Due ≤90 days","OK"))),"Check date"))</f>
        <v/>
      </c>
      <c r="O439" s="27" t="n"/>
      <c r="P439" s="21" t="n"/>
      <c r="Q439" s="21" t="n"/>
      <c r="R439" s="21" t="n"/>
    </row>
    <row r="440">
      <c r="A440" s="21" t="n"/>
      <c r="B440" s="21" t="n"/>
      <c r="C440" s="21" t="n"/>
      <c r="D440" s="21" t="n"/>
      <c r="E440" s="21" t="n"/>
      <c r="F440" s="21" t="n"/>
      <c r="G440" s="21" t="n"/>
      <c r="H440" s="21" t="n"/>
      <c r="I440" s="22" t="n"/>
      <c r="J440" s="22" t="n"/>
      <c r="K440" s="23" t="n"/>
      <c r="L440" s="24">
        <f>IF(ISNUMBER(J440),J440-IF(ISNUMBER(K440),K440,30),"")</f>
        <v/>
      </c>
      <c r="M440" s="25">
        <f>IF(J440="","",IF(ISNUMBER(J440),J440-TODAY(),"Check date"))</f>
        <v/>
      </c>
      <c r="N440" s="26">
        <f>IF(M440="","",IF(ISNUMBER(M440),IF(M440&lt;0,"Expired",IF(M440&lt;=30,"Due ≤30 days",IF(M440&lt;=90,"Due ≤90 days","OK"))),"Check date"))</f>
        <v/>
      </c>
      <c r="O440" s="27" t="n"/>
      <c r="P440" s="21" t="n"/>
      <c r="Q440" s="21" t="n"/>
      <c r="R440" s="21" t="n"/>
    </row>
    <row r="441">
      <c r="A441" s="21" t="n"/>
      <c r="B441" s="21" t="n"/>
      <c r="C441" s="21" t="n"/>
      <c r="D441" s="21" t="n"/>
      <c r="E441" s="21" t="n"/>
      <c r="F441" s="21" t="n"/>
      <c r="G441" s="21" t="n"/>
      <c r="H441" s="21" t="n"/>
      <c r="I441" s="22" t="n"/>
      <c r="J441" s="22" t="n"/>
      <c r="K441" s="23" t="n"/>
      <c r="L441" s="24">
        <f>IF(ISNUMBER(J441),J441-IF(ISNUMBER(K441),K441,30),"")</f>
        <v/>
      </c>
      <c r="M441" s="25">
        <f>IF(J441="","",IF(ISNUMBER(J441),J441-TODAY(),"Check date"))</f>
        <v/>
      </c>
      <c r="N441" s="26">
        <f>IF(M441="","",IF(ISNUMBER(M441),IF(M441&lt;0,"Expired",IF(M441&lt;=30,"Due ≤30 days",IF(M441&lt;=90,"Due ≤90 days","OK"))),"Check date"))</f>
        <v/>
      </c>
      <c r="O441" s="27" t="n"/>
      <c r="P441" s="21" t="n"/>
      <c r="Q441" s="21" t="n"/>
      <c r="R441" s="21" t="n"/>
    </row>
    <row r="442">
      <c r="A442" s="21" t="n"/>
      <c r="B442" s="21" t="n"/>
      <c r="C442" s="21" t="n"/>
      <c r="D442" s="21" t="n"/>
      <c r="E442" s="21" t="n"/>
      <c r="F442" s="21" t="n"/>
      <c r="G442" s="21" t="n"/>
      <c r="H442" s="21" t="n"/>
      <c r="I442" s="22" t="n"/>
      <c r="J442" s="22" t="n"/>
      <c r="K442" s="23" t="n"/>
      <c r="L442" s="24">
        <f>IF(ISNUMBER(J442),J442-IF(ISNUMBER(K442),K442,30),"")</f>
        <v/>
      </c>
      <c r="M442" s="25">
        <f>IF(J442="","",IF(ISNUMBER(J442),J442-TODAY(),"Check date"))</f>
        <v/>
      </c>
      <c r="N442" s="26">
        <f>IF(M442="","",IF(ISNUMBER(M442),IF(M442&lt;0,"Expired",IF(M442&lt;=30,"Due ≤30 days",IF(M442&lt;=90,"Due ≤90 days","OK"))),"Check date"))</f>
        <v/>
      </c>
      <c r="O442" s="27" t="n"/>
      <c r="P442" s="21" t="n"/>
      <c r="Q442" s="21" t="n"/>
      <c r="R442" s="21" t="n"/>
    </row>
    <row r="443">
      <c r="A443" s="21" t="n"/>
      <c r="B443" s="21" t="n"/>
      <c r="C443" s="21" t="n"/>
      <c r="D443" s="21" t="n"/>
      <c r="E443" s="21" t="n"/>
      <c r="F443" s="21" t="n"/>
      <c r="G443" s="21" t="n"/>
      <c r="H443" s="21" t="n"/>
      <c r="I443" s="22" t="n"/>
      <c r="J443" s="22" t="n"/>
      <c r="K443" s="23" t="n"/>
      <c r="L443" s="24">
        <f>IF(ISNUMBER(J443),J443-IF(ISNUMBER(K443),K443,30),"")</f>
        <v/>
      </c>
      <c r="M443" s="25">
        <f>IF(J443="","",IF(ISNUMBER(J443),J443-TODAY(),"Check date"))</f>
        <v/>
      </c>
      <c r="N443" s="26">
        <f>IF(M443="","",IF(ISNUMBER(M443),IF(M443&lt;0,"Expired",IF(M443&lt;=30,"Due ≤30 days",IF(M443&lt;=90,"Due ≤90 days","OK"))),"Check date"))</f>
        <v/>
      </c>
      <c r="O443" s="27" t="n"/>
      <c r="P443" s="21" t="n"/>
      <c r="Q443" s="21" t="n"/>
      <c r="R443" s="21" t="n"/>
    </row>
    <row r="444">
      <c r="A444" s="21" t="n"/>
      <c r="B444" s="21" t="n"/>
      <c r="C444" s="21" t="n"/>
      <c r="D444" s="21" t="n"/>
      <c r="E444" s="21" t="n"/>
      <c r="F444" s="21" t="n"/>
      <c r="G444" s="21" t="n"/>
      <c r="H444" s="21" t="n"/>
      <c r="I444" s="22" t="n"/>
      <c r="J444" s="22" t="n"/>
      <c r="K444" s="23" t="n"/>
      <c r="L444" s="24">
        <f>IF(ISNUMBER(J444),J444-IF(ISNUMBER(K444),K444,30),"")</f>
        <v/>
      </c>
      <c r="M444" s="25">
        <f>IF(J444="","",IF(ISNUMBER(J444),J444-TODAY(),"Check date"))</f>
        <v/>
      </c>
      <c r="N444" s="26">
        <f>IF(M444="","",IF(ISNUMBER(M444),IF(M444&lt;0,"Expired",IF(M444&lt;=30,"Due ≤30 days",IF(M444&lt;=90,"Due ≤90 days","OK"))),"Check date"))</f>
        <v/>
      </c>
      <c r="O444" s="27" t="n"/>
      <c r="P444" s="21" t="n"/>
      <c r="Q444" s="21" t="n"/>
      <c r="R444" s="21" t="n"/>
    </row>
    <row r="445">
      <c r="A445" s="21" t="n"/>
      <c r="B445" s="21" t="n"/>
      <c r="C445" s="21" t="n"/>
      <c r="D445" s="21" t="n"/>
      <c r="E445" s="21" t="n"/>
      <c r="F445" s="21" t="n"/>
      <c r="G445" s="21" t="n"/>
      <c r="H445" s="21" t="n"/>
      <c r="I445" s="22" t="n"/>
      <c r="J445" s="22" t="n"/>
      <c r="K445" s="23" t="n"/>
      <c r="L445" s="24">
        <f>IF(ISNUMBER(J445),J445-IF(ISNUMBER(K445),K445,30),"")</f>
        <v/>
      </c>
      <c r="M445" s="25">
        <f>IF(J445="","",IF(ISNUMBER(J445),J445-TODAY(),"Check date"))</f>
        <v/>
      </c>
      <c r="N445" s="26">
        <f>IF(M445="","",IF(ISNUMBER(M445),IF(M445&lt;0,"Expired",IF(M445&lt;=30,"Due ≤30 days",IF(M445&lt;=90,"Due ≤90 days","OK"))),"Check date"))</f>
        <v/>
      </c>
      <c r="O445" s="27" t="n"/>
      <c r="P445" s="21" t="n"/>
      <c r="Q445" s="21" t="n"/>
      <c r="R445" s="21" t="n"/>
    </row>
    <row r="446">
      <c r="A446" s="21" t="n"/>
      <c r="B446" s="21" t="n"/>
      <c r="C446" s="21" t="n"/>
      <c r="D446" s="21" t="n"/>
      <c r="E446" s="21" t="n"/>
      <c r="F446" s="21" t="n"/>
      <c r="G446" s="21" t="n"/>
      <c r="H446" s="21" t="n"/>
      <c r="I446" s="22" t="n"/>
      <c r="J446" s="22" t="n"/>
      <c r="K446" s="23" t="n"/>
      <c r="L446" s="24">
        <f>IF(ISNUMBER(J446),J446-IF(ISNUMBER(K446),K446,30),"")</f>
        <v/>
      </c>
      <c r="M446" s="25">
        <f>IF(J446="","",IF(ISNUMBER(J446),J446-TODAY(),"Check date"))</f>
        <v/>
      </c>
      <c r="N446" s="26">
        <f>IF(M446="","",IF(ISNUMBER(M446),IF(M446&lt;0,"Expired",IF(M446&lt;=30,"Due ≤30 days",IF(M446&lt;=90,"Due ≤90 days","OK"))),"Check date"))</f>
        <v/>
      </c>
      <c r="O446" s="27" t="n"/>
      <c r="P446" s="21" t="n"/>
      <c r="Q446" s="21" t="n"/>
      <c r="R446" s="21" t="n"/>
    </row>
    <row r="447">
      <c r="A447" s="21" t="n"/>
      <c r="B447" s="21" t="n"/>
      <c r="C447" s="21" t="n"/>
      <c r="D447" s="21" t="n"/>
      <c r="E447" s="21" t="n"/>
      <c r="F447" s="21" t="n"/>
      <c r="G447" s="21" t="n"/>
      <c r="H447" s="21" t="n"/>
      <c r="I447" s="22" t="n"/>
      <c r="J447" s="22" t="n"/>
      <c r="K447" s="23" t="n"/>
      <c r="L447" s="24">
        <f>IF(ISNUMBER(J447),J447-IF(ISNUMBER(K447),K447,30),"")</f>
        <v/>
      </c>
      <c r="M447" s="25">
        <f>IF(J447="","",IF(ISNUMBER(J447),J447-TODAY(),"Check date"))</f>
        <v/>
      </c>
      <c r="N447" s="26">
        <f>IF(M447="","",IF(ISNUMBER(M447),IF(M447&lt;0,"Expired",IF(M447&lt;=30,"Due ≤30 days",IF(M447&lt;=90,"Due ≤90 days","OK"))),"Check date"))</f>
        <v/>
      </c>
      <c r="O447" s="27" t="n"/>
      <c r="P447" s="21" t="n"/>
      <c r="Q447" s="21" t="n"/>
      <c r="R447" s="21" t="n"/>
    </row>
    <row r="448">
      <c r="A448" s="21" t="n"/>
      <c r="B448" s="21" t="n"/>
      <c r="C448" s="21" t="n"/>
      <c r="D448" s="21" t="n"/>
      <c r="E448" s="21" t="n"/>
      <c r="F448" s="21" t="n"/>
      <c r="G448" s="21" t="n"/>
      <c r="H448" s="21" t="n"/>
      <c r="I448" s="22" t="n"/>
      <c r="J448" s="22" t="n"/>
      <c r="K448" s="23" t="n"/>
      <c r="L448" s="24">
        <f>IF(ISNUMBER(J448),J448-IF(ISNUMBER(K448),K448,30),"")</f>
        <v/>
      </c>
      <c r="M448" s="25">
        <f>IF(J448="","",IF(ISNUMBER(J448),J448-TODAY(),"Check date"))</f>
        <v/>
      </c>
      <c r="N448" s="26">
        <f>IF(M448="","",IF(ISNUMBER(M448),IF(M448&lt;0,"Expired",IF(M448&lt;=30,"Due ≤30 days",IF(M448&lt;=90,"Due ≤90 days","OK"))),"Check date"))</f>
        <v/>
      </c>
      <c r="O448" s="27" t="n"/>
      <c r="P448" s="21" t="n"/>
      <c r="Q448" s="21" t="n"/>
      <c r="R448" s="21" t="n"/>
    </row>
    <row r="449">
      <c r="A449" s="21" t="n"/>
      <c r="B449" s="21" t="n"/>
      <c r="C449" s="21" t="n"/>
      <c r="D449" s="21" t="n"/>
      <c r="E449" s="21" t="n"/>
      <c r="F449" s="21" t="n"/>
      <c r="G449" s="21" t="n"/>
      <c r="H449" s="21" t="n"/>
      <c r="I449" s="22" t="n"/>
      <c r="J449" s="22" t="n"/>
      <c r="K449" s="23" t="n"/>
      <c r="L449" s="24">
        <f>IF(ISNUMBER(J449),J449-IF(ISNUMBER(K449),K449,30),"")</f>
        <v/>
      </c>
      <c r="M449" s="25">
        <f>IF(J449="","",IF(ISNUMBER(J449),J449-TODAY(),"Check date"))</f>
        <v/>
      </c>
      <c r="N449" s="26">
        <f>IF(M449="","",IF(ISNUMBER(M449),IF(M449&lt;0,"Expired",IF(M449&lt;=30,"Due ≤30 days",IF(M449&lt;=90,"Due ≤90 days","OK"))),"Check date"))</f>
        <v/>
      </c>
      <c r="O449" s="27" t="n"/>
      <c r="P449" s="21" t="n"/>
      <c r="Q449" s="21" t="n"/>
      <c r="R449" s="21" t="n"/>
    </row>
    <row r="450">
      <c r="A450" s="21" t="n"/>
      <c r="B450" s="21" t="n"/>
      <c r="C450" s="21" t="n"/>
      <c r="D450" s="21" t="n"/>
      <c r="E450" s="21" t="n"/>
      <c r="F450" s="21" t="n"/>
      <c r="G450" s="21" t="n"/>
      <c r="H450" s="21" t="n"/>
      <c r="I450" s="22" t="n"/>
      <c r="J450" s="22" t="n"/>
      <c r="K450" s="23" t="n"/>
      <c r="L450" s="24">
        <f>IF(ISNUMBER(J450),J450-IF(ISNUMBER(K450),K450,30),"")</f>
        <v/>
      </c>
      <c r="M450" s="25">
        <f>IF(J450="","",IF(ISNUMBER(J450),J450-TODAY(),"Check date"))</f>
        <v/>
      </c>
      <c r="N450" s="26">
        <f>IF(M450="","",IF(ISNUMBER(M450),IF(M450&lt;0,"Expired",IF(M450&lt;=30,"Due ≤30 days",IF(M450&lt;=90,"Due ≤90 days","OK"))),"Check date"))</f>
        <v/>
      </c>
      <c r="O450" s="27" t="n"/>
      <c r="P450" s="21" t="n"/>
      <c r="Q450" s="21" t="n"/>
      <c r="R450" s="21" t="n"/>
    </row>
    <row r="451">
      <c r="A451" s="21" t="n"/>
      <c r="B451" s="21" t="n"/>
      <c r="C451" s="21" t="n"/>
      <c r="D451" s="21" t="n"/>
      <c r="E451" s="21" t="n"/>
      <c r="F451" s="21" t="n"/>
      <c r="G451" s="21" t="n"/>
      <c r="H451" s="21" t="n"/>
      <c r="I451" s="22" t="n"/>
      <c r="J451" s="22" t="n"/>
      <c r="K451" s="23" t="n"/>
      <c r="L451" s="24">
        <f>IF(ISNUMBER(J451),J451-IF(ISNUMBER(K451),K451,30),"")</f>
        <v/>
      </c>
      <c r="M451" s="25">
        <f>IF(J451="","",IF(ISNUMBER(J451),J451-TODAY(),"Check date"))</f>
        <v/>
      </c>
      <c r="N451" s="26">
        <f>IF(M451="","",IF(ISNUMBER(M451),IF(M451&lt;0,"Expired",IF(M451&lt;=30,"Due ≤30 days",IF(M451&lt;=90,"Due ≤90 days","OK"))),"Check date"))</f>
        <v/>
      </c>
      <c r="O451" s="27" t="n"/>
      <c r="P451" s="21" t="n"/>
      <c r="Q451" s="21" t="n"/>
      <c r="R451" s="21" t="n"/>
    </row>
    <row r="452">
      <c r="A452" s="21" t="n"/>
      <c r="B452" s="21" t="n"/>
      <c r="C452" s="21" t="n"/>
      <c r="D452" s="21" t="n"/>
      <c r="E452" s="21" t="n"/>
      <c r="F452" s="21" t="n"/>
      <c r="G452" s="21" t="n"/>
      <c r="H452" s="21" t="n"/>
      <c r="I452" s="22" t="n"/>
      <c r="J452" s="22" t="n"/>
      <c r="K452" s="23" t="n"/>
      <c r="L452" s="24">
        <f>IF(ISNUMBER(J452),J452-IF(ISNUMBER(K452),K452,30),"")</f>
        <v/>
      </c>
      <c r="M452" s="25">
        <f>IF(J452="","",IF(ISNUMBER(J452),J452-TODAY(),"Check date"))</f>
        <v/>
      </c>
      <c r="N452" s="26">
        <f>IF(M452="","",IF(ISNUMBER(M452),IF(M452&lt;0,"Expired",IF(M452&lt;=30,"Due ≤30 days",IF(M452&lt;=90,"Due ≤90 days","OK"))),"Check date"))</f>
        <v/>
      </c>
      <c r="O452" s="27" t="n"/>
      <c r="P452" s="21" t="n"/>
      <c r="Q452" s="21" t="n"/>
      <c r="R452" s="21" t="n"/>
    </row>
    <row r="453">
      <c r="A453" s="21" t="n"/>
      <c r="B453" s="21" t="n"/>
      <c r="C453" s="21" t="n"/>
      <c r="D453" s="21" t="n"/>
      <c r="E453" s="21" t="n"/>
      <c r="F453" s="21" t="n"/>
      <c r="G453" s="21" t="n"/>
      <c r="H453" s="21" t="n"/>
      <c r="I453" s="22" t="n"/>
      <c r="J453" s="22" t="n"/>
      <c r="K453" s="23" t="n"/>
      <c r="L453" s="24">
        <f>IF(ISNUMBER(J453),J453-IF(ISNUMBER(K453),K453,30),"")</f>
        <v/>
      </c>
      <c r="M453" s="25">
        <f>IF(J453="","",IF(ISNUMBER(J453),J453-TODAY(),"Check date"))</f>
        <v/>
      </c>
      <c r="N453" s="26">
        <f>IF(M453="","",IF(ISNUMBER(M453),IF(M453&lt;0,"Expired",IF(M453&lt;=30,"Due ≤30 days",IF(M453&lt;=90,"Due ≤90 days","OK"))),"Check date"))</f>
        <v/>
      </c>
      <c r="O453" s="27" t="n"/>
      <c r="P453" s="21" t="n"/>
      <c r="Q453" s="21" t="n"/>
      <c r="R453" s="21" t="n"/>
    </row>
    <row r="454">
      <c r="A454" s="21" t="n"/>
      <c r="B454" s="21" t="n"/>
      <c r="C454" s="21" t="n"/>
      <c r="D454" s="21" t="n"/>
      <c r="E454" s="21" t="n"/>
      <c r="F454" s="21" t="n"/>
      <c r="G454" s="21" t="n"/>
      <c r="H454" s="21" t="n"/>
      <c r="I454" s="22" t="n"/>
      <c r="J454" s="22" t="n"/>
      <c r="K454" s="23" t="n"/>
      <c r="L454" s="24">
        <f>IF(ISNUMBER(J454),J454-IF(ISNUMBER(K454),K454,30),"")</f>
        <v/>
      </c>
      <c r="M454" s="25">
        <f>IF(J454="","",IF(ISNUMBER(J454),J454-TODAY(),"Check date"))</f>
        <v/>
      </c>
      <c r="N454" s="26">
        <f>IF(M454="","",IF(ISNUMBER(M454),IF(M454&lt;0,"Expired",IF(M454&lt;=30,"Due ≤30 days",IF(M454&lt;=90,"Due ≤90 days","OK"))),"Check date"))</f>
        <v/>
      </c>
      <c r="O454" s="27" t="n"/>
      <c r="P454" s="21" t="n"/>
      <c r="Q454" s="21" t="n"/>
      <c r="R454" s="21" t="n"/>
    </row>
    <row r="455">
      <c r="A455" s="21" t="n"/>
      <c r="B455" s="21" t="n"/>
      <c r="C455" s="21" t="n"/>
      <c r="D455" s="21" t="n"/>
      <c r="E455" s="21" t="n"/>
      <c r="F455" s="21" t="n"/>
      <c r="G455" s="21" t="n"/>
      <c r="H455" s="21" t="n"/>
      <c r="I455" s="22" t="n"/>
      <c r="J455" s="22" t="n"/>
      <c r="K455" s="23" t="n"/>
      <c r="L455" s="24">
        <f>IF(ISNUMBER(J455),J455-IF(ISNUMBER(K455),K455,30),"")</f>
        <v/>
      </c>
      <c r="M455" s="25">
        <f>IF(J455="","",IF(ISNUMBER(J455),J455-TODAY(),"Check date"))</f>
        <v/>
      </c>
      <c r="N455" s="26">
        <f>IF(M455="","",IF(ISNUMBER(M455),IF(M455&lt;0,"Expired",IF(M455&lt;=30,"Due ≤30 days",IF(M455&lt;=90,"Due ≤90 days","OK"))),"Check date"))</f>
        <v/>
      </c>
      <c r="O455" s="27" t="n"/>
      <c r="P455" s="21" t="n"/>
      <c r="Q455" s="21" t="n"/>
      <c r="R455" s="21" t="n"/>
    </row>
    <row r="456">
      <c r="A456" s="21" t="n"/>
      <c r="B456" s="21" t="n"/>
      <c r="C456" s="21" t="n"/>
      <c r="D456" s="21" t="n"/>
      <c r="E456" s="21" t="n"/>
      <c r="F456" s="21" t="n"/>
      <c r="G456" s="21" t="n"/>
      <c r="H456" s="21" t="n"/>
      <c r="I456" s="22" t="n"/>
      <c r="J456" s="22" t="n"/>
      <c r="K456" s="23" t="n"/>
      <c r="L456" s="24">
        <f>IF(ISNUMBER(J456),J456-IF(ISNUMBER(K456),K456,30),"")</f>
        <v/>
      </c>
      <c r="M456" s="25">
        <f>IF(J456="","",IF(ISNUMBER(J456),J456-TODAY(),"Check date"))</f>
        <v/>
      </c>
      <c r="N456" s="26">
        <f>IF(M456="","",IF(ISNUMBER(M456),IF(M456&lt;0,"Expired",IF(M456&lt;=30,"Due ≤30 days",IF(M456&lt;=90,"Due ≤90 days","OK"))),"Check date"))</f>
        <v/>
      </c>
      <c r="O456" s="27" t="n"/>
      <c r="P456" s="21" t="n"/>
      <c r="Q456" s="21" t="n"/>
      <c r="R456" s="21" t="n"/>
    </row>
    <row r="457">
      <c r="A457" s="21" t="n"/>
      <c r="B457" s="21" t="n"/>
      <c r="C457" s="21" t="n"/>
      <c r="D457" s="21" t="n"/>
      <c r="E457" s="21" t="n"/>
      <c r="F457" s="21" t="n"/>
      <c r="G457" s="21" t="n"/>
      <c r="H457" s="21" t="n"/>
      <c r="I457" s="22" t="n"/>
      <c r="J457" s="22" t="n"/>
      <c r="K457" s="23" t="n"/>
      <c r="L457" s="24">
        <f>IF(ISNUMBER(J457),J457-IF(ISNUMBER(K457),K457,30),"")</f>
        <v/>
      </c>
      <c r="M457" s="25">
        <f>IF(J457="","",IF(ISNUMBER(J457),J457-TODAY(),"Check date"))</f>
        <v/>
      </c>
      <c r="N457" s="26">
        <f>IF(M457="","",IF(ISNUMBER(M457),IF(M457&lt;0,"Expired",IF(M457&lt;=30,"Due ≤30 days",IF(M457&lt;=90,"Due ≤90 days","OK"))),"Check date"))</f>
        <v/>
      </c>
      <c r="O457" s="27" t="n"/>
      <c r="P457" s="21" t="n"/>
      <c r="Q457" s="21" t="n"/>
      <c r="R457" s="21" t="n"/>
    </row>
    <row r="458">
      <c r="A458" s="21" t="n"/>
      <c r="B458" s="21" t="n"/>
      <c r="C458" s="21" t="n"/>
      <c r="D458" s="21" t="n"/>
      <c r="E458" s="21" t="n"/>
      <c r="F458" s="21" t="n"/>
      <c r="G458" s="21" t="n"/>
      <c r="H458" s="21" t="n"/>
      <c r="I458" s="22" t="n"/>
      <c r="J458" s="22" t="n"/>
      <c r="K458" s="23" t="n"/>
      <c r="L458" s="24">
        <f>IF(ISNUMBER(J458),J458-IF(ISNUMBER(K458),K458,30),"")</f>
        <v/>
      </c>
      <c r="M458" s="25">
        <f>IF(J458="","",IF(ISNUMBER(J458),J458-TODAY(),"Check date"))</f>
        <v/>
      </c>
      <c r="N458" s="26">
        <f>IF(M458="","",IF(ISNUMBER(M458),IF(M458&lt;0,"Expired",IF(M458&lt;=30,"Due ≤30 days",IF(M458&lt;=90,"Due ≤90 days","OK"))),"Check date"))</f>
        <v/>
      </c>
      <c r="O458" s="27" t="n"/>
      <c r="P458" s="21" t="n"/>
      <c r="Q458" s="21" t="n"/>
      <c r="R458" s="21" t="n"/>
    </row>
    <row r="459">
      <c r="A459" s="21" t="n"/>
      <c r="B459" s="21" t="n"/>
      <c r="C459" s="21" t="n"/>
      <c r="D459" s="21" t="n"/>
      <c r="E459" s="21" t="n"/>
      <c r="F459" s="21" t="n"/>
      <c r="G459" s="21" t="n"/>
      <c r="H459" s="21" t="n"/>
      <c r="I459" s="22" t="n"/>
      <c r="J459" s="22" t="n"/>
      <c r="K459" s="23" t="n"/>
      <c r="L459" s="24">
        <f>IF(ISNUMBER(J459),J459-IF(ISNUMBER(K459),K459,30),"")</f>
        <v/>
      </c>
      <c r="M459" s="25">
        <f>IF(J459="","",IF(ISNUMBER(J459),J459-TODAY(),"Check date"))</f>
        <v/>
      </c>
      <c r="N459" s="26">
        <f>IF(M459="","",IF(ISNUMBER(M459),IF(M459&lt;0,"Expired",IF(M459&lt;=30,"Due ≤30 days",IF(M459&lt;=90,"Due ≤90 days","OK"))),"Check date"))</f>
        <v/>
      </c>
      <c r="O459" s="27" t="n"/>
      <c r="P459" s="21" t="n"/>
      <c r="Q459" s="21" t="n"/>
      <c r="R459" s="21" t="n"/>
    </row>
    <row r="460">
      <c r="A460" s="21" t="n"/>
      <c r="B460" s="21" t="n"/>
      <c r="C460" s="21" t="n"/>
      <c r="D460" s="21" t="n"/>
      <c r="E460" s="21" t="n"/>
      <c r="F460" s="21" t="n"/>
      <c r="G460" s="21" t="n"/>
      <c r="H460" s="21" t="n"/>
      <c r="I460" s="22" t="n"/>
      <c r="J460" s="22" t="n"/>
      <c r="K460" s="23" t="n"/>
      <c r="L460" s="24">
        <f>IF(ISNUMBER(J460),J460-IF(ISNUMBER(K460),K460,30),"")</f>
        <v/>
      </c>
      <c r="M460" s="25">
        <f>IF(J460="","",IF(ISNUMBER(J460),J460-TODAY(),"Check date"))</f>
        <v/>
      </c>
      <c r="N460" s="26">
        <f>IF(M460="","",IF(ISNUMBER(M460),IF(M460&lt;0,"Expired",IF(M460&lt;=30,"Due ≤30 days",IF(M460&lt;=90,"Due ≤90 days","OK"))),"Check date"))</f>
        <v/>
      </c>
      <c r="O460" s="27" t="n"/>
      <c r="P460" s="21" t="n"/>
      <c r="Q460" s="21" t="n"/>
      <c r="R460" s="21" t="n"/>
    </row>
    <row r="461">
      <c r="A461" s="21" t="n"/>
      <c r="B461" s="21" t="n"/>
      <c r="C461" s="21" t="n"/>
      <c r="D461" s="21" t="n"/>
      <c r="E461" s="21" t="n"/>
      <c r="F461" s="21" t="n"/>
      <c r="G461" s="21" t="n"/>
      <c r="H461" s="21" t="n"/>
      <c r="I461" s="22" t="n"/>
      <c r="J461" s="22" t="n"/>
      <c r="K461" s="23" t="n"/>
      <c r="L461" s="24">
        <f>IF(ISNUMBER(J461),J461-IF(ISNUMBER(K461),K461,30),"")</f>
        <v/>
      </c>
      <c r="M461" s="25">
        <f>IF(J461="","",IF(ISNUMBER(J461),J461-TODAY(),"Check date"))</f>
        <v/>
      </c>
      <c r="N461" s="26">
        <f>IF(M461="","",IF(ISNUMBER(M461),IF(M461&lt;0,"Expired",IF(M461&lt;=30,"Due ≤30 days",IF(M461&lt;=90,"Due ≤90 days","OK"))),"Check date"))</f>
        <v/>
      </c>
      <c r="O461" s="27" t="n"/>
      <c r="P461" s="21" t="n"/>
      <c r="Q461" s="21" t="n"/>
      <c r="R461" s="21" t="n"/>
    </row>
    <row r="462">
      <c r="A462" s="21" t="n"/>
      <c r="B462" s="21" t="n"/>
      <c r="C462" s="21" t="n"/>
      <c r="D462" s="21" t="n"/>
      <c r="E462" s="21" t="n"/>
      <c r="F462" s="21" t="n"/>
      <c r="G462" s="21" t="n"/>
      <c r="H462" s="21" t="n"/>
      <c r="I462" s="22" t="n"/>
      <c r="J462" s="22" t="n"/>
      <c r="K462" s="23" t="n"/>
      <c r="L462" s="24">
        <f>IF(ISNUMBER(J462),J462-IF(ISNUMBER(K462),K462,30),"")</f>
        <v/>
      </c>
      <c r="M462" s="25">
        <f>IF(J462="","",IF(ISNUMBER(J462),J462-TODAY(),"Check date"))</f>
        <v/>
      </c>
      <c r="N462" s="26">
        <f>IF(M462="","",IF(ISNUMBER(M462),IF(M462&lt;0,"Expired",IF(M462&lt;=30,"Due ≤30 days",IF(M462&lt;=90,"Due ≤90 days","OK"))),"Check date"))</f>
        <v/>
      </c>
      <c r="O462" s="27" t="n"/>
      <c r="P462" s="21" t="n"/>
      <c r="Q462" s="21" t="n"/>
      <c r="R462" s="21" t="n"/>
    </row>
    <row r="463">
      <c r="A463" s="21" t="n"/>
      <c r="B463" s="21" t="n"/>
      <c r="C463" s="21" t="n"/>
      <c r="D463" s="21" t="n"/>
      <c r="E463" s="21" t="n"/>
      <c r="F463" s="21" t="n"/>
      <c r="G463" s="21" t="n"/>
      <c r="H463" s="21" t="n"/>
      <c r="I463" s="22" t="n"/>
      <c r="J463" s="22" t="n"/>
      <c r="K463" s="23" t="n"/>
      <c r="L463" s="24">
        <f>IF(ISNUMBER(J463),J463-IF(ISNUMBER(K463),K463,30),"")</f>
        <v/>
      </c>
      <c r="M463" s="25">
        <f>IF(J463="","",IF(ISNUMBER(J463),J463-TODAY(),"Check date"))</f>
        <v/>
      </c>
      <c r="N463" s="26">
        <f>IF(M463="","",IF(ISNUMBER(M463),IF(M463&lt;0,"Expired",IF(M463&lt;=30,"Due ≤30 days",IF(M463&lt;=90,"Due ≤90 days","OK"))),"Check date"))</f>
        <v/>
      </c>
      <c r="O463" s="27" t="n"/>
      <c r="P463" s="21" t="n"/>
      <c r="Q463" s="21" t="n"/>
      <c r="R463" s="21" t="n"/>
    </row>
    <row r="464">
      <c r="A464" s="21" t="n"/>
      <c r="B464" s="21" t="n"/>
      <c r="C464" s="21" t="n"/>
      <c r="D464" s="21" t="n"/>
      <c r="E464" s="21" t="n"/>
      <c r="F464" s="21" t="n"/>
      <c r="G464" s="21" t="n"/>
      <c r="H464" s="21" t="n"/>
      <c r="I464" s="22" t="n"/>
      <c r="J464" s="22" t="n"/>
      <c r="K464" s="23" t="n"/>
      <c r="L464" s="24">
        <f>IF(ISNUMBER(J464),J464-IF(ISNUMBER(K464),K464,30),"")</f>
        <v/>
      </c>
      <c r="M464" s="25">
        <f>IF(J464="","",IF(ISNUMBER(J464),J464-TODAY(),"Check date"))</f>
        <v/>
      </c>
      <c r="N464" s="26">
        <f>IF(M464="","",IF(ISNUMBER(M464),IF(M464&lt;0,"Expired",IF(M464&lt;=30,"Due ≤30 days",IF(M464&lt;=90,"Due ≤90 days","OK"))),"Check date"))</f>
        <v/>
      </c>
      <c r="O464" s="27" t="n"/>
      <c r="P464" s="21" t="n"/>
      <c r="Q464" s="21" t="n"/>
      <c r="R464" s="21" t="n"/>
    </row>
    <row r="465">
      <c r="A465" s="21" t="n"/>
      <c r="B465" s="21" t="n"/>
      <c r="C465" s="21" t="n"/>
      <c r="D465" s="21" t="n"/>
      <c r="E465" s="21" t="n"/>
      <c r="F465" s="21" t="n"/>
      <c r="G465" s="21" t="n"/>
      <c r="H465" s="21" t="n"/>
      <c r="I465" s="22" t="n"/>
      <c r="J465" s="22" t="n"/>
      <c r="K465" s="23" t="n"/>
      <c r="L465" s="24">
        <f>IF(ISNUMBER(J465),J465-IF(ISNUMBER(K465),K465,30),"")</f>
        <v/>
      </c>
      <c r="M465" s="25">
        <f>IF(J465="","",IF(ISNUMBER(J465),J465-TODAY(),"Check date"))</f>
        <v/>
      </c>
      <c r="N465" s="26">
        <f>IF(M465="","",IF(ISNUMBER(M465),IF(M465&lt;0,"Expired",IF(M465&lt;=30,"Due ≤30 days",IF(M465&lt;=90,"Due ≤90 days","OK"))),"Check date"))</f>
        <v/>
      </c>
      <c r="O465" s="27" t="n"/>
      <c r="P465" s="21" t="n"/>
      <c r="Q465" s="21" t="n"/>
      <c r="R465" s="21" t="n"/>
    </row>
    <row r="466">
      <c r="A466" s="21" t="n"/>
      <c r="B466" s="21" t="n"/>
      <c r="C466" s="21" t="n"/>
      <c r="D466" s="21" t="n"/>
      <c r="E466" s="21" t="n"/>
      <c r="F466" s="21" t="n"/>
      <c r="G466" s="21" t="n"/>
      <c r="H466" s="21" t="n"/>
      <c r="I466" s="22" t="n"/>
      <c r="J466" s="22" t="n"/>
      <c r="K466" s="23" t="n"/>
      <c r="L466" s="24">
        <f>IF(ISNUMBER(J466),J466-IF(ISNUMBER(K466),K466,30),"")</f>
        <v/>
      </c>
      <c r="M466" s="25">
        <f>IF(J466="","",IF(ISNUMBER(J466),J466-TODAY(),"Check date"))</f>
        <v/>
      </c>
      <c r="N466" s="26">
        <f>IF(M466="","",IF(ISNUMBER(M466),IF(M466&lt;0,"Expired",IF(M466&lt;=30,"Due ≤30 days",IF(M466&lt;=90,"Due ≤90 days","OK"))),"Check date"))</f>
        <v/>
      </c>
      <c r="O466" s="27" t="n"/>
      <c r="P466" s="21" t="n"/>
      <c r="Q466" s="21" t="n"/>
      <c r="R466" s="21" t="n"/>
    </row>
    <row r="467">
      <c r="A467" s="21" t="n"/>
      <c r="B467" s="21" t="n"/>
      <c r="C467" s="21" t="n"/>
      <c r="D467" s="21" t="n"/>
      <c r="E467" s="21" t="n"/>
      <c r="F467" s="21" t="n"/>
      <c r="G467" s="21" t="n"/>
      <c r="H467" s="21" t="n"/>
      <c r="I467" s="22" t="n"/>
      <c r="J467" s="22" t="n"/>
      <c r="K467" s="23" t="n"/>
      <c r="L467" s="24">
        <f>IF(ISNUMBER(J467),J467-IF(ISNUMBER(K467),K467,30),"")</f>
        <v/>
      </c>
      <c r="M467" s="25">
        <f>IF(J467="","",IF(ISNUMBER(J467),J467-TODAY(),"Check date"))</f>
        <v/>
      </c>
      <c r="N467" s="26">
        <f>IF(M467="","",IF(ISNUMBER(M467),IF(M467&lt;0,"Expired",IF(M467&lt;=30,"Due ≤30 days",IF(M467&lt;=90,"Due ≤90 days","OK"))),"Check date"))</f>
        <v/>
      </c>
      <c r="O467" s="27" t="n"/>
      <c r="P467" s="21" t="n"/>
      <c r="Q467" s="21" t="n"/>
      <c r="R467" s="21" t="n"/>
    </row>
    <row r="468">
      <c r="A468" s="21" t="n"/>
      <c r="B468" s="21" t="n"/>
      <c r="C468" s="21" t="n"/>
      <c r="D468" s="21" t="n"/>
      <c r="E468" s="21" t="n"/>
      <c r="F468" s="21" t="n"/>
      <c r="G468" s="21" t="n"/>
      <c r="H468" s="21" t="n"/>
      <c r="I468" s="22" t="n"/>
      <c r="J468" s="22" t="n"/>
      <c r="K468" s="23" t="n"/>
      <c r="L468" s="24">
        <f>IF(ISNUMBER(J468),J468-IF(ISNUMBER(K468),K468,30),"")</f>
        <v/>
      </c>
      <c r="M468" s="25">
        <f>IF(J468="","",IF(ISNUMBER(J468),J468-TODAY(),"Check date"))</f>
        <v/>
      </c>
      <c r="N468" s="26">
        <f>IF(M468="","",IF(ISNUMBER(M468),IF(M468&lt;0,"Expired",IF(M468&lt;=30,"Due ≤30 days",IF(M468&lt;=90,"Due ≤90 days","OK"))),"Check date"))</f>
        <v/>
      </c>
      <c r="O468" s="27" t="n"/>
      <c r="P468" s="21" t="n"/>
      <c r="Q468" s="21" t="n"/>
      <c r="R468" s="21" t="n"/>
    </row>
    <row r="469">
      <c r="A469" s="21" t="n"/>
      <c r="B469" s="21" t="n"/>
      <c r="C469" s="21" t="n"/>
      <c r="D469" s="21" t="n"/>
      <c r="E469" s="21" t="n"/>
      <c r="F469" s="21" t="n"/>
      <c r="G469" s="21" t="n"/>
      <c r="H469" s="21" t="n"/>
      <c r="I469" s="22" t="n"/>
      <c r="J469" s="22" t="n"/>
      <c r="K469" s="23" t="n"/>
      <c r="L469" s="24">
        <f>IF(ISNUMBER(J469),J469-IF(ISNUMBER(K469),K469,30),"")</f>
        <v/>
      </c>
      <c r="M469" s="25">
        <f>IF(J469="","",IF(ISNUMBER(J469),J469-TODAY(),"Check date"))</f>
        <v/>
      </c>
      <c r="N469" s="26">
        <f>IF(M469="","",IF(ISNUMBER(M469),IF(M469&lt;0,"Expired",IF(M469&lt;=30,"Due ≤30 days",IF(M469&lt;=90,"Due ≤90 days","OK"))),"Check date"))</f>
        <v/>
      </c>
      <c r="O469" s="27" t="n"/>
      <c r="P469" s="21" t="n"/>
      <c r="Q469" s="21" t="n"/>
      <c r="R469" s="21" t="n"/>
    </row>
    <row r="470">
      <c r="A470" s="21" t="n"/>
      <c r="B470" s="21" t="n"/>
      <c r="C470" s="21" t="n"/>
      <c r="D470" s="21" t="n"/>
      <c r="E470" s="21" t="n"/>
      <c r="F470" s="21" t="n"/>
      <c r="G470" s="21" t="n"/>
      <c r="H470" s="21" t="n"/>
      <c r="I470" s="22" t="n"/>
      <c r="J470" s="22" t="n"/>
      <c r="K470" s="23" t="n"/>
      <c r="L470" s="24">
        <f>IF(ISNUMBER(J470),J470-IF(ISNUMBER(K470),K470,30),"")</f>
        <v/>
      </c>
      <c r="M470" s="25">
        <f>IF(J470="","",IF(ISNUMBER(J470),J470-TODAY(),"Check date"))</f>
        <v/>
      </c>
      <c r="N470" s="26">
        <f>IF(M470="","",IF(ISNUMBER(M470),IF(M470&lt;0,"Expired",IF(M470&lt;=30,"Due ≤30 days",IF(M470&lt;=90,"Due ≤90 days","OK"))),"Check date"))</f>
        <v/>
      </c>
      <c r="O470" s="27" t="n"/>
      <c r="P470" s="21" t="n"/>
      <c r="Q470" s="21" t="n"/>
      <c r="R470" s="21" t="n"/>
    </row>
    <row r="471">
      <c r="A471" s="21" t="n"/>
      <c r="B471" s="21" t="n"/>
      <c r="C471" s="21" t="n"/>
      <c r="D471" s="21" t="n"/>
      <c r="E471" s="21" t="n"/>
      <c r="F471" s="21" t="n"/>
      <c r="G471" s="21" t="n"/>
      <c r="H471" s="21" t="n"/>
      <c r="I471" s="22" t="n"/>
      <c r="J471" s="22" t="n"/>
      <c r="K471" s="23" t="n"/>
      <c r="L471" s="24">
        <f>IF(ISNUMBER(J471),J471-IF(ISNUMBER(K471),K471,30),"")</f>
        <v/>
      </c>
      <c r="M471" s="25">
        <f>IF(J471="","",IF(ISNUMBER(J471),J471-TODAY(),"Check date"))</f>
        <v/>
      </c>
      <c r="N471" s="26">
        <f>IF(M471="","",IF(ISNUMBER(M471),IF(M471&lt;0,"Expired",IF(M471&lt;=30,"Due ≤30 days",IF(M471&lt;=90,"Due ≤90 days","OK"))),"Check date"))</f>
        <v/>
      </c>
      <c r="O471" s="27" t="n"/>
      <c r="P471" s="21" t="n"/>
      <c r="Q471" s="21" t="n"/>
      <c r="R471" s="21" t="n"/>
    </row>
    <row r="472">
      <c r="A472" s="21" t="n"/>
      <c r="B472" s="21" t="n"/>
      <c r="C472" s="21" t="n"/>
      <c r="D472" s="21" t="n"/>
      <c r="E472" s="21" t="n"/>
      <c r="F472" s="21" t="n"/>
      <c r="G472" s="21" t="n"/>
      <c r="H472" s="21" t="n"/>
      <c r="I472" s="22" t="n"/>
      <c r="J472" s="22" t="n"/>
      <c r="K472" s="23" t="n"/>
      <c r="L472" s="24">
        <f>IF(ISNUMBER(J472),J472-IF(ISNUMBER(K472),K472,30),"")</f>
        <v/>
      </c>
      <c r="M472" s="25">
        <f>IF(J472="","",IF(ISNUMBER(J472),J472-TODAY(),"Check date"))</f>
        <v/>
      </c>
      <c r="N472" s="26">
        <f>IF(M472="","",IF(ISNUMBER(M472),IF(M472&lt;0,"Expired",IF(M472&lt;=30,"Due ≤30 days",IF(M472&lt;=90,"Due ≤90 days","OK"))),"Check date"))</f>
        <v/>
      </c>
      <c r="O472" s="27" t="n"/>
      <c r="P472" s="21" t="n"/>
      <c r="Q472" s="21" t="n"/>
      <c r="R472" s="21" t="n"/>
    </row>
    <row r="473">
      <c r="A473" s="21" t="n"/>
      <c r="B473" s="21" t="n"/>
      <c r="C473" s="21" t="n"/>
      <c r="D473" s="21" t="n"/>
      <c r="E473" s="21" t="n"/>
      <c r="F473" s="21" t="n"/>
      <c r="G473" s="21" t="n"/>
      <c r="H473" s="21" t="n"/>
      <c r="I473" s="22" t="n"/>
      <c r="J473" s="22" t="n"/>
      <c r="K473" s="23" t="n"/>
      <c r="L473" s="24">
        <f>IF(ISNUMBER(J473),J473-IF(ISNUMBER(K473),K473,30),"")</f>
        <v/>
      </c>
      <c r="M473" s="25">
        <f>IF(J473="","",IF(ISNUMBER(J473),J473-TODAY(),"Check date"))</f>
        <v/>
      </c>
      <c r="N473" s="26">
        <f>IF(M473="","",IF(ISNUMBER(M473),IF(M473&lt;0,"Expired",IF(M473&lt;=30,"Due ≤30 days",IF(M473&lt;=90,"Due ≤90 days","OK"))),"Check date"))</f>
        <v/>
      </c>
      <c r="O473" s="27" t="n"/>
      <c r="P473" s="21" t="n"/>
      <c r="Q473" s="21" t="n"/>
      <c r="R473" s="21" t="n"/>
    </row>
    <row r="474">
      <c r="A474" s="21" t="n"/>
      <c r="B474" s="21" t="n"/>
      <c r="C474" s="21" t="n"/>
      <c r="D474" s="21" t="n"/>
      <c r="E474" s="21" t="n"/>
      <c r="F474" s="21" t="n"/>
      <c r="G474" s="21" t="n"/>
      <c r="H474" s="21" t="n"/>
      <c r="I474" s="22" t="n"/>
      <c r="J474" s="22" t="n"/>
      <c r="K474" s="23" t="n"/>
      <c r="L474" s="24">
        <f>IF(ISNUMBER(J474),J474-IF(ISNUMBER(K474),K474,30),"")</f>
        <v/>
      </c>
      <c r="M474" s="25">
        <f>IF(J474="","",IF(ISNUMBER(J474),J474-TODAY(),"Check date"))</f>
        <v/>
      </c>
      <c r="N474" s="26">
        <f>IF(M474="","",IF(ISNUMBER(M474),IF(M474&lt;0,"Expired",IF(M474&lt;=30,"Due ≤30 days",IF(M474&lt;=90,"Due ≤90 days","OK"))),"Check date"))</f>
        <v/>
      </c>
      <c r="O474" s="27" t="n"/>
      <c r="P474" s="21" t="n"/>
      <c r="Q474" s="21" t="n"/>
      <c r="R474" s="21" t="n"/>
    </row>
    <row r="475">
      <c r="A475" s="21" t="n"/>
      <c r="B475" s="21" t="n"/>
      <c r="C475" s="21" t="n"/>
      <c r="D475" s="21" t="n"/>
      <c r="E475" s="21" t="n"/>
      <c r="F475" s="21" t="n"/>
      <c r="G475" s="21" t="n"/>
      <c r="H475" s="21" t="n"/>
      <c r="I475" s="22" t="n"/>
      <c r="J475" s="22" t="n"/>
      <c r="K475" s="23" t="n"/>
      <c r="L475" s="24">
        <f>IF(ISNUMBER(J475),J475-IF(ISNUMBER(K475),K475,30),"")</f>
        <v/>
      </c>
      <c r="M475" s="25">
        <f>IF(J475="","",IF(ISNUMBER(J475),J475-TODAY(),"Check date"))</f>
        <v/>
      </c>
      <c r="N475" s="26">
        <f>IF(M475="","",IF(ISNUMBER(M475),IF(M475&lt;0,"Expired",IF(M475&lt;=30,"Due ≤30 days",IF(M475&lt;=90,"Due ≤90 days","OK"))),"Check date"))</f>
        <v/>
      </c>
      <c r="O475" s="27" t="n"/>
      <c r="P475" s="21" t="n"/>
      <c r="Q475" s="21" t="n"/>
      <c r="R475" s="21" t="n"/>
    </row>
    <row r="476">
      <c r="A476" s="21" t="n"/>
      <c r="B476" s="21" t="n"/>
      <c r="C476" s="21" t="n"/>
      <c r="D476" s="21" t="n"/>
      <c r="E476" s="21" t="n"/>
      <c r="F476" s="21" t="n"/>
      <c r="G476" s="21" t="n"/>
      <c r="H476" s="21" t="n"/>
      <c r="I476" s="22" t="n"/>
      <c r="J476" s="22" t="n"/>
      <c r="K476" s="23" t="n"/>
      <c r="L476" s="24">
        <f>IF(ISNUMBER(J476),J476-IF(ISNUMBER(K476),K476,30),"")</f>
        <v/>
      </c>
      <c r="M476" s="25">
        <f>IF(J476="","",IF(ISNUMBER(J476),J476-TODAY(),"Check date"))</f>
        <v/>
      </c>
      <c r="N476" s="26">
        <f>IF(M476="","",IF(ISNUMBER(M476),IF(M476&lt;0,"Expired",IF(M476&lt;=30,"Due ≤30 days",IF(M476&lt;=90,"Due ≤90 days","OK"))),"Check date"))</f>
        <v/>
      </c>
      <c r="O476" s="27" t="n"/>
      <c r="P476" s="21" t="n"/>
      <c r="Q476" s="21" t="n"/>
      <c r="R476" s="21" t="n"/>
    </row>
    <row r="477">
      <c r="A477" s="21" t="n"/>
      <c r="B477" s="21" t="n"/>
      <c r="C477" s="21" t="n"/>
      <c r="D477" s="21" t="n"/>
      <c r="E477" s="21" t="n"/>
      <c r="F477" s="21" t="n"/>
      <c r="G477" s="21" t="n"/>
      <c r="H477" s="21" t="n"/>
      <c r="I477" s="22" t="n"/>
      <c r="J477" s="22" t="n"/>
      <c r="K477" s="23" t="n"/>
      <c r="L477" s="24">
        <f>IF(ISNUMBER(J477),J477-IF(ISNUMBER(K477),K477,30),"")</f>
        <v/>
      </c>
      <c r="M477" s="25">
        <f>IF(J477="","",IF(ISNUMBER(J477),J477-TODAY(),"Check date"))</f>
        <v/>
      </c>
      <c r="N477" s="26">
        <f>IF(M477="","",IF(ISNUMBER(M477),IF(M477&lt;0,"Expired",IF(M477&lt;=30,"Due ≤30 days",IF(M477&lt;=90,"Due ≤90 days","OK"))),"Check date"))</f>
        <v/>
      </c>
      <c r="O477" s="27" t="n"/>
      <c r="P477" s="21" t="n"/>
      <c r="Q477" s="21" t="n"/>
      <c r="R477" s="21" t="n"/>
    </row>
    <row r="478">
      <c r="A478" s="21" t="n"/>
      <c r="B478" s="21" t="n"/>
      <c r="C478" s="21" t="n"/>
      <c r="D478" s="21" t="n"/>
      <c r="E478" s="21" t="n"/>
      <c r="F478" s="21" t="n"/>
      <c r="G478" s="21" t="n"/>
      <c r="H478" s="21" t="n"/>
      <c r="I478" s="22" t="n"/>
      <c r="J478" s="22" t="n"/>
      <c r="K478" s="23" t="n"/>
      <c r="L478" s="24">
        <f>IF(ISNUMBER(J478),J478-IF(ISNUMBER(K478),K478,30),"")</f>
        <v/>
      </c>
      <c r="M478" s="25">
        <f>IF(J478="","",IF(ISNUMBER(J478),J478-TODAY(),"Check date"))</f>
        <v/>
      </c>
      <c r="N478" s="26">
        <f>IF(M478="","",IF(ISNUMBER(M478),IF(M478&lt;0,"Expired",IF(M478&lt;=30,"Due ≤30 days",IF(M478&lt;=90,"Due ≤90 days","OK"))),"Check date"))</f>
        <v/>
      </c>
      <c r="O478" s="27" t="n"/>
      <c r="P478" s="21" t="n"/>
      <c r="Q478" s="21" t="n"/>
      <c r="R478" s="21" t="n"/>
    </row>
    <row r="479">
      <c r="A479" s="21" t="n"/>
      <c r="B479" s="21" t="n"/>
      <c r="C479" s="21" t="n"/>
      <c r="D479" s="21" t="n"/>
      <c r="E479" s="21" t="n"/>
      <c r="F479" s="21" t="n"/>
      <c r="G479" s="21" t="n"/>
      <c r="H479" s="21" t="n"/>
      <c r="I479" s="22" t="n"/>
      <c r="J479" s="22" t="n"/>
      <c r="K479" s="23" t="n"/>
      <c r="L479" s="24">
        <f>IF(ISNUMBER(J479),J479-IF(ISNUMBER(K479),K479,30),"")</f>
        <v/>
      </c>
      <c r="M479" s="25">
        <f>IF(J479="","",IF(ISNUMBER(J479),J479-TODAY(),"Check date"))</f>
        <v/>
      </c>
      <c r="N479" s="26">
        <f>IF(M479="","",IF(ISNUMBER(M479),IF(M479&lt;0,"Expired",IF(M479&lt;=30,"Due ≤30 days",IF(M479&lt;=90,"Due ≤90 days","OK"))),"Check date"))</f>
        <v/>
      </c>
      <c r="O479" s="27" t="n"/>
      <c r="P479" s="21" t="n"/>
      <c r="Q479" s="21" t="n"/>
      <c r="R479" s="21" t="n"/>
    </row>
    <row r="480">
      <c r="A480" s="21" t="n"/>
      <c r="B480" s="21" t="n"/>
      <c r="C480" s="21" t="n"/>
      <c r="D480" s="21" t="n"/>
      <c r="E480" s="21" t="n"/>
      <c r="F480" s="21" t="n"/>
      <c r="G480" s="21" t="n"/>
      <c r="H480" s="21" t="n"/>
      <c r="I480" s="22" t="n"/>
      <c r="J480" s="22" t="n"/>
      <c r="K480" s="23" t="n"/>
      <c r="L480" s="24">
        <f>IF(ISNUMBER(J480),J480-IF(ISNUMBER(K480),K480,30),"")</f>
        <v/>
      </c>
      <c r="M480" s="25">
        <f>IF(J480="","",IF(ISNUMBER(J480),J480-TODAY(),"Check date"))</f>
        <v/>
      </c>
      <c r="N480" s="26">
        <f>IF(M480="","",IF(ISNUMBER(M480),IF(M480&lt;0,"Expired",IF(M480&lt;=30,"Due ≤30 days",IF(M480&lt;=90,"Due ≤90 days","OK"))),"Check date"))</f>
        <v/>
      </c>
      <c r="O480" s="27" t="n"/>
      <c r="P480" s="21" t="n"/>
      <c r="Q480" s="21" t="n"/>
      <c r="R480" s="21" t="n"/>
    </row>
    <row r="481">
      <c r="A481" s="21" t="n"/>
      <c r="B481" s="21" t="n"/>
      <c r="C481" s="21" t="n"/>
      <c r="D481" s="21" t="n"/>
      <c r="E481" s="21" t="n"/>
      <c r="F481" s="21" t="n"/>
      <c r="G481" s="21" t="n"/>
      <c r="H481" s="21" t="n"/>
      <c r="I481" s="22" t="n"/>
      <c r="J481" s="22" t="n"/>
      <c r="K481" s="23" t="n"/>
      <c r="L481" s="24">
        <f>IF(ISNUMBER(J481),J481-IF(ISNUMBER(K481),K481,30),"")</f>
        <v/>
      </c>
      <c r="M481" s="25">
        <f>IF(J481="","",IF(ISNUMBER(J481),J481-TODAY(),"Check date"))</f>
        <v/>
      </c>
      <c r="N481" s="26">
        <f>IF(M481="","",IF(ISNUMBER(M481),IF(M481&lt;0,"Expired",IF(M481&lt;=30,"Due ≤30 days",IF(M481&lt;=90,"Due ≤90 days","OK"))),"Check date"))</f>
        <v/>
      </c>
      <c r="O481" s="27" t="n"/>
      <c r="P481" s="21" t="n"/>
      <c r="Q481" s="21" t="n"/>
      <c r="R481" s="21" t="n"/>
    </row>
    <row r="482">
      <c r="A482" s="21" t="n"/>
      <c r="B482" s="21" t="n"/>
      <c r="C482" s="21" t="n"/>
      <c r="D482" s="21" t="n"/>
      <c r="E482" s="21" t="n"/>
      <c r="F482" s="21" t="n"/>
      <c r="G482" s="21" t="n"/>
      <c r="H482" s="21" t="n"/>
      <c r="I482" s="22" t="n"/>
      <c r="J482" s="22" t="n"/>
      <c r="K482" s="23" t="n"/>
      <c r="L482" s="24">
        <f>IF(ISNUMBER(J482),J482-IF(ISNUMBER(K482),K482,30),"")</f>
        <v/>
      </c>
      <c r="M482" s="25">
        <f>IF(J482="","",IF(ISNUMBER(J482),J482-TODAY(),"Check date"))</f>
        <v/>
      </c>
      <c r="N482" s="26">
        <f>IF(M482="","",IF(ISNUMBER(M482),IF(M482&lt;0,"Expired",IF(M482&lt;=30,"Due ≤30 days",IF(M482&lt;=90,"Due ≤90 days","OK"))),"Check date"))</f>
        <v/>
      </c>
      <c r="O482" s="27" t="n"/>
      <c r="P482" s="21" t="n"/>
      <c r="Q482" s="21" t="n"/>
      <c r="R482" s="21" t="n"/>
    </row>
    <row r="483">
      <c r="A483" s="21" t="n"/>
      <c r="B483" s="21" t="n"/>
      <c r="C483" s="21" t="n"/>
      <c r="D483" s="21" t="n"/>
      <c r="E483" s="21" t="n"/>
      <c r="F483" s="21" t="n"/>
      <c r="G483" s="21" t="n"/>
      <c r="H483" s="21" t="n"/>
      <c r="I483" s="22" t="n"/>
      <c r="J483" s="22" t="n"/>
      <c r="K483" s="23" t="n"/>
      <c r="L483" s="24">
        <f>IF(ISNUMBER(J483),J483-IF(ISNUMBER(K483),K483,30),"")</f>
        <v/>
      </c>
      <c r="M483" s="25">
        <f>IF(J483="","",IF(ISNUMBER(J483),J483-TODAY(),"Check date"))</f>
        <v/>
      </c>
      <c r="N483" s="26">
        <f>IF(M483="","",IF(ISNUMBER(M483),IF(M483&lt;0,"Expired",IF(M483&lt;=30,"Due ≤30 days",IF(M483&lt;=90,"Due ≤90 days","OK"))),"Check date"))</f>
        <v/>
      </c>
      <c r="O483" s="27" t="n"/>
      <c r="P483" s="21" t="n"/>
      <c r="Q483" s="21" t="n"/>
      <c r="R483" s="21" t="n"/>
    </row>
    <row r="484">
      <c r="A484" s="21" t="n"/>
      <c r="B484" s="21" t="n"/>
      <c r="C484" s="21" t="n"/>
      <c r="D484" s="21" t="n"/>
      <c r="E484" s="21" t="n"/>
      <c r="F484" s="21" t="n"/>
      <c r="G484" s="21" t="n"/>
      <c r="H484" s="21" t="n"/>
      <c r="I484" s="22" t="n"/>
      <c r="J484" s="22" t="n"/>
      <c r="K484" s="23" t="n"/>
      <c r="L484" s="24">
        <f>IF(ISNUMBER(J484),J484-IF(ISNUMBER(K484),K484,30),"")</f>
        <v/>
      </c>
      <c r="M484" s="25">
        <f>IF(J484="","",IF(ISNUMBER(J484),J484-TODAY(),"Check date"))</f>
        <v/>
      </c>
      <c r="N484" s="26">
        <f>IF(M484="","",IF(ISNUMBER(M484),IF(M484&lt;0,"Expired",IF(M484&lt;=30,"Due ≤30 days",IF(M484&lt;=90,"Due ≤90 days","OK"))),"Check date"))</f>
        <v/>
      </c>
      <c r="O484" s="27" t="n"/>
      <c r="P484" s="21" t="n"/>
      <c r="Q484" s="21" t="n"/>
      <c r="R484" s="21" t="n"/>
    </row>
    <row r="485">
      <c r="A485" s="21" t="n"/>
      <c r="B485" s="21" t="n"/>
      <c r="C485" s="21" t="n"/>
      <c r="D485" s="21" t="n"/>
      <c r="E485" s="21" t="n"/>
      <c r="F485" s="21" t="n"/>
      <c r="G485" s="21" t="n"/>
      <c r="H485" s="21" t="n"/>
      <c r="I485" s="22" t="n"/>
      <c r="J485" s="22" t="n"/>
      <c r="K485" s="23" t="n"/>
      <c r="L485" s="24">
        <f>IF(ISNUMBER(J485),J485-IF(ISNUMBER(K485),K485,30),"")</f>
        <v/>
      </c>
      <c r="M485" s="25">
        <f>IF(J485="","",IF(ISNUMBER(J485),J485-TODAY(),"Check date"))</f>
        <v/>
      </c>
      <c r="N485" s="26">
        <f>IF(M485="","",IF(ISNUMBER(M485),IF(M485&lt;0,"Expired",IF(M485&lt;=30,"Due ≤30 days",IF(M485&lt;=90,"Due ≤90 days","OK"))),"Check date"))</f>
        <v/>
      </c>
      <c r="O485" s="27" t="n"/>
      <c r="P485" s="21" t="n"/>
      <c r="Q485" s="21" t="n"/>
      <c r="R485" s="21" t="n"/>
    </row>
    <row r="486">
      <c r="A486" s="21" t="n"/>
      <c r="B486" s="21" t="n"/>
      <c r="C486" s="21" t="n"/>
      <c r="D486" s="21" t="n"/>
      <c r="E486" s="21" t="n"/>
      <c r="F486" s="21" t="n"/>
      <c r="G486" s="21" t="n"/>
      <c r="H486" s="21" t="n"/>
      <c r="I486" s="22" t="n"/>
      <c r="J486" s="22" t="n"/>
      <c r="K486" s="23" t="n"/>
      <c r="L486" s="24">
        <f>IF(ISNUMBER(J486),J486-IF(ISNUMBER(K486),K486,30),"")</f>
        <v/>
      </c>
      <c r="M486" s="25">
        <f>IF(J486="","",IF(ISNUMBER(J486),J486-TODAY(),"Check date"))</f>
        <v/>
      </c>
      <c r="N486" s="26">
        <f>IF(M486="","",IF(ISNUMBER(M486),IF(M486&lt;0,"Expired",IF(M486&lt;=30,"Due ≤30 days",IF(M486&lt;=90,"Due ≤90 days","OK"))),"Check date"))</f>
        <v/>
      </c>
      <c r="O486" s="27" t="n"/>
      <c r="P486" s="21" t="n"/>
      <c r="Q486" s="21" t="n"/>
      <c r="R486" s="21" t="n"/>
    </row>
    <row r="487">
      <c r="A487" s="21" t="n"/>
      <c r="B487" s="21" t="n"/>
      <c r="C487" s="21" t="n"/>
      <c r="D487" s="21" t="n"/>
      <c r="E487" s="21" t="n"/>
      <c r="F487" s="21" t="n"/>
      <c r="G487" s="21" t="n"/>
      <c r="H487" s="21" t="n"/>
      <c r="I487" s="22" t="n"/>
      <c r="J487" s="22" t="n"/>
      <c r="K487" s="23" t="n"/>
      <c r="L487" s="24">
        <f>IF(ISNUMBER(J487),J487-IF(ISNUMBER(K487),K487,30),"")</f>
        <v/>
      </c>
      <c r="M487" s="25">
        <f>IF(J487="","",IF(ISNUMBER(J487),J487-TODAY(),"Check date"))</f>
        <v/>
      </c>
      <c r="N487" s="26">
        <f>IF(M487="","",IF(ISNUMBER(M487),IF(M487&lt;0,"Expired",IF(M487&lt;=30,"Due ≤30 days",IF(M487&lt;=90,"Due ≤90 days","OK"))),"Check date"))</f>
        <v/>
      </c>
      <c r="O487" s="27" t="n"/>
      <c r="P487" s="21" t="n"/>
      <c r="Q487" s="21" t="n"/>
      <c r="R487" s="21" t="n"/>
    </row>
    <row r="488">
      <c r="A488" s="21" t="n"/>
      <c r="B488" s="21" t="n"/>
      <c r="C488" s="21" t="n"/>
      <c r="D488" s="21" t="n"/>
      <c r="E488" s="21" t="n"/>
      <c r="F488" s="21" t="n"/>
      <c r="G488" s="21" t="n"/>
      <c r="H488" s="21" t="n"/>
      <c r="I488" s="22" t="n"/>
      <c r="J488" s="22" t="n"/>
      <c r="K488" s="23" t="n"/>
      <c r="L488" s="24">
        <f>IF(ISNUMBER(J488),J488-IF(ISNUMBER(K488),K488,30),"")</f>
        <v/>
      </c>
      <c r="M488" s="25">
        <f>IF(J488="","",IF(ISNUMBER(J488),J488-TODAY(),"Check date"))</f>
        <v/>
      </c>
      <c r="N488" s="26">
        <f>IF(M488="","",IF(ISNUMBER(M488),IF(M488&lt;0,"Expired",IF(M488&lt;=30,"Due ≤30 days",IF(M488&lt;=90,"Due ≤90 days","OK"))),"Check date"))</f>
        <v/>
      </c>
      <c r="O488" s="27" t="n"/>
      <c r="P488" s="21" t="n"/>
      <c r="Q488" s="21" t="n"/>
      <c r="R488" s="21" t="n"/>
    </row>
    <row r="489">
      <c r="A489" s="21" t="n"/>
      <c r="B489" s="21" t="n"/>
      <c r="C489" s="21" t="n"/>
      <c r="D489" s="21" t="n"/>
      <c r="E489" s="21" t="n"/>
      <c r="F489" s="21" t="n"/>
      <c r="G489" s="21" t="n"/>
      <c r="H489" s="21" t="n"/>
      <c r="I489" s="22" t="n"/>
      <c r="J489" s="22" t="n"/>
      <c r="K489" s="23" t="n"/>
      <c r="L489" s="24">
        <f>IF(ISNUMBER(J489),J489-IF(ISNUMBER(K489),K489,30),"")</f>
        <v/>
      </c>
      <c r="M489" s="25">
        <f>IF(J489="","",IF(ISNUMBER(J489),J489-TODAY(),"Check date"))</f>
        <v/>
      </c>
      <c r="N489" s="26">
        <f>IF(M489="","",IF(ISNUMBER(M489),IF(M489&lt;0,"Expired",IF(M489&lt;=30,"Due ≤30 days",IF(M489&lt;=90,"Due ≤90 days","OK"))),"Check date"))</f>
        <v/>
      </c>
      <c r="O489" s="27" t="n"/>
      <c r="P489" s="21" t="n"/>
      <c r="Q489" s="21" t="n"/>
      <c r="R489" s="21" t="n"/>
    </row>
    <row r="490">
      <c r="A490" s="21" t="n"/>
      <c r="B490" s="21" t="n"/>
      <c r="C490" s="21" t="n"/>
      <c r="D490" s="21" t="n"/>
      <c r="E490" s="21" t="n"/>
      <c r="F490" s="21" t="n"/>
      <c r="G490" s="21" t="n"/>
      <c r="H490" s="21" t="n"/>
      <c r="I490" s="22" t="n"/>
      <c r="J490" s="22" t="n"/>
      <c r="K490" s="23" t="n"/>
      <c r="L490" s="24">
        <f>IF(ISNUMBER(J490),J490-IF(ISNUMBER(K490),K490,30),"")</f>
        <v/>
      </c>
      <c r="M490" s="25">
        <f>IF(J490="","",IF(ISNUMBER(J490),J490-TODAY(),"Check date"))</f>
        <v/>
      </c>
      <c r="N490" s="26">
        <f>IF(M490="","",IF(ISNUMBER(M490),IF(M490&lt;0,"Expired",IF(M490&lt;=30,"Due ≤30 days",IF(M490&lt;=90,"Due ≤90 days","OK"))),"Check date"))</f>
        <v/>
      </c>
      <c r="O490" s="27" t="n"/>
      <c r="P490" s="21" t="n"/>
      <c r="Q490" s="21" t="n"/>
      <c r="R490" s="21" t="n"/>
    </row>
    <row r="491">
      <c r="A491" s="21" t="n"/>
      <c r="B491" s="21" t="n"/>
      <c r="C491" s="21" t="n"/>
      <c r="D491" s="21" t="n"/>
      <c r="E491" s="21" t="n"/>
      <c r="F491" s="21" t="n"/>
      <c r="G491" s="21" t="n"/>
      <c r="H491" s="21" t="n"/>
      <c r="I491" s="22" t="n"/>
      <c r="J491" s="22" t="n"/>
      <c r="K491" s="23" t="n"/>
      <c r="L491" s="24">
        <f>IF(ISNUMBER(J491),J491-IF(ISNUMBER(K491),K491,30),"")</f>
        <v/>
      </c>
      <c r="M491" s="25">
        <f>IF(J491="","",IF(ISNUMBER(J491),J491-TODAY(),"Check date"))</f>
        <v/>
      </c>
      <c r="N491" s="26">
        <f>IF(M491="","",IF(ISNUMBER(M491),IF(M491&lt;0,"Expired",IF(M491&lt;=30,"Due ≤30 days",IF(M491&lt;=90,"Due ≤90 days","OK"))),"Check date"))</f>
        <v/>
      </c>
      <c r="O491" s="27" t="n"/>
      <c r="P491" s="21" t="n"/>
      <c r="Q491" s="21" t="n"/>
      <c r="R491" s="21" t="n"/>
    </row>
    <row r="492">
      <c r="A492" s="21" t="n"/>
      <c r="B492" s="21" t="n"/>
      <c r="C492" s="21" t="n"/>
      <c r="D492" s="21" t="n"/>
      <c r="E492" s="21" t="n"/>
      <c r="F492" s="21" t="n"/>
      <c r="G492" s="21" t="n"/>
      <c r="H492" s="21" t="n"/>
      <c r="I492" s="22" t="n"/>
      <c r="J492" s="22" t="n"/>
      <c r="K492" s="23" t="n"/>
      <c r="L492" s="24">
        <f>IF(ISNUMBER(J492),J492-IF(ISNUMBER(K492),K492,30),"")</f>
        <v/>
      </c>
      <c r="M492" s="25">
        <f>IF(J492="","",IF(ISNUMBER(J492),J492-TODAY(),"Check date"))</f>
        <v/>
      </c>
      <c r="N492" s="26">
        <f>IF(M492="","",IF(ISNUMBER(M492),IF(M492&lt;0,"Expired",IF(M492&lt;=30,"Due ≤30 days",IF(M492&lt;=90,"Due ≤90 days","OK"))),"Check date"))</f>
        <v/>
      </c>
      <c r="O492" s="27" t="n"/>
      <c r="P492" s="21" t="n"/>
      <c r="Q492" s="21" t="n"/>
      <c r="R492" s="21" t="n"/>
    </row>
    <row r="493">
      <c r="A493" s="21" t="n"/>
      <c r="B493" s="21" t="n"/>
      <c r="C493" s="21" t="n"/>
      <c r="D493" s="21" t="n"/>
      <c r="E493" s="21" t="n"/>
      <c r="F493" s="21" t="n"/>
      <c r="G493" s="21" t="n"/>
      <c r="H493" s="21" t="n"/>
      <c r="I493" s="22" t="n"/>
      <c r="J493" s="22" t="n"/>
      <c r="K493" s="23" t="n"/>
      <c r="L493" s="24">
        <f>IF(ISNUMBER(J493),J493-IF(ISNUMBER(K493),K493,30),"")</f>
        <v/>
      </c>
      <c r="M493" s="25">
        <f>IF(J493="","",IF(ISNUMBER(J493),J493-TODAY(),"Check date"))</f>
        <v/>
      </c>
      <c r="N493" s="26">
        <f>IF(M493="","",IF(ISNUMBER(M493),IF(M493&lt;0,"Expired",IF(M493&lt;=30,"Due ≤30 days",IF(M493&lt;=90,"Due ≤90 days","OK"))),"Check date"))</f>
        <v/>
      </c>
      <c r="O493" s="27" t="n"/>
      <c r="P493" s="21" t="n"/>
      <c r="Q493" s="21" t="n"/>
      <c r="R493" s="21" t="n"/>
    </row>
    <row r="494">
      <c r="A494" s="21" t="n"/>
      <c r="B494" s="21" t="n"/>
      <c r="C494" s="21" t="n"/>
      <c r="D494" s="21" t="n"/>
      <c r="E494" s="21" t="n"/>
      <c r="F494" s="21" t="n"/>
      <c r="G494" s="21" t="n"/>
      <c r="H494" s="21" t="n"/>
      <c r="I494" s="22" t="n"/>
      <c r="J494" s="22" t="n"/>
      <c r="K494" s="23" t="n"/>
      <c r="L494" s="24">
        <f>IF(ISNUMBER(J494),J494-IF(ISNUMBER(K494),K494,30),"")</f>
        <v/>
      </c>
      <c r="M494" s="25">
        <f>IF(J494="","",IF(ISNUMBER(J494),J494-TODAY(),"Check date"))</f>
        <v/>
      </c>
      <c r="N494" s="26">
        <f>IF(M494="","",IF(ISNUMBER(M494),IF(M494&lt;0,"Expired",IF(M494&lt;=30,"Due ≤30 days",IF(M494&lt;=90,"Due ≤90 days","OK"))),"Check date"))</f>
        <v/>
      </c>
      <c r="O494" s="27" t="n"/>
      <c r="P494" s="21" t="n"/>
      <c r="Q494" s="21" t="n"/>
      <c r="R494" s="21" t="n"/>
    </row>
    <row r="495">
      <c r="A495" s="21" t="n"/>
      <c r="B495" s="21" t="n"/>
      <c r="C495" s="21" t="n"/>
      <c r="D495" s="21" t="n"/>
      <c r="E495" s="21" t="n"/>
      <c r="F495" s="21" t="n"/>
      <c r="G495" s="21" t="n"/>
      <c r="H495" s="21" t="n"/>
      <c r="I495" s="22" t="n"/>
      <c r="J495" s="22" t="n"/>
      <c r="K495" s="23" t="n"/>
      <c r="L495" s="24">
        <f>IF(ISNUMBER(J495),J495-IF(ISNUMBER(K495),K495,30),"")</f>
        <v/>
      </c>
      <c r="M495" s="25">
        <f>IF(J495="","",IF(ISNUMBER(J495),J495-TODAY(),"Check date"))</f>
        <v/>
      </c>
      <c r="N495" s="26">
        <f>IF(M495="","",IF(ISNUMBER(M495),IF(M495&lt;0,"Expired",IF(M495&lt;=30,"Due ≤30 days",IF(M495&lt;=90,"Due ≤90 days","OK"))),"Check date"))</f>
        <v/>
      </c>
      <c r="O495" s="27" t="n"/>
      <c r="P495" s="21" t="n"/>
      <c r="Q495" s="21" t="n"/>
      <c r="R495" s="21" t="n"/>
    </row>
    <row r="496">
      <c r="A496" s="21" t="n"/>
      <c r="B496" s="21" t="n"/>
      <c r="C496" s="21" t="n"/>
      <c r="D496" s="21" t="n"/>
      <c r="E496" s="21" t="n"/>
      <c r="F496" s="21" t="n"/>
      <c r="G496" s="21" t="n"/>
      <c r="H496" s="21" t="n"/>
      <c r="I496" s="22" t="n"/>
      <c r="J496" s="22" t="n"/>
      <c r="K496" s="23" t="n"/>
      <c r="L496" s="24">
        <f>IF(ISNUMBER(J496),J496-IF(ISNUMBER(K496),K496,30),"")</f>
        <v/>
      </c>
      <c r="M496" s="25">
        <f>IF(J496="","",IF(ISNUMBER(J496),J496-TODAY(),"Check date"))</f>
        <v/>
      </c>
      <c r="N496" s="26">
        <f>IF(M496="","",IF(ISNUMBER(M496),IF(M496&lt;0,"Expired",IF(M496&lt;=30,"Due ≤30 days",IF(M496&lt;=90,"Due ≤90 days","OK"))),"Check date"))</f>
        <v/>
      </c>
      <c r="O496" s="27" t="n"/>
      <c r="P496" s="21" t="n"/>
      <c r="Q496" s="21" t="n"/>
      <c r="R496" s="21" t="n"/>
    </row>
    <row r="497">
      <c r="A497" s="21" t="n"/>
      <c r="B497" s="21" t="n"/>
      <c r="C497" s="21" t="n"/>
      <c r="D497" s="21" t="n"/>
      <c r="E497" s="21" t="n"/>
      <c r="F497" s="21" t="n"/>
      <c r="G497" s="21" t="n"/>
      <c r="H497" s="21" t="n"/>
      <c r="I497" s="22" t="n"/>
      <c r="J497" s="22" t="n"/>
      <c r="K497" s="23" t="n"/>
      <c r="L497" s="24">
        <f>IF(ISNUMBER(J497),J497-IF(ISNUMBER(K497),K497,30),"")</f>
        <v/>
      </c>
      <c r="M497" s="25">
        <f>IF(J497="","",IF(ISNUMBER(J497),J497-TODAY(),"Check date"))</f>
        <v/>
      </c>
      <c r="N497" s="26">
        <f>IF(M497="","",IF(ISNUMBER(M497),IF(M497&lt;0,"Expired",IF(M497&lt;=30,"Due ≤30 days",IF(M497&lt;=90,"Due ≤90 days","OK"))),"Check date"))</f>
        <v/>
      </c>
      <c r="O497" s="27" t="n"/>
      <c r="P497" s="21" t="n"/>
      <c r="Q497" s="21" t="n"/>
      <c r="R497" s="21" t="n"/>
    </row>
    <row r="498">
      <c r="A498" s="21" t="n"/>
      <c r="B498" s="21" t="n"/>
      <c r="C498" s="21" t="n"/>
      <c r="D498" s="21" t="n"/>
      <c r="E498" s="21" t="n"/>
      <c r="F498" s="21" t="n"/>
      <c r="G498" s="21" t="n"/>
      <c r="H498" s="21" t="n"/>
      <c r="I498" s="22" t="n"/>
      <c r="J498" s="22" t="n"/>
      <c r="K498" s="23" t="n"/>
      <c r="L498" s="24">
        <f>IF(ISNUMBER(J498),J498-IF(ISNUMBER(K498),K498,30),"")</f>
        <v/>
      </c>
      <c r="M498" s="25">
        <f>IF(J498="","",IF(ISNUMBER(J498),J498-TODAY(),"Check date"))</f>
        <v/>
      </c>
      <c r="N498" s="26">
        <f>IF(M498="","",IF(ISNUMBER(M498),IF(M498&lt;0,"Expired",IF(M498&lt;=30,"Due ≤30 days",IF(M498&lt;=90,"Due ≤90 days","OK"))),"Check date"))</f>
        <v/>
      </c>
      <c r="O498" s="27" t="n"/>
      <c r="P498" s="21" t="n"/>
      <c r="Q498" s="21" t="n"/>
      <c r="R498" s="21" t="n"/>
    </row>
    <row r="499">
      <c r="A499" s="21" t="n"/>
      <c r="B499" s="21" t="n"/>
      <c r="C499" s="21" t="n"/>
      <c r="D499" s="21" t="n"/>
      <c r="E499" s="21" t="n"/>
      <c r="F499" s="21" t="n"/>
      <c r="G499" s="21" t="n"/>
      <c r="H499" s="21" t="n"/>
      <c r="I499" s="22" t="n"/>
      <c r="J499" s="22" t="n"/>
      <c r="K499" s="23" t="n"/>
      <c r="L499" s="24">
        <f>IF(ISNUMBER(J499),J499-IF(ISNUMBER(K499),K499,30),"")</f>
        <v/>
      </c>
      <c r="M499" s="25">
        <f>IF(J499="","",IF(ISNUMBER(J499),J499-TODAY(),"Check date"))</f>
        <v/>
      </c>
      <c r="N499" s="26">
        <f>IF(M499="","",IF(ISNUMBER(M499),IF(M499&lt;0,"Expired",IF(M499&lt;=30,"Due ≤30 days",IF(M499&lt;=90,"Due ≤90 days","OK"))),"Check date"))</f>
        <v/>
      </c>
      <c r="O499" s="27" t="n"/>
      <c r="P499" s="21" t="n"/>
      <c r="Q499" s="21" t="n"/>
      <c r="R499" s="21" t="n"/>
    </row>
    <row r="500">
      <c r="A500" s="21" t="n"/>
      <c r="B500" s="21" t="n"/>
      <c r="C500" s="21" t="n"/>
      <c r="D500" s="21" t="n"/>
      <c r="E500" s="21" t="n"/>
      <c r="F500" s="21" t="n"/>
      <c r="G500" s="21" t="n"/>
      <c r="H500" s="21" t="n"/>
      <c r="I500" s="22" t="n"/>
      <c r="J500" s="22" t="n"/>
      <c r="K500" s="23" t="n"/>
      <c r="L500" s="24">
        <f>IF(ISNUMBER(J500),J500-IF(ISNUMBER(K500),K500,30),"")</f>
        <v/>
      </c>
      <c r="M500" s="25">
        <f>IF(J500="","",IF(ISNUMBER(J500),J500-TODAY(),"Check date"))</f>
        <v/>
      </c>
      <c r="N500" s="26">
        <f>IF(M500="","",IF(ISNUMBER(M500),IF(M500&lt;0,"Expired",IF(M500&lt;=30,"Due ≤30 days",IF(M500&lt;=90,"Due ≤90 days","OK"))),"Check date"))</f>
        <v/>
      </c>
      <c r="O500" s="27" t="n"/>
      <c r="P500" s="21" t="n"/>
      <c r="Q500" s="21" t="n"/>
      <c r="R500" s="21" t="n"/>
    </row>
    <row r="501">
      <c r="A501" s="21" t="n"/>
      <c r="B501" s="21" t="n"/>
      <c r="C501" s="21" t="n"/>
      <c r="D501" s="21" t="n"/>
      <c r="E501" s="21" t="n"/>
      <c r="F501" s="21" t="n"/>
      <c r="G501" s="21" t="n"/>
      <c r="H501" s="21" t="n"/>
      <c r="I501" s="22" t="n"/>
      <c r="J501" s="22" t="n"/>
      <c r="K501" s="23" t="n"/>
      <c r="L501" s="24">
        <f>IF(ISNUMBER(J501),J501-IF(ISNUMBER(K501),K501,30),"")</f>
        <v/>
      </c>
      <c r="M501" s="25">
        <f>IF(J501="","",IF(ISNUMBER(J501),J501-TODAY(),"Check date"))</f>
        <v/>
      </c>
      <c r="N501" s="26">
        <f>IF(M501="","",IF(ISNUMBER(M501),IF(M501&lt;0,"Expired",IF(M501&lt;=30,"Due ≤30 days",IF(M501&lt;=90,"Due ≤90 days","OK"))),"Check date"))</f>
        <v/>
      </c>
      <c r="O501" s="27" t="n"/>
      <c r="P501" s="21" t="n"/>
      <c r="Q501" s="21" t="n"/>
      <c r="R501" s="21" t="n"/>
    </row>
    <row r="502">
      <c r="A502" s="21" t="n"/>
      <c r="B502" s="21" t="n"/>
      <c r="C502" s="21" t="n"/>
      <c r="D502" s="21" t="n"/>
      <c r="E502" s="21" t="n"/>
      <c r="F502" s="21" t="n"/>
      <c r="G502" s="21" t="n"/>
      <c r="H502" s="21" t="n"/>
      <c r="I502" s="22" t="n"/>
      <c r="J502" s="22" t="n"/>
      <c r="K502" s="23" t="n"/>
      <c r="L502" s="24">
        <f>IF(ISNUMBER(J502),J502-IF(ISNUMBER(K502),K502,30),"")</f>
        <v/>
      </c>
      <c r="M502" s="25">
        <f>IF(J502="","",IF(ISNUMBER(J502),J502-TODAY(),"Check date"))</f>
        <v/>
      </c>
      <c r="N502" s="26">
        <f>IF(M502="","",IF(ISNUMBER(M502),IF(M502&lt;0,"Expired",IF(M502&lt;=30,"Due ≤30 days",IF(M502&lt;=90,"Due ≤90 days","OK"))),"Check date"))</f>
        <v/>
      </c>
      <c r="O502" s="27" t="n"/>
      <c r="P502" s="21" t="n"/>
      <c r="Q502" s="21" t="n"/>
      <c r="R502" s="21" t="n"/>
    </row>
    <row r="503">
      <c r="A503" s="21" t="n"/>
      <c r="B503" s="21" t="n"/>
      <c r="C503" s="21" t="n"/>
      <c r="D503" s="21" t="n"/>
      <c r="E503" s="21" t="n"/>
      <c r="F503" s="21" t="n"/>
      <c r="G503" s="21" t="n"/>
      <c r="H503" s="21" t="n"/>
      <c r="I503" s="22" t="n"/>
      <c r="J503" s="22" t="n"/>
      <c r="K503" s="23" t="n"/>
      <c r="L503" s="24">
        <f>IF(ISNUMBER(J503),J503-IF(ISNUMBER(K503),K503,30),"")</f>
        <v/>
      </c>
      <c r="M503" s="25">
        <f>IF(J503="","",IF(ISNUMBER(J503),J503-TODAY(),"Check date"))</f>
        <v/>
      </c>
      <c r="N503" s="26">
        <f>IF(M503="","",IF(ISNUMBER(M503),IF(M503&lt;0,"Expired",IF(M503&lt;=30,"Due ≤30 days",IF(M503&lt;=90,"Due ≤90 days","OK"))),"Check date"))</f>
        <v/>
      </c>
      <c r="O503" s="27" t="n"/>
      <c r="P503" s="21" t="n"/>
      <c r="Q503" s="21" t="n"/>
      <c r="R503" s="21" t="n"/>
    </row>
  </sheetData>
  <conditionalFormatting sqref="J4:J503 M4:M503 N4:N503">
    <cfRule type="expression" priority="1" dxfId="0" stopIfTrue="1">
      <formula>AND(ISNUMBER($M4),$M4&lt;0)</formula>
    </cfRule>
    <cfRule type="expression" priority="2" dxfId="1" stopIfTrue="1">
      <formula>AND(ISNUMBER($M4),$M4&lt;=30)</formula>
    </cfRule>
    <cfRule type="expression" priority="3" dxfId="2" stopIfTrue="1">
      <formula>AND(ISNUMBER($M4),$M4&lt;=90)</formula>
    </cfRule>
    <cfRule type="expression" priority="4" dxfId="3" stopIfTrue="1">
      <formula>ISNUMBER($M4)</formula>
    </cfRule>
  </conditionalFormatting>
  <conditionalFormatting sqref="A4:A503 B4:B503 C4:C503 D4:D503 E4:E503 F4:F503 G4:G503 H4:H503 I4:I503 J4:J503 K4:K503 O4:O503 P4:P503 Q4:Q503 R4:R503">
    <cfRule type="expression" priority="5" dxfId="4">
      <formula>LEFT($A4,9)="Example –"</formula>
    </cfRule>
    <cfRule type="expression" priority="6" dxfId="5">
      <formula>MOD(ROW(),2)=0</formula>
    </cfRule>
  </conditionalFormatting>
  <dataValidations count="7">
    <dataValidation sqref="B4:B503" showDropDown="0" showInputMessage="0" showErrorMessage="1" allowBlank="1" errorTitle="Type" error="That is not on the list. Keep it anyway, or add it to the Lists sheet." type="list" errorStyle="warning">
      <formula1>=Lists!$A$2:$A$7</formula1>
    </dataValidation>
    <dataValidation sqref="H4:H503" showDropDown="0" showInputMessage="0" showErrorMessage="1" allowBlank="1" errorTitle="Priority" error="Pick one of: Low, Medium, High." type="list" errorStyle="stop">
      <formula1>"Low,Medium,High"</formula1>
    </dataValidation>
    <dataValidation sqref="I4:I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J4:J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K4:K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O4:O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P4:P503" showDropDown="0" showInputMessage="0" showErrorMessage="1" allowBlank="1" errorTitle="Currency" error="That is not on the list. Keep it anyway, or add it to the Lists sheet." type="list" errorStyle="warning">
      <formula1>=Lists!$C$2:$C$7</formula1>
    </dataValidation>
  </dataValidations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G27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6" customWidth="1" min="3" max="3"/>
    <col width="15" customWidth="1" min="4" max="4"/>
    <col width="10" customWidth="1" min="5" max="5"/>
    <col width="15" customWidth="1" min="6" max="6"/>
    <col width="28" customWidth="1" min="7" max="7"/>
    <col width="6" customWidth="1" min="8" max="8"/>
  </cols>
  <sheetData>
    <row r="1">
      <c r="B1" s="28" t="inlineStr">
        <is>
          <t>Dashboard</t>
        </is>
      </c>
    </row>
    <row r="2">
      <c r="B2" s="3" t="inlineStr">
        <is>
          <t>As of</t>
        </is>
      </c>
      <c r="C2" s="29">
        <f>TODAY()</f>
        <v/>
      </c>
    </row>
    <row r="4">
      <c r="B4" s="30" t="inlineStr">
        <is>
          <t>Where things stand</t>
        </is>
      </c>
    </row>
    <row r="5">
      <c r="B5" s="31" t="n"/>
      <c r="C5" s="32" t="inlineStr">
        <is>
          <t>Status</t>
        </is>
      </c>
      <c r="D5" s="33" t="inlineStr">
        <is>
          <t>Licences</t>
        </is>
      </c>
    </row>
    <row r="6">
      <c r="C6" s="34" t="inlineStr">
        <is>
          <t>Expired</t>
        </is>
      </c>
      <c r="D6" s="35">
        <f>COUNTIF('Licences'!$N$4:$N$503,"Expired")</f>
        <v/>
      </c>
    </row>
    <row r="7">
      <c r="C7" s="36" t="inlineStr">
        <is>
          <t>Due ≤30 days</t>
        </is>
      </c>
      <c r="D7" s="35">
        <f>COUNTIF('Licences'!$N$4:$N$503,"Due ≤30 days")</f>
        <v/>
      </c>
    </row>
    <row r="8">
      <c r="C8" s="37" t="inlineStr">
        <is>
          <t>Due ≤90 days</t>
        </is>
      </c>
      <c r="D8" s="35">
        <f>COUNTIF('Licences'!$N$4:$N$503,"Due ≤90 days")</f>
        <v/>
      </c>
    </row>
    <row r="9">
      <c r="C9" s="38" t="inlineStr">
        <is>
          <t>OK</t>
        </is>
      </c>
      <c r="D9" s="35">
        <f>COUNTIF('Licences'!$N$4:$N$503,"OK")</f>
        <v/>
      </c>
    </row>
    <row r="10">
      <c r="C10" s="39" t="inlineStr">
        <is>
          <t>Date missing or not a date</t>
        </is>
      </c>
      <c r="D10" s="35">
        <f>SUMPRODUCT((LEN('Licences'!$A$4:$A$503)&gt;0)*(ISNUMBER('Licences'!$J$4:$J$503)=FALSE))</f>
        <v/>
      </c>
    </row>
    <row r="11">
      <c r="C11" s="39" t="inlineStr">
        <is>
          <t>Total rows</t>
        </is>
      </c>
      <c r="D11" s="35">
        <f>COUNTIF('Licences'!$A$4:$A$503,"?*")</f>
        <v/>
      </c>
    </row>
    <row r="12">
      <c r="C12" s="3" t="inlineStr">
        <is>
          <t>Status is calculated from the expiry date. Counts update every time the file recalculates.</t>
        </is>
      </c>
    </row>
    <row r="14">
      <c r="B14" s="30" t="inlineStr">
        <is>
          <t>Next 10 due</t>
        </is>
      </c>
    </row>
    <row r="15">
      <c r="B15" s="13" t="inlineStr">
        <is>
          <t>#</t>
        </is>
      </c>
      <c r="C15" s="13" t="inlineStr">
        <is>
          <t>Item</t>
        </is>
      </c>
      <c r="D15" s="13" t="inlineStr">
        <is>
          <t>Expiry date</t>
        </is>
      </c>
      <c r="E15" s="13" t="inlineStr">
        <is>
          <t>Days left</t>
        </is>
      </c>
      <c r="F15" s="13" t="inlineStr">
        <is>
          <t>Status</t>
        </is>
      </c>
      <c r="G15" s="13" t="inlineStr">
        <is>
          <t>Owner email</t>
        </is>
      </c>
    </row>
    <row r="16">
      <c r="B16" s="40" t="n">
        <v>1</v>
      </c>
      <c r="C16" s="41">
        <f>IF(_calc!$D$4="","",INDEX('Licences'!$A$4:$A$503,_calc!$D$4))</f>
        <v/>
      </c>
      <c r="D16" s="42">
        <f>IF(_calc!$C$4="","",INT(_calc!$C$4))</f>
        <v/>
      </c>
      <c r="E16" s="43">
        <f>IF(_calc!$C$4="","",INT(_calc!$C$4)-TODAY())</f>
        <v/>
      </c>
      <c r="F16" s="39">
        <f>IF(E16="","",IF(E16&lt;0,"Expired",IF(E16&lt;=30,"Due ≤30 days",IF(E16&lt;=90,"Due ≤90 days","OK"))))</f>
        <v/>
      </c>
      <c r="G16" s="41">
        <f>IF(_calc!$D$4="","",IF(LEN(INDEX('Licences'!$G$4:$G$503,_calc!$D$4))=0,"",INDEX('Licences'!$G$4:$G$503,_calc!$D$4)))</f>
        <v/>
      </c>
    </row>
    <row r="17">
      <c r="B17" s="40" t="n">
        <v>2</v>
      </c>
      <c r="C17" s="41">
        <f>IF(_calc!$D$5="","",INDEX('Licences'!$A$4:$A$503,_calc!$D$5))</f>
        <v/>
      </c>
      <c r="D17" s="42">
        <f>IF(_calc!$C$5="","",INT(_calc!$C$5))</f>
        <v/>
      </c>
      <c r="E17" s="43">
        <f>IF(_calc!$C$5="","",INT(_calc!$C$5)-TODAY())</f>
        <v/>
      </c>
      <c r="F17" s="39">
        <f>IF(E17="","",IF(E17&lt;0,"Expired",IF(E17&lt;=30,"Due ≤30 days",IF(E17&lt;=90,"Due ≤90 days","OK"))))</f>
        <v/>
      </c>
      <c r="G17" s="41">
        <f>IF(_calc!$D$5="","",IF(LEN(INDEX('Licences'!$G$4:$G$503,_calc!$D$5))=0,"",INDEX('Licences'!$G$4:$G$503,_calc!$D$5)))</f>
        <v/>
      </c>
    </row>
    <row r="18">
      <c r="B18" s="40" t="n">
        <v>3</v>
      </c>
      <c r="C18" s="41">
        <f>IF(_calc!$D$6="","",INDEX('Licences'!$A$4:$A$503,_calc!$D$6))</f>
        <v/>
      </c>
      <c r="D18" s="42">
        <f>IF(_calc!$C$6="","",INT(_calc!$C$6))</f>
        <v/>
      </c>
      <c r="E18" s="43">
        <f>IF(_calc!$C$6="","",INT(_calc!$C$6)-TODAY())</f>
        <v/>
      </c>
      <c r="F18" s="39">
        <f>IF(E18="","",IF(E18&lt;0,"Expired",IF(E18&lt;=30,"Due ≤30 days",IF(E18&lt;=90,"Due ≤90 days","OK"))))</f>
        <v/>
      </c>
      <c r="G18" s="41">
        <f>IF(_calc!$D$6="","",IF(LEN(INDEX('Licences'!$G$4:$G$503,_calc!$D$6))=0,"",INDEX('Licences'!$G$4:$G$503,_calc!$D$6)))</f>
        <v/>
      </c>
    </row>
    <row r="19">
      <c r="B19" s="40" t="n">
        <v>4</v>
      </c>
      <c r="C19" s="41">
        <f>IF(_calc!$D$7="","",INDEX('Licences'!$A$4:$A$503,_calc!$D$7))</f>
        <v/>
      </c>
      <c r="D19" s="42">
        <f>IF(_calc!$C$7="","",INT(_calc!$C$7))</f>
        <v/>
      </c>
      <c r="E19" s="43">
        <f>IF(_calc!$C$7="","",INT(_calc!$C$7)-TODAY())</f>
        <v/>
      </c>
      <c r="F19" s="39">
        <f>IF(E19="","",IF(E19&lt;0,"Expired",IF(E19&lt;=30,"Due ≤30 days",IF(E19&lt;=90,"Due ≤90 days","OK"))))</f>
        <v/>
      </c>
      <c r="G19" s="41">
        <f>IF(_calc!$D$7="","",IF(LEN(INDEX('Licences'!$G$4:$G$503,_calc!$D$7))=0,"",INDEX('Licences'!$G$4:$G$503,_calc!$D$7)))</f>
        <v/>
      </c>
    </row>
    <row r="20">
      <c r="B20" s="40" t="n">
        <v>5</v>
      </c>
      <c r="C20" s="41">
        <f>IF(_calc!$D$8="","",INDEX('Licences'!$A$4:$A$503,_calc!$D$8))</f>
        <v/>
      </c>
      <c r="D20" s="42">
        <f>IF(_calc!$C$8="","",INT(_calc!$C$8))</f>
        <v/>
      </c>
      <c r="E20" s="43">
        <f>IF(_calc!$C$8="","",INT(_calc!$C$8)-TODAY())</f>
        <v/>
      </c>
      <c r="F20" s="39">
        <f>IF(E20="","",IF(E20&lt;0,"Expired",IF(E20&lt;=30,"Due ≤30 days",IF(E20&lt;=90,"Due ≤90 days","OK"))))</f>
        <v/>
      </c>
      <c r="G20" s="41">
        <f>IF(_calc!$D$8="","",IF(LEN(INDEX('Licences'!$G$4:$G$503,_calc!$D$8))=0,"",INDEX('Licences'!$G$4:$G$503,_calc!$D$8)))</f>
        <v/>
      </c>
    </row>
    <row r="21">
      <c r="B21" s="40" t="n">
        <v>6</v>
      </c>
      <c r="C21" s="41">
        <f>IF(_calc!$D$9="","",INDEX('Licences'!$A$4:$A$503,_calc!$D$9))</f>
        <v/>
      </c>
      <c r="D21" s="42">
        <f>IF(_calc!$C$9="","",INT(_calc!$C$9))</f>
        <v/>
      </c>
      <c r="E21" s="43">
        <f>IF(_calc!$C$9="","",INT(_calc!$C$9)-TODAY())</f>
        <v/>
      </c>
      <c r="F21" s="39">
        <f>IF(E21="","",IF(E21&lt;0,"Expired",IF(E21&lt;=30,"Due ≤30 days",IF(E21&lt;=90,"Due ≤90 days","OK"))))</f>
        <v/>
      </c>
      <c r="G21" s="41">
        <f>IF(_calc!$D$9="","",IF(LEN(INDEX('Licences'!$G$4:$G$503,_calc!$D$9))=0,"",INDEX('Licences'!$G$4:$G$503,_calc!$D$9)))</f>
        <v/>
      </c>
    </row>
    <row r="22">
      <c r="B22" s="40" t="n">
        <v>7</v>
      </c>
      <c r="C22" s="41">
        <f>IF(_calc!$D$10="","",INDEX('Licences'!$A$4:$A$503,_calc!$D$10))</f>
        <v/>
      </c>
      <c r="D22" s="42">
        <f>IF(_calc!$C$10="","",INT(_calc!$C$10))</f>
        <v/>
      </c>
      <c r="E22" s="43">
        <f>IF(_calc!$C$10="","",INT(_calc!$C$10)-TODAY())</f>
        <v/>
      </c>
      <c r="F22" s="39">
        <f>IF(E22="","",IF(E22&lt;0,"Expired",IF(E22&lt;=30,"Due ≤30 days",IF(E22&lt;=90,"Due ≤90 days","OK"))))</f>
        <v/>
      </c>
      <c r="G22" s="41">
        <f>IF(_calc!$D$10="","",IF(LEN(INDEX('Licences'!$G$4:$G$503,_calc!$D$10))=0,"",INDEX('Licences'!$G$4:$G$503,_calc!$D$10)))</f>
        <v/>
      </c>
    </row>
    <row r="23">
      <c r="B23" s="40" t="n">
        <v>8</v>
      </c>
      <c r="C23" s="41">
        <f>IF(_calc!$D$11="","",INDEX('Licences'!$A$4:$A$503,_calc!$D$11))</f>
        <v/>
      </c>
      <c r="D23" s="42">
        <f>IF(_calc!$C$11="","",INT(_calc!$C$11))</f>
        <v/>
      </c>
      <c r="E23" s="43">
        <f>IF(_calc!$C$11="","",INT(_calc!$C$11)-TODAY())</f>
        <v/>
      </c>
      <c r="F23" s="39">
        <f>IF(E23="","",IF(E23&lt;0,"Expired",IF(E23&lt;=30,"Due ≤30 days",IF(E23&lt;=90,"Due ≤90 days","OK"))))</f>
        <v/>
      </c>
      <c r="G23" s="41">
        <f>IF(_calc!$D$11="","",IF(LEN(INDEX('Licences'!$G$4:$G$503,_calc!$D$11))=0,"",INDEX('Licences'!$G$4:$G$503,_calc!$D$11)))</f>
        <v/>
      </c>
    </row>
    <row r="24">
      <c r="B24" s="40" t="n">
        <v>9</v>
      </c>
      <c r="C24" s="41">
        <f>IF(_calc!$D$12="","",INDEX('Licences'!$A$4:$A$503,_calc!$D$12))</f>
        <v/>
      </c>
      <c r="D24" s="42">
        <f>IF(_calc!$C$12="","",INT(_calc!$C$12))</f>
        <v/>
      </c>
      <c r="E24" s="43">
        <f>IF(_calc!$C$12="","",INT(_calc!$C$12)-TODAY())</f>
        <v/>
      </c>
      <c r="F24" s="39">
        <f>IF(E24="","",IF(E24&lt;0,"Expired",IF(E24&lt;=30,"Due ≤30 days",IF(E24&lt;=90,"Due ≤90 days","OK"))))</f>
        <v/>
      </c>
      <c r="G24" s="41">
        <f>IF(_calc!$D$12="","",IF(LEN(INDEX('Licences'!$G$4:$G$503,_calc!$D$12))=0,"",INDEX('Licences'!$G$4:$G$503,_calc!$D$12)))</f>
        <v/>
      </c>
    </row>
    <row r="25">
      <c r="B25" s="40" t="n">
        <v>10</v>
      </c>
      <c r="C25" s="41">
        <f>IF(_calc!$D$13="","",INDEX('Licences'!$A$4:$A$503,_calc!$D$13))</f>
        <v/>
      </c>
      <c r="D25" s="42">
        <f>IF(_calc!$C$13="","",INT(_calc!$C$13))</f>
        <v/>
      </c>
      <c r="E25" s="43">
        <f>IF(_calc!$C$13="","",INT(_calc!$C$13)-TODAY())</f>
        <v/>
      </c>
      <c r="F25" s="39">
        <f>IF(E25="","",IF(E25&lt;0,"Expired",IF(E25&lt;=30,"Due ≤30 days",IF(E25&lt;=90,"Due ≤90 days","OK"))))</f>
        <v/>
      </c>
      <c r="G25" s="41">
        <f>IF(_calc!$D$13="","",IF(LEN(INDEX('Licences'!$G$4:$G$503,_calc!$D$13))=0,"",INDEX('Licences'!$G$4:$G$503,_calc!$D$13)))</f>
        <v/>
      </c>
    </row>
    <row r="26">
      <c r="C26" s="3" t="inlineStr">
        <is>
          <t>Earliest dates first, including anything already expired.</t>
        </is>
      </c>
    </row>
    <row r="27">
      <c r="C27" s="3" t="inlineStr">
        <is>
          <t>Made by ExpiryEdge · expiryedge.com</t>
        </is>
      </c>
    </row>
  </sheetData>
  <conditionalFormatting sqref="D16:F25">
    <cfRule type="expression" priority="1" dxfId="0" stopIfTrue="1">
      <formula>AND(ISNUMBER($E16),$E16&lt;0)</formula>
    </cfRule>
    <cfRule type="expression" priority="2" dxfId="1" stopIfTrue="1">
      <formula>AND(ISNUMBER($E16),$E16&lt;=30)</formula>
    </cfRule>
    <cfRule type="expression" priority="3" dxfId="2" stopIfTrue="1">
      <formula>AND(ISNUMBER($E16),$E16&lt;=90)</formula>
    </cfRule>
    <cfRule type="expression" priority="4" dxfId="3" stopIfTrue="1">
      <formula>ISNUMBER($E16)</formula>
    </cfRule>
  </conditionalFormatting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35584B"/>
    <outlinePr summaryBelow="1" summaryRight="1"/>
    <pageSetUpPr fitToPage="1"/>
  </sheetPr>
  <dimension ref="A1:K501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3" customWidth="1" min="2" max="2"/>
    <col width="18" customWidth="1" min="3" max="3"/>
    <col width="13" customWidth="1" min="4" max="4"/>
    <col width="13" customWidth="1" min="5" max="5"/>
    <col width="60" customWidth="1" min="6" max="6"/>
    <col width="24" customWidth="1" min="7" max="7"/>
    <col width="13" customWidth="1" min="8" max="8"/>
    <col width="13" customWidth="1" min="9" max="9"/>
    <col width="13" customWidth="1" min="10" max="10"/>
    <col width="26" customWidth="1" min="11" max="11"/>
  </cols>
  <sheetData>
    <row r="1">
      <c r="A1" s="12" t="inlineStr">
        <is>
          <t>name</t>
        </is>
      </c>
      <c r="B1" s="12" t="inlineStr">
        <is>
          <t>expiry_date</t>
        </is>
      </c>
      <c r="C1" s="12" t="inlineStr">
        <is>
          <t>type</t>
        </is>
      </c>
      <c r="D1" s="12" t="inlineStr">
        <is>
          <t>start_date</t>
        </is>
      </c>
      <c r="E1" s="12" t="inlineStr">
        <is>
          <t>priority</t>
        </is>
      </c>
      <c r="F1" s="12" t="inlineStr">
        <is>
          <t>notes</t>
        </is>
      </c>
      <c r="G1" s="12" t="inlineStr">
        <is>
          <t>url</t>
        </is>
      </c>
      <c r="H1" s="12" t="inlineStr">
        <is>
          <t>value</t>
        </is>
      </c>
      <c r="I1" s="12" t="inlineStr">
        <is>
          <t>currency</t>
        </is>
      </c>
      <c r="J1" s="12" t="inlineStr">
        <is>
          <t>penalty_amount</t>
        </is>
      </c>
      <c r="K1" s="12" t="inlineStr">
        <is>
          <t>notification_email</t>
        </is>
      </c>
    </row>
    <row r="2">
      <c r="A2" s="44">
        <f>IF(_calc!$E$4="","",IF(LEN(INDEX('Licences'!$A$4:$A$503,_calc!$E$4))=0,"",INDEX('Licences'!$A$4:$A$503,_calc!$E$4)))</f>
        <v/>
      </c>
      <c r="B2" s="44">
        <f>IF(_calc!$E$4="","",IF(ISNUMBER(INDEX('Licences'!$J$4:$J$503,_calc!$E$4)),TEXT(INDEX('Licences'!$J$4:$J$503,_calc!$E$4),"yyyy-mm-dd"),""))</f>
        <v/>
      </c>
      <c r="C2" s="44">
        <f>IF(_calc!$E$4="","",IF(LEN(INDEX('Licences'!$B$4:$B$503,_calc!$E$4))=0,"",INDEX('Licences'!$B$4:$B$503,_calc!$E$4)))</f>
        <v/>
      </c>
      <c r="D2" s="44">
        <f>IF(_calc!$E$4="","",IF(ISNUMBER(INDEX('Licences'!$I$4:$I$503,_calc!$E$4)),TEXT(INDEX('Licences'!$I$4:$I$503,_calc!$E$4),"yyyy-mm-dd"),""))</f>
        <v/>
      </c>
      <c r="E2" s="44">
        <f>IF(_calc!$E$4="","",IF(LEN(INDEX('Licences'!$H$4:$H$503,_calc!$E$4))=0,"",INDEX('Licences'!$H$4:$H$503,_calc!$E$4)))</f>
        <v/>
      </c>
      <c r="F2" s="44">
        <f>IF(_calc!$E$4="","",TRIM(IF(LEN(IF(LEN(INDEX('Licences'!$D$4:$D$503,_calc!$E$4))=0,"",INDEX('Licences'!$D$4:$D$503,_calc!$E$4)))=0,"","Ref: "&amp;IF(LEN(INDEX('Licences'!$D$4:$D$503,_calc!$E$4))=0,"",INDEX('Licences'!$D$4:$D$503,_calc!$E$4))&amp;". ")&amp;IF(LEN(IF(LEN(INDEX('Licences'!$C$4:$C$503,_calc!$E$4))=0,"",INDEX('Licences'!$C$4:$C$503,_calc!$E$4)))=0,"","Issuer: "&amp;IF(LEN(INDEX('Licences'!$C$4:$C$503,_calc!$E$4))=0,"",INDEX('Licences'!$C$4:$C$503,_calc!$E$4))&amp;". ")&amp;IF(LEN(IF(LEN(INDEX('Licences'!$E$4:$E$503,_calc!$E$4))=0,"",INDEX('Licences'!$E$4:$E$503,_calc!$E$4)))=0,"","Site: "&amp;IF(LEN(INDEX('Licences'!$E$4:$E$503,_calc!$E$4))=0,"",INDEX('Licences'!$E$4:$E$503,_calc!$E$4))&amp;". ")&amp;IF(LEN(IF(LEN(INDEX('Licences'!$F$4:$F$503,_calc!$E$4))=0,"",INDEX('Licences'!$F$4:$F$503,_calc!$E$4)))=0,"","Owner: "&amp;IF(LEN(INDEX('Licences'!$F$4:$F$503,_calc!$E$4))=0,"",INDEX('Licences'!$F$4:$F$503,_calc!$E$4))&amp;". ")&amp;IF(LEN(IF(LEN(INDEX('Licences'!$R$4:$R$503,_calc!$E$4))=0,"",INDEX('Licences'!$R$4:$R$503,_calc!$E$4)))=0,"",IF(LEN(INDEX('Licences'!$R$4:$R$503,_calc!$E$4))=0,"",INDEX('Licences'!$R$4:$R$503,_calc!$E$4)))))</f>
        <v/>
      </c>
      <c r="G2" s="44">
        <f>IF(_calc!$E$4="","",IF(LEN(INDEX('Licences'!$Q$4:$Q$503,_calc!$E$4))=0,"",INDEX('Licences'!$Q$4:$Q$503,_calc!$E$4)))</f>
        <v/>
      </c>
      <c r="H2" s="44">
        <f>IF(_calc!$E$4="","",IF(LEN(INDEX('Licences'!$O$4:$O$503,_calc!$E$4))=0,"",INDEX('Licences'!$O$4:$O$503,_calc!$E$4)))</f>
        <v/>
      </c>
      <c r="I2" s="44">
        <f>IF(_calc!$E$4="","",IF(LEN(INDEX('Licences'!$P$4:$P$503,_calc!$E$4))=0,"",INDEX('Licences'!$P$4:$P$503,_calc!$E$4)))</f>
        <v/>
      </c>
      <c r="K2" s="44">
        <f>IF(_calc!$E$4="","",IF(LEN(INDEX('Licences'!$G$4:$G$503,_calc!$E$4))=0,"",INDEX('Licences'!$G$4:$G$503,_calc!$E$4)))</f>
        <v/>
      </c>
    </row>
    <row r="3">
      <c r="A3" s="44">
        <f>IF(_calc!$E$5="","",IF(LEN(INDEX('Licences'!$A$4:$A$503,_calc!$E$5))=0,"",INDEX('Licences'!$A$4:$A$503,_calc!$E$5)))</f>
        <v/>
      </c>
      <c r="B3" s="44">
        <f>IF(_calc!$E$5="","",IF(ISNUMBER(INDEX('Licences'!$J$4:$J$503,_calc!$E$5)),TEXT(INDEX('Licences'!$J$4:$J$503,_calc!$E$5),"yyyy-mm-dd"),""))</f>
        <v/>
      </c>
      <c r="C3" s="44">
        <f>IF(_calc!$E$5="","",IF(LEN(INDEX('Licences'!$B$4:$B$503,_calc!$E$5))=0,"",INDEX('Licences'!$B$4:$B$503,_calc!$E$5)))</f>
        <v/>
      </c>
      <c r="D3" s="44">
        <f>IF(_calc!$E$5="","",IF(ISNUMBER(INDEX('Licences'!$I$4:$I$503,_calc!$E$5)),TEXT(INDEX('Licences'!$I$4:$I$503,_calc!$E$5),"yyyy-mm-dd"),""))</f>
        <v/>
      </c>
      <c r="E3" s="44">
        <f>IF(_calc!$E$5="","",IF(LEN(INDEX('Licences'!$H$4:$H$503,_calc!$E$5))=0,"",INDEX('Licences'!$H$4:$H$503,_calc!$E$5)))</f>
        <v/>
      </c>
      <c r="F3" s="44">
        <f>IF(_calc!$E$5="","",TRIM(IF(LEN(IF(LEN(INDEX('Licences'!$D$4:$D$503,_calc!$E$5))=0,"",INDEX('Licences'!$D$4:$D$503,_calc!$E$5)))=0,"","Ref: "&amp;IF(LEN(INDEX('Licences'!$D$4:$D$503,_calc!$E$5))=0,"",INDEX('Licences'!$D$4:$D$503,_calc!$E$5))&amp;". ")&amp;IF(LEN(IF(LEN(INDEX('Licences'!$C$4:$C$503,_calc!$E$5))=0,"",INDEX('Licences'!$C$4:$C$503,_calc!$E$5)))=0,"","Issuer: "&amp;IF(LEN(INDEX('Licences'!$C$4:$C$503,_calc!$E$5))=0,"",INDEX('Licences'!$C$4:$C$503,_calc!$E$5))&amp;". ")&amp;IF(LEN(IF(LEN(INDEX('Licences'!$E$4:$E$503,_calc!$E$5))=0,"",INDEX('Licences'!$E$4:$E$503,_calc!$E$5)))=0,"","Site: "&amp;IF(LEN(INDEX('Licences'!$E$4:$E$503,_calc!$E$5))=0,"",INDEX('Licences'!$E$4:$E$503,_calc!$E$5))&amp;". ")&amp;IF(LEN(IF(LEN(INDEX('Licences'!$F$4:$F$503,_calc!$E$5))=0,"",INDEX('Licences'!$F$4:$F$503,_calc!$E$5)))=0,"","Owner: "&amp;IF(LEN(INDEX('Licences'!$F$4:$F$503,_calc!$E$5))=0,"",INDEX('Licences'!$F$4:$F$503,_calc!$E$5))&amp;". ")&amp;IF(LEN(IF(LEN(INDEX('Licences'!$R$4:$R$503,_calc!$E$5))=0,"",INDEX('Licences'!$R$4:$R$503,_calc!$E$5)))=0,"",IF(LEN(INDEX('Licences'!$R$4:$R$503,_calc!$E$5))=0,"",INDEX('Licences'!$R$4:$R$503,_calc!$E$5)))))</f>
        <v/>
      </c>
      <c r="G3" s="44">
        <f>IF(_calc!$E$5="","",IF(LEN(INDEX('Licences'!$Q$4:$Q$503,_calc!$E$5))=0,"",INDEX('Licences'!$Q$4:$Q$503,_calc!$E$5)))</f>
        <v/>
      </c>
      <c r="H3" s="44">
        <f>IF(_calc!$E$5="","",IF(LEN(INDEX('Licences'!$O$4:$O$503,_calc!$E$5))=0,"",INDEX('Licences'!$O$4:$O$503,_calc!$E$5)))</f>
        <v/>
      </c>
      <c r="I3" s="44">
        <f>IF(_calc!$E$5="","",IF(LEN(INDEX('Licences'!$P$4:$P$503,_calc!$E$5))=0,"",INDEX('Licences'!$P$4:$P$503,_calc!$E$5)))</f>
        <v/>
      </c>
      <c r="K3" s="44">
        <f>IF(_calc!$E$5="","",IF(LEN(INDEX('Licences'!$G$4:$G$503,_calc!$E$5))=0,"",INDEX('Licences'!$G$4:$G$503,_calc!$E$5)))</f>
        <v/>
      </c>
    </row>
    <row r="4">
      <c r="A4" s="44">
        <f>IF(_calc!$E$6="","",IF(LEN(INDEX('Licences'!$A$4:$A$503,_calc!$E$6))=0,"",INDEX('Licences'!$A$4:$A$503,_calc!$E$6)))</f>
        <v/>
      </c>
      <c r="B4" s="44">
        <f>IF(_calc!$E$6="","",IF(ISNUMBER(INDEX('Licences'!$J$4:$J$503,_calc!$E$6)),TEXT(INDEX('Licences'!$J$4:$J$503,_calc!$E$6),"yyyy-mm-dd"),""))</f>
        <v/>
      </c>
      <c r="C4" s="44">
        <f>IF(_calc!$E$6="","",IF(LEN(INDEX('Licences'!$B$4:$B$503,_calc!$E$6))=0,"",INDEX('Licences'!$B$4:$B$503,_calc!$E$6)))</f>
        <v/>
      </c>
      <c r="D4" s="44">
        <f>IF(_calc!$E$6="","",IF(ISNUMBER(INDEX('Licences'!$I$4:$I$503,_calc!$E$6)),TEXT(INDEX('Licences'!$I$4:$I$503,_calc!$E$6),"yyyy-mm-dd"),""))</f>
        <v/>
      </c>
      <c r="E4" s="44">
        <f>IF(_calc!$E$6="","",IF(LEN(INDEX('Licences'!$H$4:$H$503,_calc!$E$6))=0,"",INDEX('Licences'!$H$4:$H$503,_calc!$E$6)))</f>
        <v/>
      </c>
      <c r="F4" s="44">
        <f>IF(_calc!$E$6="","",TRIM(IF(LEN(IF(LEN(INDEX('Licences'!$D$4:$D$503,_calc!$E$6))=0,"",INDEX('Licences'!$D$4:$D$503,_calc!$E$6)))=0,"","Ref: "&amp;IF(LEN(INDEX('Licences'!$D$4:$D$503,_calc!$E$6))=0,"",INDEX('Licences'!$D$4:$D$503,_calc!$E$6))&amp;". ")&amp;IF(LEN(IF(LEN(INDEX('Licences'!$C$4:$C$503,_calc!$E$6))=0,"",INDEX('Licences'!$C$4:$C$503,_calc!$E$6)))=0,"","Issuer: "&amp;IF(LEN(INDEX('Licences'!$C$4:$C$503,_calc!$E$6))=0,"",INDEX('Licences'!$C$4:$C$503,_calc!$E$6))&amp;". ")&amp;IF(LEN(IF(LEN(INDEX('Licences'!$E$4:$E$503,_calc!$E$6))=0,"",INDEX('Licences'!$E$4:$E$503,_calc!$E$6)))=0,"","Site: "&amp;IF(LEN(INDEX('Licences'!$E$4:$E$503,_calc!$E$6))=0,"",INDEX('Licences'!$E$4:$E$503,_calc!$E$6))&amp;". ")&amp;IF(LEN(IF(LEN(INDEX('Licences'!$F$4:$F$503,_calc!$E$6))=0,"",INDEX('Licences'!$F$4:$F$503,_calc!$E$6)))=0,"","Owner: "&amp;IF(LEN(INDEX('Licences'!$F$4:$F$503,_calc!$E$6))=0,"",INDEX('Licences'!$F$4:$F$503,_calc!$E$6))&amp;". ")&amp;IF(LEN(IF(LEN(INDEX('Licences'!$R$4:$R$503,_calc!$E$6))=0,"",INDEX('Licences'!$R$4:$R$503,_calc!$E$6)))=0,"",IF(LEN(INDEX('Licences'!$R$4:$R$503,_calc!$E$6))=0,"",INDEX('Licences'!$R$4:$R$503,_calc!$E$6)))))</f>
        <v/>
      </c>
      <c r="G4" s="44">
        <f>IF(_calc!$E$6="","",IF(LEN(INDEX('Licences'!$Q$4:$Q$503,_calc!$E$6))=0,"",INDEX('Licences'!$Q$4:$Q$503,_calc!$E$6)))</f>
        <v/>
      </c>
      <c r="H4" s="44">
        <f>IF(_calc!$E$6="","",IF(LEN(INDEX('Licences'!$O$4:$O$503,_calc!$E$6))=0,"",INDEX('Licences'!$O$4:$O$503,_calc!$E$6)))</f>
        <v/>
      </c>
      <c r="I4" s="44">
        <f>IF(_calc!$E$6="","",IF(LEN(INDEX('Licences'!$P$4:$P$503,_calc!$E$6))=0,"",INDEX('Licences'!$P$4:$P$503,_calc!$E$6)))</f>
        <v/>
      </c>
      <c r="K4" s="44">
        <f>IF(_calc!$E$6="","",IF(LEN(INDEX('Licences'!$G$4:$G$503,_calc!$E$6))=0,"",INDEX('Licences'!$G$4:$G$503,_calc!$E$6)))</f>
        <v/>
      </c>
    </row>
    <row r="5">
      <c r="A5" s="44">
        <f>IF(_calc!$E$7="","",IF(LEN(INDEX('Licences'!$A$4:$A$503,_calc!$E$7))=0,"",INDEX('Licences'!$A$4:$A$503,_calc!$E$7)))</f>
        <v/>
      </c>
      <c r="B5" s="44">
        <f>IF(_calc!$E$7="","",IF(ISNUMBER(INDEX('Licences'!$J$4:$J$503,_calc!$E$7)),TEXT(INDEX('Licences'!$J$4:$J$503,_calc!$E$7),"yyyy-mm-dd"),""))</f>
        <v/>
      </c>
      <c r="C5" s="44">
        <f>IF(_calc!$E$7="","",IF(LEN(INDEX('Licences'!$B$4:$B$503,_calc!$E$7))=0,"",INDEX('Licences'!$B$4:$B$503,_calc!$E$7)))</f>
        <v/>
      </c>
      <c r="D5" s="44">
        <f>IF(_calc!$E$7="","",IF(ISNUMBER(INDEX('Licences'!$I$4:$I$503,_calc!$E$7)),TEXT(INDEX('Licences'!$I$4:$I$503,_calc!$E$7),"yyyy-mm-dd"),""))</f>
        <v/>
      </c>
      <c r="E5" s="44">
        <f>IF(_calc!$E$7="","",IF(LEN(INDEX('Licences'!$H$4:$H$503,_calc!$E$7))=0,"",INDEX('Licences'!$H$4:$H$503,_calc!$E$7)))</f>
        <v/>
      </c>
      <c r="F5" s="44">
        <f>IF(_calc!$E$7="","",TRIM(IF(LEN(IF(LEN(INDEX('Licences'!$D$4:$D$503,_calc!$E$7))=0,"",INDEX('Licences'!$D$4:$D$503,_calc!$E$7)))=0,"","Ref: "&amp;IF(LEN(INDEX('Licences'!$D$4:$D$503,_calc!$E$7))=0,"",INDEX('Licences'!$D$4:$D$503,_calc!$E$7))&amp;". ")&amp;IF(LEN(IF(LEN(INDEX('Licences'!$C$4:$C$503,_calc!$E$7))=0,"",INDEX('Licences'!$C$4:$C$503,_calc!$E$7)))=0,"","Issuer: "&amp;IF(LEN(INDEX('Licences'!$C$4:$C$503,_calc!$E$7))=0,"",INDEX('Licences'!$C$4:$C$503,_calc!$E$7))&amp;". ")&amp;IF(LEN(IF(LEN(INDEX('Licences'!$E$4:$E$503,_calc!$E$7))=0,"",INDEX('Licences'!$E$4:$E$503,_calc!$E$7)))=0,"","Site: "&amp;IF(LEN(INDEX('Licences'!$E$4:$E$503,_calc!$E$7))=0,"",INDEX('Licences'!$E$4:$E$503,_calc!$E$7))&amp;". ")&amp;IF(LEN(IF(LEN(INDEX('Licences'!$F$4:$F$503,_calc!$E$7))=0,"",INDEX('Licences'!$F$4:$F$503,_calc!$E$7)))=0,"","Owner: "&amp;IF(LEN(INDEX('Licences'!$F$4:$F$503,_calc!$E$7))=0,"",INDEX('Licences'!$F$4:$F$503,_calc!$E$7))&amp;". ")&amp;IF(LEN(IF(LEN(INDEX('Licences'!$R$4:$R$503,_calc!$E$7))=0,"",INDEX('Licences'!$R$4:$R$503,_calc!$E$7)))=0,"",IF(LEN(INDEX('Licences'!$R$4:$R$503,_calc!$E$7))=0,"",INDEX('Licences'!$R$4:$R$503,_calc!$E$7)))))</f>
        <v/>
      </c>
      <c r="G5" s="44">
        <f>IF(_calc!$E$7="","",IF(LEN(INDEX('Licences'!$Q$4:$Q$503,_calc!$E$7))=0,"",INDEX('Licences'!$Q$4:$Q$503,_calc!$E$7)))</f>
        <v/>
      </c>
      <c r="H5" s="44">
        <f>IF(_calc!$E$7="","",IF(LEN(INDEX('Licences'!$O$4:$O$503,_calc!$E$7))=0,"",INDEX('Licences'!$O$4:$O$503,_calc!$E$7)))</f>
        <v/>
      </c>
      <c r="I5" s="44">
        <f>IF(_calc!$E$7="","",IF(LEN(INDEX('Licences'!$P$4:$P$503,_calc!$E$7))=0,"",INDEX('Licences'!$P$4:$P$503,_calc!$E$7)))</f>
        <v/>
      </c>
      <c r="K5" s="44">
        <f>IF(_calc!$E$7="","",IF(LEN(INDEX('Licences'!$G$4:$G$503,_calc!$E$7))=0,"",INDEX('Licences'!$G$4:$G$503,_calc!$E$7)))</f>
        <v/>
      </c>
    </row>
    <row r="6">
      <c r="A6" s="44">
        <f>IF(_calc!$E$8="","",IF(LEN(INDEX('Licences'!$A$4:$A$503,_calc!$E$8))=0,"",INDEX('Licences'!$A$4:$A$503,_calc!$E$8)))</f>
        <v/>
      </c>
      <c r="B6" s="44">
        <f>IF(_calc!$E$8="","",IF(ISNUMBER(INDEX('Licences'!$J$4:$J$503,_calc!$E$8)),TEXT(INDEX('Licences'!$J$4:$J$503,_calc!$E$8),"yyyy-mm-dd"),""))</f>
        <v/>
      </c>
      <c r="C6" s="44">
        <f>IF(_calc!$E$8="","",IF(LEN(INDEX('Licences'!$B$4:$B$503,_calc!$E$8))=0,"",INDEX('Licences'!$B$4:$B$503,_calc!$E$8)))</f>
        <v/>
      </c>
      <c r="D6" s="44">
        <f>IF(_calc!$E$8="","",IF(ISNUMBER(INDEX('Licences'!$I$4:$I$503,_calc!$E$8)),TEXT(INDEX('Licences'!$I$4:$I$503,_calc!$E$8),"yyyy-mm-dd"),""))</f>
        <v/>
      </c>
      <c r="E6" s="44">
        <f>IF(_calc!$E$8="","",IF(LEN(INDEX('Licences'!$H$4:$H$503,_calc!$E$8))=0,"",INDEX('Licences'!$H$4:$H$503,_calc!$E$8)))</f>
        <v/>
      </c>
      <c r="F6" s="44">
        <f>IF(_calc!$E$8="","",TRIM(IF(LEN(IF(LEN(INDEX('Licences'!$D$4:$D$503,_calc!$E$8))=0,"",INDEX('Licences'!$D$4:$D$503,_calc!$E$8)))=0,"","Ref: "&amp;IF(LEN(INDEX('Licences'!$D$4:$D$503,_calc!$E$8))=0,"",INDEX('Licences'!$D$4:$D$503,_calc!$E$8))&amp;". ")&amp;IF(LEN(IF(LEN(INDEX('Licences'!$C$4:$C$503,_calc!$E$8))=0,"",INDEX('Licences'!$C$4:$C$503,_calc!$E$8)))=0,"","Issuer: "&amp;IF(LEN(INDEX('Licences'!$C$4:$C$503,_calc!$E$8))=0,"",INDEX('Licences'!$C$4:$C$503,_calc!$E$8))&amp;". ")&amp;IF(LEN(IF(LEN(INDEX('Licences'!$E$4:$E$503,_calc!$E$8))=0,"",INDEX('Licences'!$E$4:$E$503,_calc!$E$8)))=0,"","Site: "&amp;IF(LEN(INDEX('Licences'!$E$4:$E$503,_calc!$E$8))=0,"",INDEX('Licences'!$E$4:$E$503,_calc!$E$8))&amp;". ")&amp;IF(LEN(IF(LEN(INDEX('Licences'!$F$4:$F$503,_calc!$E$8))=0,"",INDEX('Licences'!$F$4:$F$503,_calc!$E$8)))=0,"","Owner: "&amp;IF(LEN(INDEX('Licences'!$F$4:$F$503,_calc!$E$8))=0,"",INDEX('Licences'!$F$4:$F$503,_calc!$E$8))&amp;". ")&amp;IF(LEN(IF(LEN(INDEX('Licences'!$R$4:$R$503,_calc!$E$8))=0,"",INDEX('Licences'!$R$4:$R$503,_calc!$E$8)))=0,"",IF(LEN(INDEX('Licences'!$R$4:$R$503,_calc!$E$8))=0,"",INDEX('Licences'!$R$4:$R$503,_calc!$E$8)))))</f>
        <v/>
      </c>
      <c r="G6" s="44">
        <f>IF(_calc!$E$8="","",IF(LEN(INDEX('Licences'!$Q$4:$Q$503,_calc!$E$8))=0,"",INDEX('Licences'!$Q$4:$Q$503,_calc!$E$8)))</f>
        <v/>
      </c>
      <c r="H6" s="44">
        <f>IF(_calc!$E$8="","",IF(LEN(INDEX('Licences'!$O$4:$O$503,_calc!$E$8))=0,"",INDEX('Licences'!$O$4:$O$503,_calc!$E$8)))</f>
        <v/>
      </c>
      <c r="I6" s="44">
        <f>IF(_calc!$E$8="","",IF(LEN(INDEX('Licences'!$P$4:$P$503,_calc!$E$8))=0,"",INDEX('Licences'!$P$4:$P$503,_calc!$E$8)))</f>
        <v/>
      </c>
      <c r="K6" s="44">
        <f>IF(_calc!$E$8="","",IF(LEN(INDEX('Licences'!$G$4:$G$503,_calc!$E$8))=0,"",INDEX('Licences'!$G$4:$G$503,_calc!$E$8)))</f>
        <v/>
      </c>
    </row>
    <row r="7">
      <c r="A7" s="44">
        <f>IF(_calc!$E$9="","",IF(LEN(INDEX('Licences'!$A$4:$A$503,_calc!$E$9))=0,"",INDEX('Licences'!$A$4:$A$503,_calc!$E$9)))</f>
        <v/>
      </c>
      <c r="B7" s="44">
        <f>IF(_calc!$E$9="","",IF(ISNUMBER(INDEX('Licences'!$J$4:$J$503,_calc!$E$9)),TEXT(INDEX('Licences'!$J$4:$J$503,_calc!$E$9),"yyyy-mm-dd"),""))</f>
        <v/>
      </c>
      <c r="C7" s="44">
        <f>IF(_calc!$E$9="","",IF(LEN(INDEX('Licences'!$B$4:$B$503,_calc!$E$9))=0,"",INDEX('Licences'!$B$4:$B$503,_calc!$E$9)))</f>
        <v/>
      </c>
      <c r="D7" s="44">
        <f>IF(_calc!$E$9="","",IF(ISNUMBER(INDEX('Licences'!$I$4:$I$503,_calc!$E$9)),TEXT(INDEX('Licences'!$I$4:$I$503,_calc!$E$9),"yyyy-mm-dd"),""))</f>
        <v/>
      </c>
      <c r="E7" s="44">
        <f>IF(_calc!$E$9="","",IF(LEN(INDEX('Licences'!$H$4:$H$503,_calc!$E$9))=0,"",INDEX('Licences'!$H$4:$H$503,_calc!$E$9)))</f>
        <v/>
      </c>
      <c r="F7" s="44">
        <f>IF(_calc!$E$9="","",TRIM(IF(LEN(IF(LEN(INDEX('Licences'!$D$4:$D$503,_calc!$E$9))=0,"",INDEX('Licences'!$D$4:$D$503,_calc!$E$9)))=0,"","Ref: "&amp;IF(LEN(INDEX('Licences'!$D$4:$D$503,_calc!$E$9))=0,"",INDEX('Licences'!$D$4:$D$503,_calc!$E$9))&amp;". ")&amp;IF(LEN(IF(LEN(INDEX('Licences'!$C$4:$C$503,_calc!$E$9))=0,"",INDEX('Licences'!$C$4:$C$503,_calc!$E$9)))=0,"","Issuer: "&amp;IF(LEN(INDEX('Licences'!$C$4:$C$503,_calc!$E$9))=0,"",INDEX('Licences'!$C$4:$C$503,_calc!$E$9))&amp;". ")&amp;IF(LEN(IF(LEN(INDEX('Licences'!$E$4:$E$503,_calc!$E$9))=0,"",INDEX('Licences'!$E$4:$E$503,_calc!$E$9)))=0,"","Site: "&amp;IF(LEN(INDEX('Licences'!$E$4:$E$503,_calc!$E$9))=0,"",INDEX('Licences'!$E$4:$E$503,_calc!$E$9))&amp;". ")&amp;IF(LEN(IF(LEN(INDEX('Licences'!$F$4:$F$503,_calc!$E$9))=0,"",INDEX('Licences'!$F$4:$F$503,_calc!$E$9)))=0,"","Owner: "&amp;IF(LEN(INDEX('Licences'!$F$4:$F$503,_calc!$E$9))=0,"",INDEX('Licences'!$F$4:$F$503,_calc!$E$9))&amp;". ")&amp;IF(LEN(IF(LEN(INDEX('Licences'!$R$4:$R$503,_calc!$E$9))=0,"",INDEX('Licences'!$R$4:$R$503,_calc!$E$9)))=0,"",IF(LEN(INDEX('Licences'!$R$4:$R$503,_calc!$E$9))=0,"",INDEX('Licences'!$R$4:$R$503,_calc!$E$9)))))</f>
        <v/>
      </c>
      <c r="G7" s="44">
        <f>IF(_calc!$E$9="","",IF(LEN(INDEX('Licences'!$Q$4:$Q$503,_calc!$E$9))=0,"",INDEX('Licences'!$Q$4:$Q$503,_calc!$E$9)))</f>
        <v/>
      </c>
      <c r="H7" s="44">
        <f>IF(_calc!$E$9="","",IF(LEN(INDEX('Licences'!$O$4:$O$503,_calc!$E$9))=0,"",INDEX('Licences'!$O$4:$O$503,_calc!$E$9)))</f>
        <v/>
      </c>
      <c r="I7" s="44">
        <f>IF(_calc!$E$9="","",IF(LEN(INDEX('Licences'!$P$4:$P$503,_calc!$E$9))=0,"",INDEX('Licences'!$P$4:$P$503,_calc!$E$9)))</f>
        <v/>
      </c>
      <c r="K7" s="44">
        <f>IF(_calc!$E$9="","",IF(LEN(INDEX('Licences'!$G$4:$G$503,_calc!$E$9))=0,"",INDEX('Licences'!$G$4:$G$503,_calc!$E$9)))</f>
        <v/>
      </c>
    </row>
    <row r="8">
      <c r="A8" s="44">
        <f>IF(_calc!$E$10="","",IF(LEN(INDEX('Licences'!$A$4:$A$503,_calc!$E$10))=0,"",INDEX('Licences'!$A$4:$A$503,_calc!$E$10)))</f>
        <v/>
      </c>
      <c r="B8" s="44">
        <f>IF(_calc!$E$10="","",IF(ISNUMBER(INDEX('Licences'!$J$4:$J$503,_calc!$E$10)),TEXT(INDEX('Licences'!$J$4:$J$503,_calc!$E$10),"yyyy-mm-dd"),""))</f>
        <v/>
      </c>
      <c r="C8" s="44">
        <f>IF(_calc!$E$10="","",IF(LEN(INDEX('Licences'!$B$4:$B$503,_calc!$E$10))=0,"",INDEX('Licences'!$B$4:$B$503,_calc!$E$10)))</f>
        <v/>
      </c>
      <c r="D8" s="44">
        <f>IF(_calc!$E$10="","",IF(ISNUMBER(INDEX('Licences'!$I$4:$I$503,_calc!$E$10)),TEXT(INDEX('Licences'!$I$4:$I$503,_calc!$E$10),"yyyy-mm-dd"),""))</f>
        <v/>
      </c>
      <c r="E8" s="44">
        <f>IF(_calc!$E$10="","",IF(LEN(INDEX('Licences'!$H$4:$H$503,_calc!$E$10))=0,"",INDEX('Licences'!$H$4:$H$503,_calc!$E$10)))</f>
        <v/>
      </c>
      <c r="F8" s="44">
        <f>IF(_calc!$E$10="","",TRIM(IF(LEN(IF(LEN(INDEX('Licences'!$D$4:$D$503,_calc!$E$10))=0,"",INDEX('Licences'!$D$4:$D$503,_calc!$E$10)))=0,"","Ref: "&amp;IF(LEN(INDEX('Licences'!$D$4:$D$503,_calc!$E$10))=0,"",INDEX('Licences'!$D$4:$D$503,_calc!$E$10))&amp;". ")&amp;IF(LEN(IF(LEN(INDEX('Licences'!$C$4:$C$503,_calc!$E$10))=0,"",INDEX('Licences'!$C$4:$C$503,_calc!$E$10)))=0,"","Issuer: "&amp;IF(LEN(INDEX('Licences'!$C$4:$C$503,_calc!$E$10))=0,"",INDEX('Licences'!$C$4:$C$503,_calc!$E$10))&amp;". ")&amp;IF(LEN(IF(LEN(INDEX('Licences'!$E$4:$E$503,_calc!$E$10))=0,"",INDEX('Licences'!$E$4:$E$503,_calc!$E$10)))=0,"","Site: "&amp;IF(LEN(INDEX('Licences'!$E$4:$E$503,_calc!$E$10))=0,"",INDEX('Licences'!$E$4:$E$503,_calc!$E$10))&amp;". ")&amp;IF(LEN(IF(LEN(INDEX('Licences'!$F$4:$F$503,_calc!$E$10))=0,"",INDEX('Licences'!$F$4:$F$503,_calc!$E$10)))=0,"","Owner: "&amp;IF(LEN(INDEX('Licences'!$F$4:$F$503,_calc!$E$10))=0,"",INDEX('Licences'!$F$4:$F$503,_calc!$E$10))&amp;". ")&amp;IF(LEN(IF(LEN(INDEX('Licences'!$R$4:$R$503,_calc!$E$10))=0,"",INDEX('Licences'!$R$4:$R$503,_calc!$E$10)))=0,"",IF(LEN(INDEX('Licences'!$R$4:$R$503,_calc!$E$10))=0,"",INDEX('Licences'!$R$4:$R$503,_calc!$E$10)))))</f>
        <v/>
      </c>
      <c r="G8" s="44">
        <f>IF(_calc!$E$10="","",IF(LEN(INDEX('Licences'!$Q$4:$Q$503,_calc!$E$10))=0,"",INDEX('Licences'!$Q$4:$Q$503,_calc!$E$10)))</f>
        <v/>
      </c>
      <c r="H8" s="44">
        <f>IF(_calc!$E$10="","",IF(LEN(INDEX('Licences'!$O$4:$O$503,_calc!$E$10))=0,"",INDEX('Licences'!$O$4:$O$503,_calc!$E$10)))</f>
        <v/>
      </c>
      <c r="I8" s="44">
        <f>IF(_calc!$E$10="","",IF(LEN(INDEX('Licences'!$P$4:$P$503,_calc!$E$10))=0,"",INDEX('Licences'!$P$4:$P$503,_calc!$E$10)))</f>
        <v/>
      </c>
      <c r="K8" s="44">
        <f>IF(_calc!$E$10="","",IF(LEN(INDEX('Licences'!$G$4:$G$503,_calc!$E$10))=0,"",INDEX('Licences'!$G$4:$G$503,_calc!$E$10)))</f>
        <v/>
      </c>
    </row>
    <row r="9">
      <c r="A9" s="44">
        <f>IF(_calc!$E$11="","",IF(LEN(INDEX('Licences'!$A$4:$A$503,_calc!$E$11))=0,"",INDEX('Licences'!$A$4:$A$503,_calc!$E$11)))</f>
        <v/>
      </c>
      <c r="B9" s="44">
        <f>IF(_calc!$E$11="","",IF(ISNUMBER(INDEX('Licences'!$J$4:$J$503,_calc!$E$11)),TEXT(INDEX('Licences'!$J$4:$J$503,_calc!$E$11),"yyyy-mm-dd"),""))</f>
        <v/>
      </c>
      <c r="C9" s="44">
        <f>IF(_calc!$E$11="","",IF(LEN(INDEX('Licences'!$B$4:$B$503,_calc!$E$11))=0,"",INDEX('Licences'!$B$4:$B$503,_calc!$E$11)))</f>
        <v/>
      </c>
      <c r="D9" s="44">
        <f>IF(_calc!$E$11="","",IF(ISNUMBER(INDEX('Licences'!$I$4:$I$503,_calc!$E$11)),TEXT(INDEX('Licences'!$I$4:$I$503,_calc!$E$11),"yyyy-mm-dd"),""))</f>
        <v/>
      </c>
      <c r="E9" s="44">
        <f>IF(_calc!$E$11="","",IF(LEN(INDEX('Licences'!$H$4:$H$503,_calc!$E$11))=0,"",INDEX('Licences'!$H$4:$H$503,_calc!$E$11)))</f>
        <v/>
      </c>
      <c r="F9" s="44">
        <f>IF(_calc!$E$11="","",TRIM(IF(LEN(IF(LEN(INDEX('Licences'!$D$4:$D$503,_calc!$E$11))=0,"",INDEX('Licences'!$D$4:$D$503,_calc!$E$11)))=0,"","Ref: "&amp;IF(LEN(INDEX('Licences'!$D$4:$D$503,_calc!$E$11))=0,"",INDEX('Licences'!$D$4:$D$503,_calc!$E$11))&amp;". ")&amp;IF(LEN(IF(LEN(INDEX('Licences'!$C$4:$C$503,_calc!$E$11))=0,"",INDEX('Licences'!$C$4:$C$503,_calc!$E$11)))=0,"","Issuer: "&amp;IF(LEN(INDEX('Licences'!$C$4:$C$503,_calc!$E$11))=0,"",INDEX('Licences'!$C$4:$C$503,_calc!$E$11))&amp;". ")&amp;IF(LEN(IF(LEN(INDEX('Licences'!$E$4:$E$503,_calc!$E$11))=0,"",INDEX('Licences'!$E$4:$E$503,_calc!$E$11)))=0,"","Site: "&amp;IF(LEN(INDEX('Licences'!$E$4:$E$503,_calc!$E$11))=0,"",INDEX('Licences'!$E$4:$E$503,_calc!$E$11))&amp;". ")&amp;IF(LEN(IF(LEN(INDEX('Licences'!$F$4:$F$503,_calc!$E$11))=0,"",INDEX('Licences'!$F$4:$F$503,_calc!$E$11)))=0,"","Owner: "&amp;IF(LEN(INDEX('Licences'!$F$4:$F$503,_calc!$E$11))=0,"",INDEX('Licences'!$F$4:$F$503,_calc!$E$11))&amp;". ")&amp;IF(LEN(IF(LEN(INDEX('Licences'!$R$4:$R$503,_calc!$E$11))=0,"",INDEX('Licences'!$R$4:$R$503,_calc!$E$11)))=0,"",IF(LEN(INDEX('Licences'!$R$4:$R$503,_calc!$E$11))=0,"",INDEX('Licences'!$R$4:$R$503,_calc!$E$11)))))</f>
        <v/>
      </c>
      <c r="G9" s="44">
        <f>IF(_calc!$E$11="","",IF(LEN(INDEX('Licences'!$Q$4:$Q$503,_calc!$E$11))=0,"",INDEX('Licences'!$Q$4:$Q$503,_calc!$E$11)))</f>
        <v/>
      </c>
      <c r="H9" s="44">
        <f>IF(_calc!$E$11="","",IF(LEN(INDEX('Licences'!$O$4:$O$503,_calc!$E$11))=0,"",INDEX('Licences'!$O$4:$O$503,_calc!$E$11)))</f>
        <v/>
      </c>
      <c r="I9" s="44">
        <f>IF(_calc!$E$11="","",IF(LEN(INDEX('Licences'!$P$4:$P$503,_calc!$E$11))=0,"",INDEX('Licences'!$P$4:$P$503,_calc!$E$11)))</f>
        <v/>
      </c>
      <c r="K9" s="44">
        <f>IF(_calc!$E$11="","",IF(LEN(INDEX('Licences'!$G$4:$G$503,_calc!$E$11))=0,"",INDEX('Licences'!$G$4:$G$503,_calc!$E$11)))</f>
        <v/>
      </c>
    </row>
    <row r="10">
      <c r="A10" s="44">
        <f>IF(_calc!$E$12="","",IF(LEN(INDEX('Licences'!$A$4:$A$503,_calc!$E$12))=0,"",INDEX('Licences'!$A$4:$A$503,_calc!$E$12)))</f>
        <v/>
      </c>
      <c r="B10" s="44">
        <f>IF(_calc!$E$12="","",IF(ISNUMBER(INDEX('Licences'!$J$4:$J$503,_calc!$E$12)),TEXT(INDEX('Licences'!$J$4:$J$503,_calc!$E$12),"yyyy-mm-dd"),""))</f>
        <v/>
      </c>
      <c r="C10" s="44">
        <f>IF(_calc!$E$12="","",IF(LEN(INDEX('Licences'!$B$4:$B$503,_calc!$E$12))=0,"",INDEX('Licences'!$B$4:$B$503,_calc!$E$12)))</f>
        <v/>
      </c>
      <c r="D10" s="44">
        <f>IF(_calc!$E$12="","",IF(ISNUMBER(INDEX('Licences'!$I$4:$I$503,_calc!$E$12)),TEXT(INDEX('Licences'!$I$4:$I$503,_calc!$E$12),"yyyy-mm-dd"),""))</f>
        <v/>
      </c>
      <c r="E10" s="44">
        <f>IF(_calc!$E$12="","",IF(LEN(INDEX('Licences'!$H$4:$H$503,_calc!$E$12))=0,"",INDEX('Licences'!$H$4:$H$503,_calc!$E$12)))</f>
        <v/>
      </c>
      <c r="F10" s="44">
        <f>IF(_calc!$E$12="","",TRIM(IF(LEN(IF(LEN(INDEX('Licences'!$D$4:$D$503,_calc!$E$12))=0,"",INDEX('Licences'!$D$4:$D$503,_calc!$E$12)))=0,"","Ref: "&amp;IF(LEN(INDEX('Licences'!$D$4:$D$503,_calc!$E$12))=0,"",INDEX('Licences'!$D$4:$D$503,_calc!$E$12))&amp;". ")&amp;IF(LEN(IF(LEN(INDEX('Licences'!$C$4:$C$503,_calc!$E$12))=0,"",INDEX('Licences'!$C$4:$C$503,_calc!$E$12)))=0,"","Issuer: "&amp;IF(LEN(INDEX('Licences'!$C$4:$C$503,_calc!$E$12))=0,"",INDEX('Licences'!$C$4:$C$503,_calc!$E$12))&amp;". ")&amp;IF(LEN(IF(LEN(INDEX('Licences'!$E$4:$E$503,_calc!$E$12))=0,"",INDEX('Licences'!$E$4:$E$503,_calc!$E$12)))=0,"","Site: "&amp;IF(LEN(INDEX('Licences'!$E$4:$E$503,_calc!$E$12))=0,"",INDEX('Licences'!$E$4:$E$503,_calc!$E$12))&amp;". ")&amp;IF(LEN(IF(LEN(INDEX('Licences'!$F$4:$F$503,_calc!$E$12))=0,"",INDEX('Licences'!$F$4:$F$503,_calc!$E$12)))=0,"","Owner: "&amp;IF(LEN(INDEX('Licences'!$F$4:$F$503,_calc!$E$12))=0,"",INDEX('Licences'!$F$4:$F$503,_calc!$E$12))&amp;". ")&amp;IF(LEN(IF(LEN(INDEX('Licences'!$R$4:$R$503,_calc!$E$12))=0,"",INDEX('Licences'!$R$4:$R$503,_calc!$E$12)))=0,"",IF(LEN(INDEX('Licences'!$R$4:$R$503,_calc!$E$12))=0,"",INDEX('Licences'!$R$4:$R$503,_calc!$E$12)))))</f>
        <v/>
      </c>
      <c r="G10" s="44">
        <f>IF(_calc!$E$12="","",IF(LEN(INDEX('Licences'!$Q$4:$Q$503,_calc!$E$12))=0,"",INDEX('Licences'!$Q$4:$Q$503,_calc!$E$12)))</f>
        <v/>
      </c>
      <c r="H10" s="44">
        <f>IF(_calc!$E$12="","",IF(LEN(INDEX('Licences'!$O$4:$O$503,_calc!$E$12))=0,"",INDEX('Licences'!$O$4:$O$503,_calc!$E$12)))</f>
        <v/>
      </c>
      <c r="I10" s="44">
        <f>IF(_calc!$E$12="","",IF(LEN(INDEX('Licences'!$P$4:$P$503,_calc!$E$12))=0,"",INDEX('Licences'!$P$4:$P$503,_calc!$E$12)))</f>
        <v/>
      </c>
      <c r="K10" s="44">
        <f>IF(_calc!$E$12="","",IF(LEN(INDEX('Licences'!$G$4:$G$503,_calc!$E$12))=0,"",INDEX('Licences'!$G$4:$G$503,_calc!$E$12)))</f>
        <v/>
      </c>
    </row>
    <row r="11">
      <c r="A11" s="44">
        <f>IF(_calc!$E$13="","",IF(LEN(INDEX('Licences'!$A$4:$A$503,_calc!$E$13))=0,"",INDEX('Licences'!$A$4:$A$503,_calc!$E$13)))</f>
        <v/>
      </c>
      <c r="B11" s="44">
        <f>IF(_calc!$E$13="","",IF(ISNUMBER(INDEX('Licences'!$J$4:$J$503,_calc!$E$13)),TEXT(INDEX('Licences'!$J$4:$J$503,_calc!$E$13),"yyyy-mm-dd"),""))</f>
        <v/>
      </c>
      <c r="C11" s="44">
        <f>IF(_calc!$E$13="","",IF(LEN(INDEX('Licences'!$B$4:$B$503,_calc!$E$13))=0,"",INDEX('Licences'!$B$4:$B$503,_calc!$E$13)))</f>
        <v/>
      </c>
      <c r="D11" s="44">
        <f>IF(_calc!$E$13="","",IF(ISNUMBER(INDEX('Licences'!$I$4:$I$503,_calc!$E$13)),TEXT(INDEX('Licences'!$I$4:$I$503,_calc!$E$13),"yyyy-mm-dd"),""))</f>
        <v/>
      </c>
      <c r="E11" s="44">
        <f>IF(_calc!$E$13="","",IF(LEN(INDEX('Licences'!$H$4:$H$503,_calc!$E$13))=0,"",INDEX('Licences'!$H$4:$H$503,_calc!$E$13)))</f>
        <v/>
      </c>
      <c r="F11" s="44">
        <f>IF(_calc!$E$13="","",TRIM(IF(LEN(IF(LEN(INDEX('Licences'!$D$4:$D$503,_calc!$E$13))=0,"",INDEX('Licences'!$D$4:$D$503,_calc!$E$13)))=0,"","Ref: "&amp;IF(LEN(INDEX('Licences'!$D$4:$D$503,_calc!$E$13))=0,"",INDEX('Licences'!$D$4:$D$503,_calc!$E$13))&amp;". ")&amp;IF(LEN(IF(LEN(INDEX('Licences'!$C$4:$C$503,_calc!$E$13))=0,"",INDEX('Licences'!$C$4:$C$503,_calc!$E$13)))=0,"","Issuer: "&amp;IF(LEN(INDEX('Licences'!$C$4:$C$503,_calc!$E$13))=0,"",INDEX('Licences'!$C$4:$C$503,_calc!$E$13))&amp;". ")&amp;IF(LEN(IF(LEN(INDEX('Licences'!$E$4:$E$503,_calc!$E$13))=0,"",INDEX('Licences'!$E$4:$E$503,_calc!$E$13)))=0,"","Site: "&amp;IF(LEN(INDEX('Licences'!$E$4:$E$503,_calc!$E$13))=0,"",INDEX('Licences'!$E$4:$E$503,_calc!$E$13))&amp;". ")&amp;IF(LEN(IF(LEN(INDEX('Licences'!$F$4:$F$503,_calc!$E$13))=0,"",INDEX('Licences'!$F$4:$F$503,_calc!$E$13)))=0,"","Owner: "&amp;IF(LEN(INDEX('Licences'!$F$4:$F$503,_calc!$E$13))=0,"",INDEX('Licences'!$F$4:$F$503,_calc!$E$13))&amp;". ")&amp;IF(LEN(IF(LEN(INDEX('Licences'!$R$4:$R$503,_calc!$E$13))=0,"",INDEX('Licences'!$R$4:$R$503,_calc!$E$13)))=0,"",IF(LEN(INDEX('Licences'!$R$4:$R$503,_calc!$E$13))=0,"",INDEX('Licences'!$R$4:$R$503,_calc!$E$13)))))</f>
        <v/>
      </c>
      <c r="G11" s="44">
        <f>IF(_calc!$E$13="","",IF(LEN(INDEX('Licences'!$Q$4:$Q$503,_calc!$E$13))=0,"",INDEX('Licences'!$Q$4:$Q$503,_calc!$E$13)))</f>
        <v/>
      </c>
      <c r="H11" s="44">
        <f>IF(_calc!$E$13="","",IF(LEN(INDEX('Licences'!$O$4:$O$503,_calc!$E$13))=0,"",INDEX('Licences'!$O$4:$O$503,_calc!$E$13)))</f>
        <v/>
      </c>
      <c r="I11" s="44">
        <f>IF(_calc!$E$13="","",IF(LEN(INDEX('Licences'!$P$4:$P$503,_calc!$E$13))=0,"",INDEX('Licences'!$P$4:$P$503,_calc!$E$13)))</f>
        <v/>
      </c>
      <c r="K11" s="44">
        <f>IF(_calc!$E$13="","",IF(LEN(INDEX('Licences'!$G$4:$G$503,_calc!$E$13))=0,"",INDEX('Licences'!$G$4:$G$503,_calc!$E$13)))</f>
        <v/>
      </c>
    </row>
    <row r="12">
      <c r="A12" s="44">
        <f>IF(_calc!$E$14="","",IF(LEN(INDEX('Licences'!$A$4:$A$503,_calc!$E$14))=0,"",INDEX('Licences'!$A$4:$A$503,_calc!$E$14)))</f>
        <v/>
      </c>
      <c r="B12" s="44">
        <f>IF(_calc!$E$14="","",IF(ISNUMBER(INDEX('Licences'!$J$4:$J$503,_calc!$E$14)),TEXT(INDEX('Licences'!$J$4:$J$503,_calc!$E$14),"yyyy-mm-dd"),""))</f>
        <v/>
      </c>
      <c r="C12" s="44">
        <f>IF(_calc!$E$14="","",IF(LEN(INDEX('Licences'!$B$4:$B$503,_calc!$E$14))=0,"",INDEX('Licences'!$B$4:$B$503,_calc!$E$14)))</f>
        <v/>
      </c>
      <c r="D12" s="44">
        <f>IF(_calc!$E$14="","",IF(ISNUMBER(INDEX('Licences'!$I$4:$I$503,_calc!$E$14)),TEXT(INDEX('Licences'!$I$4:$I$503,_calc!$E$14),"yyyy-mm-dd"),""))</f>
        <v/>
      </c>
      <c r="E12" s="44">
        <f>IF(_calc!$E$14="","",IF(LEN(INDEX('Licences'!$H$4:$H$503,_calc!$E$14))=0,"",INDEX('Licences'!$H$4:$H$503,_calc!$E$14)))</f>
        <v/>
      </c>
      <c r="F12" s="44">
        <f>IF(_calc!$E$14="","",TRIM(IF(LEN(IF(LEN(INDEX('Licences'!$D$4:$D$503,_calc!$E$14))=0,"",INDEX('Licences'!$D$4:$D$503,_calc!$E$14)))=0,"","Ref: "&amp;IF(LEN(INDEX('Licences'!$D$4:$D$503,_calc!$E$14))=0,"",INDEX('Licences'!$D$4:$D$503,_calc!$E$14))&amp;". ")&amp;IF(LEN(IF(LEN(INDEX('Licences'!$C$4:$C$503,_calc!$E$14))=0,"",INDEX('Licences'!$C$4:$C$503,_calc!$E$14)))=0,"","Issuer: "&amp;IF(LEN(INDEX('Licences'!$C$4:$C$503,_calc!$E$14))=0,"",INDEX('Licences'!$C$4:$C$503,_calc!$E$14))&amp;". ")&amp;IF(LEN(IF(LEN(INDEX('Licences'!$E$4:$E$503,_calc!$E$14))=0,"",INDEX('Licences'!$E$4:$E$503,_calc!$E$14)))=0,"","Site: "&amp;IF(LEN(INDEX('Licences'!$E$4:$E$503,_calc!$E$14))=0,"",INDEX('Licences'!$E$4:$E$503,_calc!$E$14))&amp;". ")&amp;IF(LEN(IF(LEN(INDEX('Licences'!$F$4:$F$503,_calc!$E$14))=0,"",INDEX('Licences'!$F$4:$F$503,_calc!$E$14)))=0,"","Owner: "&amp;IF(LEN(INDEX('Licences'!$F$4:$F$503,_calc!$E$14))=0,"",INDEX('Licences'!$F$4:$F$503,_calc!$E$14))&amp;". ")&amp;IF(LEN(IF(LEN(INDEX('Licences'!$R$4:$R$503,_calc!$E$14))=0,"",INDEX('Licences'!$R$4:$R$503,_calc!$E$14)))=0,"",IF(LEN(INDEX('Licences'!$R$4:$R$503,_calc!$E$14))=0,"",INDEX('Licences'!$R$4:$R$503,_calc!$E$14)))))</f>
        <v/>
      </c>
      <c r="G12" s="44">
        <f>IF(_calc!$E$14="","",IF(LEN(INDEX('Licences'!$Q$4:$Q$503,_calc!$E$14))=0,"",INDEX('Licences'!$Q$4:$Q$503,_calc!$E$14)))</f>
        <v/>
      </c>
      <c r="H12" s="44">
        <f>IF(_calc!$E$14="","",IF(LEN(INDEX('Licences'!$O$4:$O$503,_calc!$E$14))=0,"",INDEX('Licences'!$O$4:$O$503,_calc!$E$14)))</f>
        <v/>
      </c>
      <c r="I12" s="44">
        <f>IF(_calc!$E$14="","",IF(LEN(INDEX('Licences'!$P$4:$P$503,_calc!$E$14))=0,"",INDEX('Licences'!$P$4:$P$503,_calc!$E$14)))</f>
        <v/>
      </c>
      <c r="K12" s="44">
        <f>IF(_calc!$E$14="","",IF(LEN(INDEX('Licences'!$G$4:$G$503,_calc!$E$14))=0,"",INDEX('Licences'!$G$4:$G$503,_calc!$E$14)))</f>
        <v/>
      </c>
    </row>
    <row r="13">
      <c r="A13" s="44">
        <f>IF(_calc!$E$15="","",IF(LEN(INDEX('Licences'!$A$4:$A$503,_calc!$E$15))=0,"",INDEX('Licences'!$A$4:$A$503,_calc!$E$15)))</f>
        <v/>
      </c>
      <c r="B13" s="44">
        <f>IF(_calc!$E$15="","",IF(ISNUMBER(INDEX('Licences'!$J$4:$J$503,_calc!$E$15)),TEXT(INDEX('Licences'!$J$4:$J$503,_calc!$E$15),"yyyy-mm-dd"),""))</f>
        <v/>
      </c>
      <c r="C13" s="44">
        <f>IF(_calc!$E$15="","",IF(LEN(INDEX('Licences'!$B$4:$B$503,_calc!$E$15))=0,"",INDEX('Licences'!$B$4:$B$503,_calc!$E$15)))</f>
        <v/>
      </c>
      <c r="D13" s="44">
        <f>IF(_calc!$E$15="","",IF(ISNUMBER(INDEX('Licences'!$I$4:$I$503,_calc!$E$15)),TEXT(INDEX('Licences'!$I$4:$I$503,_calc!$E$15),"yyyy-mm-dd"),""))</f>
        <v/>
      </c>
      <c r="E13" s="44">
        <f>IF(_calc!$E$15="","",IF(LEN(INDEX('Licences'!$H$4:$H$503,_calc!$E$15))=0,"",INDEX('Licences'!$H$4:$H$503,_calc!$E$15)))</f>
        <v/>
      </c>
      <c r="F13" s="44">
        <f>IF(_calc!$E$15="","",TRIM(IF(LEN(IF(LEN(INDEX('Licences'!$D$4:$D$503,_calc!$E$15))=0,"",INDEX('Licences'!$D$4:$D$503,_calc!$E$15)))=0,"","Ref: "&amp;IF(LEN(INDEX('Licences'!$D$4:$D$503,_calc!$E$15))=0,"",INDEX('Licences'!$D$4:$D$503,_calc!$E$15))&amp;". ")&amp;IF(LEN(IF(LEN(INDEX('Licences'!$C$4:$C$503,_calc!$E$15))=0,"",INDEX('Licences'!$C$4:$C$503,_calc!$E$15)))=0,"","Issuer: "&amp;IF(LEN(INDEX('Licences'!$C$4:$C$503,_calc!$E$15))=0,"",INDEX('Licences'!$C$4:$C$503,_calc!$E$15))&amp;". ")&amp;IF(LEN(IF(LEN(INDEX('Licences'!$E$4:$E$503,_calc!$E$15))=0,"",INDEX('Licences'!$E$4:$E$503,_calc!$E$15)))=0,"","Site: "&amp;IF(LEN(INDEX('Licences'!$E$4:$E$503,_calc!$E$15))=0,"",INDEX('Licences'!$E$4:$E$503,_calc!$E$15))&amp;". ")&amp;IF(LEN(IF(LEN(INDEX('Licences'!$F$4:$F$503,_calc!$E$15))=0,"",INDEX('Licences'!$F$4:$F$503,_calc!$E$15)))=0,"","Owner: "&amp;IF(LEN(INDEX('Licences'!$F$4:$F$503,_calc!$E$15))=0,"",INDEX('Licences'!$F$4:$F$503,_calc!$E$15))&amp;". ")&amp;IF(LEN(IF(LEN(INDEX('Licences'!$R$4:$R$503,_calc!$E$15))=0,"",INDEX('Licences'!$R$4:$R$503,_calc!$E$15)))=0,"",IF(LEN(INDEX('Licences'!$R$4:$R$503,_calc!$E$15))=0,"",INDEX('Licences'!$R$4:$R$503,_calc!$E$15)))))</f>
        <v/>
      </c>
      <c r="G13" s="44">
        <f>IF(_calc!$E$15="","",IF(LEN(INDEX('Licences'!$Q$4:$Q$503,_calc!$E$15))=0,"",INDEX('Licences'!$Q$4:$Q$503,_calc!$E$15)))</f>
        <v/>
      </c>
      <c r="H13" s="44">
        <f>IF(_calc!$E$15="","",IF(LEN(INDEX('Licences'!$O$4:$O$503,_calc!$E$15))=0,"",INDEX('Licences'!$O$4:$O$503,_calc!$E$15)))</f>
        <v/>
      </c>
      <c r="I13" s="44">
        <f>IF(_calc!$E$15="","",IF(LEN(INDEX('Licences'!$P$4:$P$503,_calc!$E$15))=0,"",INDEX('Licences'!$P$4:$P$503,_calc!$E$15)))</f>
        <v/>
      </c>
      <c r="K13" s="44">
        <f>IF(_calc!$E$15="","",IF(LEN(INDEX('Licences'!$G$4:$G$503,_calc!$E$15))=0,"",INDEX('Licences'!$G$4:$G$503,_calc!$E$15)))</f>
        <v/>
      </c>
    </row>
    <row r="14">
      <c r="A14" s="44">
        <f>IF(_calc!$E$16="","",IF(LEN(INDEX('Licences'!$A$4:$A$503,_calc!$E$16))=0,"",INDEX('Licences'!$A$4:$A$503,_calc!$E$16)))</f>
        <v/>
      </c>
      <c r="B14" s="44">
        <f>IF(_calc!$E$16="","",IF(ISNUMBER(INDEX('Licences'!$J$4:$J$503,_calc!$E$16)),TEXT(INDEX('Licences'!$J$4:$J$503,_calc!$E$16),"yyyy-mm-dd"),""))</f>
        <v/>
      </c>
      <c r="C14" s="44">
        <f>IF(_calc!$E$16="","",IF(LEN(INDEX('Licences'!$B$4:$B$503,_calc!$E$16))=0,"",INDEX('Licences'!$B$4:$B$503,_calc!$E$16)))</f>
        <v/>
      </c>
      <c r="D14" s="44">
        <f>IF(_calc!$E$16="","",IF(ISNUMBER(INDEX('Licences'!$I$4:$I$503,_calc!$E$16)),TEXT(INDEX('Licences'!$I$4:$I$503,_calc!$E$16),"yyyy-mm-dd"),""))</f>
        <v/>
      </c>
      <c r="E14" s="44">
        <f>IF(_calc!$E$16="","",IF(LEN(INDEX('Licences'!$H$4:$H$503,_calc!$E$16))=0,"",INDEX('Licences'!$H$4:$H$503,_calc!$E$16)))</f>
        <v/>
      </c>
      <c r="F14" s="44">
        <f>IF(_calc!$E$16="","",TRIM(IF(LEN(IF(LEN(INDEX('Licences'!$D$4:$D$503,_calc!$E$16))=0,"",INDEX('Licences'!$D$4:$D$503,_calc!$E$16)))=0,"","Ref: "&amp;IF(LEN(INDEX('Licences'!$D$4:$D$503,_calc!$E$16))=0,"",INDEX('Licences'!$D$4:$D$503,_calc!$E$16))&amp;". ")&amp;IF(LEN(IF(LEN(INDEX('Licences'!$C$4:$C$503,_calc!$E$16))=0,"",INDEX('Licences'!$C$4:$C$503,_calc!$E$16)))=0,"","Issuer: "&amp;IF(LEN(INDEX('Licences'!$C$4:$C$503,_calc!$E$16))=0,"",INDEX('Licences'!$C$4:$C$503,_calc!$E$16))&amp;". ")&amp;IF(LEN(IF(LEN(INDEX('Licences'!$E$4:$E$503,_calc!$E$16))=0,"",INDEX('Licences'!$E$4:$E$503,_calc!$E$16)))=0,"","Site: "&amp;IF(LEN(INDEX('Licences'!$E$4:$E$503,_calc!$E$16))=0,"",INDEX('Licences'!$E$4:$E$503,_calc!$E$16))&amp;". ")&amp;IF(LEN(IF(LEN(INDEX('Licences'!$F$4:$F$503,_calc!$E$16))=0,"",INDEX('Licences'!$F$4:$F$503,_calc!$E$16)))=0,"","Owner: "&amp;IF(LEN(INDEX('Licences'!$F$4:$F$503,_calc!$E$16))=0,"",INDEX('Licences'!$F$4:$F$503,_calc!$E$16))&amp;". ")&amp;IF(LEN(IF(LEN(INDEX('Licences'!$R$4:$R$503,_calc!$E$16))=0,"",INDEX('Licences'!$R$4:$R$503,_calc!$E$16)))=0,"",IF(LEN(INDEX('Licences'!$R$4:$R$503,_calc!$E$16))=0,"",INDEX('Licences'!$R$4:$R$503,_calc!$E$16)))))</f>
        <v/>
      </c>
      <c r="G14" s="44">
        <f>IF(_calc!$E$16="","",IF(LEN(INDEX('Licences'!$Q$4:$Q$503,_calc!$E$16))=0,"",INDEX('Licences'!$Q$4:$Q$503,_calc!$E$16)))</f>
        <v/>
      </c>
      <c r="H14" s="44">
        <f>IF(_calc!$E$16="","",IF(LEN(INDEX('Licences'!$O$4:$O$503,_calc!$E$16))=0,"",INDEX('Licences'!$O$4:$O$503,_calc!$E$16)))</f>
        <v/>
      </c>
      <c r="I14" s="44">
        <f>IF(_calc!$E$16="","",IF(LEN(INDEX('Licences'!$P$4:$P$503,_calc!$E$16))=0,"",INDEX('Licences'!$P$4:$P$503,_calc!$E$16)))</f>
        <v/>
      </c>
      <c r="K14" s="44">
        <f>IF(_calc!$E$16="","",IF(LEN(INDEX('Licences'!$G$4:$G$503,_calc!$E$16))=0,"",INDEX('Licences'!$G$4:$G$503,_calc!$E$16)))</f>
        <v/>
      </c>
    </row>
    <row r="15">
      <c r="A15" s="44">
        <f>IF(_calc!$E$17="","",IF(LEN(INDEX('Licences'!$A$4:$A$503,_calc!$E$17))=0,"",INDEX('Licences'!$A$4:$A$503,_calc!$E$17)))</f>
        <v/>
      </c>
      <c r="B15" s="44">
        <f>IF(_calc!$E$17="","",IF(ISNUMBER(INDEX('Licences'!$J$4:$J$503,_calc!$E$17)),TEXT(INDEX('Licences'!$J$4:$J$503,_calc!$E$17),"yyyy-mm-dd"),""))</f>
        <v/>
      </c>
      <c r="C15" s="44">
        <f>IF(_calc!$E$17="","",IF(LEN(INDEX('Licences'!$B$4:$B$503,_calc!$E$17))=0,"",INDEX('Licences'!$B$4:$B$503,_calc!$E$17)))</f>
        <v/>
      </c>
      <c r="D15" s="44">
        <f>IF(_calc!$E$17="","",IF(ISNUMBER(INDEX('Licences'!$I$4:$I$503,_calc!$E$17)),TEXT(INDEX('Licences'!$I$4:$I$503,_calc!$E$17),"yyyy-mm-dd"),""))</f>
        <v/>
      </c>
      <c r="E15" s="44">
        <f>IF(_calc!$E$17="","",IF(LEN(INDEX('Licences'!$H$4:$H$503,_calc!$E$17))=0,"",INDEX('Licences'!$H$4:$H$503,_calc!$E$17)))</f>
        <v/>
      </c>
      <c r="F15" s="44">
        <f>IF(_calc!$E$17="","",TRIM(IF(LEN(IF(LEN(INDEX('Licences'!$D$4:$D$503,_calc!$E$17))=0,"",INDEX('Licences'!$D$4:$D$503,_calc!$E$17)))=0,"","Ref: "&amp;IF(LEN(INDEX('Licences'!$D$4:$D$503,_calc!$E$17))=0,"",INDEX('Licences'!$D$4:$D$503,_calc!$E$17))&amp;". ")&amp;IF(LEN(IF(LEN(INDEX('Licences'!$C$4:$C$503,_calc!$E$17))=0,"",INDEX('Licences'!$C$4:$C$503,_calc!$E$17)))=0,"","Issuer: "&amp;IF(LEN(INDEX('Licences'!$C$4:$C$503,_calc!$E$17))=0,"",INDEX('Licences'!$C$4:$C$503,_calc!$E$17))&amp;". ")&amp;IF(LEN(IF(LEN(INDEX('Licences'!$E$4:$E$503,_calc!$E$17))=0,"",INDEX('Licences'!$E$4:$E$503,_calc!$E$17)))=0,"","Site: "&amp;IF(LEN(INDEX('Licences'!$E$4:$E$503,_calc!$E$17))=0,"",INDEX('Licences'!$E$4:$E$503,_calc!$E$17))&amp;". ")&amp;IF(LEN(IF(LEN(INDEX('Licences'!$F$4:$F$503,_calc!$E$17))=0,"",INDEX('Licences'!$F$4:$F$503,_calc!$E$17)))=0,"","Owner: "&amp;IF(LEN(INDEX('Licences'!$F$4:$F$503,_calc!$E$17))=0,"",INDEX('Licences'!$F$4:$F$503,_calc!$E$17))&amp;". ")&amp;IF(LEN(IF(LEN(INDEX('Licences'!$R$4:$R$503,_calc!$E$17))=0,"",INDEX('Licences'!$R$4:$R$503,_calc!$E$17)))=0,"",IF(LEN(INDEX('Licences'!$R$4:$R$503,_calc!$E$17))=0,"",INDEX('Licences'!$R$4:$R$503,_calc!$E$17)))))</f>
        <v/>
      </c>
      <c r="G15" s="44">
        <f>IF(_calc!$E$17="","",IF(LEN(INDEX('Licences'!$Q$4:$Q$503,_calc!$E$17))=0,"",INDEX('Licences'!$Q$4:$Q$503,_calc!$E$17)))</f>
        <v/>
      </c>
      <c r="H15" s="44">
        <f>IF(_calc!$E$17="","",IF(LEN(INDEX('Licences'!$O$4:$O$503,_calc!$E$17))=0,"",INDEX('Licences'!$O$4:$O$503,_calc!$E$17)))</f>
        <v/>
      </c>
      <c r="I15" s="44">
        <f>IF(_calc!$E$17="","",IF(LEN(INDEX('Licences'!$P$4:$P$503,_calc!$E$17))=0,"",INDEX('Licences'!$P$4:$P$503,_calc!$E$17)))</f>
        <v/>
      </c>
      <c r="K15" s="44">
        <f>IF(_calc!$E$17="","",IF(LEN(INDEX('Licences'!$G$4:$G$503,_calc!$E$17))=0,"",INDEX('Licences'!$G$4:$G$503,_calc!$E$17)))</f>
        <v/>
      </c>
    </row>
    <row r="16">
      <c r="A16" s="44">
        <f>IF(_calc!$E$18="","",IF(LEN(INDEX('Licences'!$A$4:$A$503,_calc!$E$18))=0,"",INDEX('Licences'!$A$4:$A$503,_calc!$E$18)))</f>
        <v/>
      </c>
      <c r="B16" s="44">
        <f>IF(_calc!$E$18="","",IF(ISNUMBER(INDEX('Licences'!$J$4:$J$503,_calc!$E$18)),TEXT(INDEX('Licences'!$J$4:$J$503,_calc!$E$18),"yyyy-mm-dd"),""))</f>
        <v/>
      </c>
      <c r="C16" s="44">
        <f>IF(_calc!$E$18="","",IF(LEN(INDEX('Licences'!$B$4:$B$503,_calc!$E$18))=0,"",INDEX('Licences'!$B$4:$B$503,_calc!$E$18)))</f>
        <v/>
      </c>
      <c r="D16" s="44">
        <f>IF(_calc!$E$18="","",IF(ISNUMBER(INDEX('Licences'!$I$4:$I$503,_calc!$E$18)),TEXT(INDEX('Licences'!$I$4:$I$503,_calc!$E$18),"yyyy-mm-dd"),""))</f>
        <v/>
      </c>
      <c r="E16" s="44">
        <f>IF(_calc!$E$18="","",IF(LEN(INDEX('Licences'!$H$4:$H$503,_calc!$E$18))=0,"",INDEX('Licences'!$H$4:$H$503,_calc!$E$18)))</f>
        <v/>
      </c>
      <c r="F16" s="44">
        <f>IF(_calc!$E$18="","",TRIM(IF(LEN(IF(LEN(INDEX('Licences'!$D$4:$D$503,_calc!$E$18))=0,"",INDEX('Licences'!$D$4:$D$503,_calc!$E$18)))=0,"","Ref: "&amp;IF(LEN(INDEX('Licences'!$D$4:$D$503,_calc!$E$18))=0,"",INDEX('Licences'!$D$4:$D$503,_calc!$E$18))&amp;". ")&amp;IF(LEN(IF(LEN(INDEX('Licences'!$C$4:$C$503,_calc!$E$18))=0,"",INDEX('Licences'!$C$4:$C$503,_calc!$E$18)))=0,"","Issuer: "&amp;IF(LEN(INDEX('Licences'!$C$4:$C$503,_calc!$E$18))=0,"",INDEX('Licences'!$C$4:$C$503,_calc!$E$18))&amp;". ")&amp;IF(LEN(IF(LEN(INDEX('Licences'!$E$4:$E$503,_calc!$E$18))=0,"",INDEX('Licences'!$E$4:$E$503,_calc!$E$18)))=0,"","Site: "&amp;IF(LEN(INDEX('Licences'!$E$4:$E$503,_calc!$E$18))=0,"",INDEX('Licences'!$E$4:$E$503,_calc!$E$18))&amp;". ")&amp;IF(LEN(IF(LEN(INDEX('Licences'!$F$4:$F$503,_calc!$E$18))=0,"",INDEX('Licences'!$F$4:$F$503,_calc!$E$18)))=0,"","Owner: "&amp;IF(LEN(INDEX('Licences'!$F$4:$F$503,_calc!$E$18))=0,"",INDEX('Licences'!$F$4:$F$503,_calc!$E$18))&amp;". ")&amp;IF(LEN(IF(LEN(INDEX('Licences'!$R$4:$R$503,_calc!$E$18))=0,"",INDEX('Licences'!$R$4:$R$503,_calc!$E$18)))=0,"",IF(LEN(INDEX('Licences'!$R$4:$R$503,_calc!$E$18))=0,"",INDEX('Licences'!$R$4:$R$503,_calc!$E$18)))))</f>
        <v/>
      </c>
      <c r="G16" s="44">
        <f>IF(_calc!$E$18="","",IF(LEN(INDEX('Licences'!$Q$4:$Q$503,_calc!$E$18))=0,"",INDEX('Licences'!$Q$4:$Q$503,_calc!$E$18)))</f>
        <v/>
      </c>
      <c r="H16" s="44">
        <f>IF(_calc!$E$18="","",IF(LEN(INDEX('Licences'!$O$4:$O$503,_calc!$E$18))=0,"",INDEX('Licences'!$O$4:$O$503,_calc!$E$18)))</f>
        <v/>
      </c>
      <c r="I16" s="44">
        <f>IF(_calc!$E$18="","",IF(LEN(INDEX('Licences'!$P$4:$P$503,_calc!$E$18))=0,"",INDEX('Licences'!$P$4:$P$503,_calc!$E$18)))</f>
        <v/>
      </c>
      <c r="K16" s="44">
        <f>IF(_calc!$E$18="","",IF(LEN(INDEX('Licences'!$G$4:$G$503,_calc!$E$18))=0,"",INDEX('Licences'!$G$4:$G$503,_calc!$E$18)))</f>
        <v/>
      </c>
    </row>
    <row r="17">
      <c r="A17" s="44">
        <f>IF(_calc!$E$19="","",IF(LEN(INDEX('Licences'!$A$4:$A$503,_calc!$E$19))=0,"",INDEX('Licences'!$A$4:$A$503,_calc!$E$19)))</f>
        <v/>
      </c>
      <c r="B17" s="44">
        <f>IF(_calc!$E$19="","",IF(ISNUMBER(INDEX('Licences'!$J$4:$J$503,_calc!$E$19)),TEXT(INDEX('Licences'!$J$4:$J$503,_calc!$E$19),"yyyy-mm-dd"),""))</f>
        <v/>
      </c>
      <c r="C17" s="44">
        <f>IF(_calc!$E$19="","",IF(LEN(INDEX('Licences'!$B$4:$B$503,_calc!$E$19))=0,"",INDEX('Licences'!$B$4:$B$503,_calc!$E$19)))</f>
        <v/>
      </c>
      <c r="D17" s="44">
        <f>IF(_calc!$E$19="","",IF(ISNUMBER(INDEX('Licences'!$I$4:$I$503,_calc!$E$19)),TEXT(INDEX('Licences'!$I$4:$I$503,_calc!$E$19),"yyyy-mm-dd"),""))</f>
        <v/>
      </c>
      <c r="E17" s="44">
        <f>IF(_calc!$E$19="","",IF(LEN(INDEX('Licences'!$H$4:$H$503,_calc!$E$19))=0,"",INDEX('Licences'!$H$4:$H$503,_calc!$E$19)))</f>
        <v/>
      </c>
      <c r="F17" s="44">
        <f>IF(_calc!$E$19="","",TRIM(IF(LEN(IF(LEN(INDEX('Licences'!$D$4:$D$503,_calc!$E$19))=0,"",INDEX('Licences'!$D$4:$D$503,_calc!$E$19)))=0,"","Ref: "&amp;IF(LEN(INDEX('Licences'!$D$4:$D$503,_calc!$E$19))=0,"",INDEX('Licences'!$D$4:$D$503,_calc!$E$19))&amp;". ")&amp;IF(LEN(IF(LEN(INDEX('Licences'!$C$4:$C$503,_calc!$E$19))=0,"",INDEX('Licences'!$C$4:$C$503,_calc!$E$19)))=0,"","Issuer: "&amp;IF(LEN(INDEX('Licences'!$C$4:$C$503,_calc!$E$19))=0,"",INDEX('Licences'!$C$4:$C$503,_calc!$E$19))&amp;". ")&amp;IF(LEN(IF(LEN(INDEX('Licences'!$E$4:$E$503,_calc!$E$19))=0,"",INDEX('Licences'!$E$4:$E$503,_calc!$E$19)))=0,"","Site: "&amp;IF(LEN(INDEX('Licences'!$E$4:$E$503,_calc!$E$19))=0,"",INDEX('Licences'!$E$4:$E$503,_calc!$E$19))&amp;". ")&amp;IF(LEN(IF(LEN(INDEX('Licences'!$F$4:$F$503,_calc!$E$19))=0,"",INDEX('Licences'!$F$4:$F$503,_calc!$E$19)))=0,"","Owner: "&amp;IF(LEN(INDEX('Licences'!$F$4:$F$503,_calc!$E$19))=0,"",INDEX('Licences'!$F$4:$F$503,_calc!$E$19))&amp;". ")&amp;IF(LEN(IF(LEN(INDEX('Licences'!$R$4:$R$503,_calc!$E$19))=0,"",INDEX('Licences'!$R$4:$R$503,_calc!$E$19)))=0,"",IF(LEN(INDEX('Licences'!$R$4:$R$503,_calc!$E$19))=0,"",INDEX('Licences'!$R$4:$R$503,_calc!$E$19)))))</f>
        <v/>
      </c>
      <c r="G17" s="44">
        <f>IF(_calc!$E$19="","",IF(LEN(INDEX('Licences'!$Q$4:$Q$503,_calc!$E$19))=0,"",INDEX('Licences'!$Q$4:$Q$503,_calc!$E$19)))</f>
        <v/>
      </c>
      <c r="H17" s="44">
        <f>IF(_calc!$E$19="","",IF(LEN(INDEX('Licences'!$O$4:$O$503,_calc!$E$19))=0,"",INDEX('Licences'!$O$4:$O$503,_calc!$E$19)))</f>
        <v/>
      </c>
      <c r="I17" s="44">
        <f>IF(_calc!$E$19="","",IF(LEN(INDEX('Licences'!$P$4:$P$503,_calc!$E$19))=0,"",INDEX('Licences'!$P$4:$P$503,_calc!$E$19)))</f>
        <v/>
      </c>
      <c r="K17" s="44">
        <f>IF(_calc!$E$19="","",IF(LEN(INDEX('Licences'!$G$4:$G$503,_calc!$E$19))=0,"",INDEX('Licences'!$G$4:$G$503,_calc!$E$19)))</f>
        <v/>
      </c>
    </row>
    <row r="18">
      <c r="A18" s="44">
        <f>IF(_calc!$E$20="","",IF(LEN(INDEX('Licences'!$A$4:$A$503,_calc!$E$20))=0,"",INDEX('Licences'!$A$4:$A$503,_calc!$E$20)))</f>
        <v/>
      </c>
      <c r="B18" s="44">
        <f>IF(_calc!$E$20="","",IF(ISNUMBER(INDEX('Licences'!$J$4:$J$503,_calc!$E$20)),TEXT(INDEX('Licences'!$J$4:$J$503,_calc!$E$20),"yyyy-mm-dd"),""))</f>
        <v/>
      </c>
      <c r="C18" s="44">
        <f>IF(_calc!$E$20="","",IF(LEN(INDEX('Licences'!$B$4:$B$503,_calc!$E$20))=0,"",INDEX('Licences'!$B$4:$B$503,_calc!$E$20)))</f>
        <v/>
      </c>
      <c r="D18" s="44">
        <f>IF(_calc!$E$20="","",IF(ISNUMBER(INDEX('Licences'!$I$4:$I$503,_calc!$E$20)),TEXT(INDEX('Licences'!$I$4:$I$503,_calc!$E$20),"yyyy-mm-dd"),""))</f>
        <v/>
      </c>
      <c r="E18" s="44">
        <f>IF(_calc!$E$20="","",IF(LEN(INDEX('Licences'!$H$4:$H$503,_calc!$E$20))=0,"",INDEX('Licences'!$H$4:$H$503,_calc!$E$20)))</f>
        <v/>
      </c>
      <c r="F18" s="44">
        <f>IF(_calc!$E$20="","",TRIM(IF(LEN(IF(LEN(INDEX('Licences'!$D$4:$D$503,_calc!$E$20))=0,"",INDEX('Licences'!$D$4:$D$503,_calc!$E$20)))=0,"","Ref: "&amp;IF(LEN(INDEX('Licences'!$D$4:$D$503,_calc!$E$20))=0,"",INDEX('Licences'!$D$4:$D$503,_calc!$E$20))&amp;". ")&amp;IF(LEN(IF(LEN(INDEX('Licences'!$C$4:$C$503,_calc!$E$20))=0,"",INDEX('Licences'!$C$4:$C$503,_calc!$E$20)))=0,"","Issuer: "&amp;IF(LEN(INDEX('Licences'!$C$4:$C$503,_calc!$E$20))=0,"",INDEX('Licences'!$C$4:$C$503,_calc!$E$20))&amp;". ")&amp;IF(LEN(IF(LEN(INDEX('Licences'!$E$4:$E$503,_calc!$E$20))=0,"",INDEX('Licences'!$E$4:$E$503,_calc!$E$20)))=0,"","Site: "&amp;IF(LEN(INDEX('Licences'!$E$4:$E$503,_calc!$E$20))=0,"",INDEX('Licences'!$E$4:$E$503,_calc!$E$20))&amp;". ")&amp;IF(LEN(IF(LEN(INDEX('Licences'!$F$4:$F$503,_calc!$E$20))=0,"",INDEX('Licences'!$F$4:$F$503,_calc!$E$20)))=0,"","Owner: "&amp;IF(LEN(INDEX('Licences'!$F$4:$F$503,_calc!$E$20))=0,"",INDEX('Licences'!$F$4:$F$503,_calc!$E$20))&amp;". ")&amp;IF(LEN(IF(LEN(INDEX('Licences'!$R$4:$R$503,_calc!$E$20))=0,"",INDEX('Licences'!$R$4:$R$503,_calc!$E$20)))=0,"",IF(LEN(INDEX('Licences'!$R$4:$R$503,_calc!$E$20))=0,"",INDEX('Licences'!$R$4:$R$503,_calc!$E$20)))))</f>
        <v/>
      </c>
      <c r="G18" s="44">
        <f>IF(_calc!$E$20="","",IF(LEN(INDEX('Licences'!$Q$4:$Q$503,_calc!$E$20))=0,"",INDEX('Licences'!$Q$4:$Q$503,_calc!$E$20)))</f>
        <v/>
      </c>
      <c r="H18" s="44">
        <f>IF(_calc!$E$20="","",IF(LEN(INDEX('Licences'!$O$4:$O$503,_calc!$E$20))=0,"",INDEX('Licences'!$O$4:$O$503,_calc!$E$20)))</f>
        <v/>
      </c>
      <c r="I18" s="44">
        <f>IF(_calc!$E$20="","",IF(LEN(INDEX('Licences'!$P$4:$P$503,_calc!$E$20))=0,"",INDEX('Licences'!$P$4:$P$503,_calc!$E$20)))</f>
        <v/>
      </c>
      <c r="K18" s="44">
        <f>IF(_calc!$E$20="","",IF(LEN(INDEX('Licences'!$G$4:$G$503,_calc!$E$20))=0,"",INDEX('Licences'!$G$4:$G$503,_calc!$E$20)))</f>
        <v/>
      </c>
    </row>
    <row r="19">
      <c r="A19" s="44">
        <f>IF(_calc!$E$21="","",IF(LEN(INDEX('Licences'!$A$4:$A$503,_calc!$E$21))=0,"",INDEX('Licences'!$A$4:$A$503,_calc!$E$21)))</f>
        <v/>
      </c>
      <c r="B19" s="44">
        <f>IF(_calc!$E$21="","",IF(ISNUMBER(INDEX('Licences'!$J$4:$J$503,_calc!$E$21)),TEXT(INDEX('Licences'!$J$4:$J$503,_calc!$E$21),"yyyy-mm-dd"),""))</f>
        <v/>
      </c>
      <c r="C19" s="44">
        <f>IF(_calc!$E$21="","",IF(LEN(INDEX('Licences'!$B$4:$B$503,_calc!$E$21))=0,"",INDEX('Licences'!$B$4:$B$503,_calc!$E$21)))</f>
        <v/>
      </c>
      <c r="D19" s="44">
        <f>IF(_calc!$E$21="","",IF(ISNUMBER(INDEX('Licences'!$I$4:$I$503,_calc!$E$21)),TEXT(INDEX('Licences'!$I$4:$I$503,_calc!$E$21),"yyyy-mm-dd"),""))</f>
        <v/>
      </c>
      <c r="E19" s="44">
        <f>IF(_calc!$E$21="","",IF(LEN(INDEX('Licences'!$H$4:$H$503,_calc!$E$21))=0,"",INDEX('Licences'!$H$4:$H$503,_calc!$E$21)))</f>
        <v/>
      </c>
      <c r="F19" s="44">
        <f>IF(_calc!$E$21="","",TRIM(IF(LEN(IF(LEN(INDEX('Licences'!$D$4:$D$503,_calc!$E$21))=0,"",INDEX('Licences'!$D$4:$D$503,_calc!$E$21)))=0,"","Ref: "&amp;IF(LEN(INDEX('Licences'!$D$4:$D$503,_calc!$E$21))=0,"",INDEX('Licences'!$D$4:$D$503,_calc!$E$21))&amp;". ")&amp;IF(LEN(IF(LEN(INDEX('Licences'!$C$4:$C$503,_calc!$E$21))=0,"",INDEX('Licences'!$C$4:$C$503,_calc!$E$21)))=0,"","Issuer: "&amp;IF(LEN(INDEX('Licences'!$C$4:$C$503,_calc!$E$21))=0,"",INDEX('Licences'!$C$4:$C$503,_calc!$E$21))&amp;". ")&amp;IF(LEN(IF(LEN(INDEX('Licences'!$E$4:$E$503,_calc!$E$21))=0,"",INDEX('Licences'!$E$4:$E$503,_calc!$E$21)))=0,"","Site: "&amp;IF(LEN(INDEX('Licences'!$E$4:$E$503,_calc!$E$21))=0,"",INDEX('Licences'!$E$4:$E$503,_calc!$E$21))&amp;". ")&amp;IF(LEN(IF(LEN(INDEX('Licences'!$F$4:$F$503,_calc!$E$21))=0,"",INDEX('Licences'!$F$4:$F$503,_calc!$E$21)))=0,"","Owner: "&amp;IF(LEN(INDEX('Licences'!$F$4:$F$503,_calc!$E$21))=0,"",INDEX('Licences'!$F$4:$F$503,_calc!$E$21))&amp;". ")&amp;IF(LEN(IF(LEN(INDEX('Licences'!$R$4:$R$503,_calc!$E$21))=0,"",INDEX('Licences'!$R$4:$R$503,_calc!$E$21)))=0,"",IF(LEN(INDEX('Licences'!$R$4:$R$503,_calc!$E$21))=0,"",INDEX('Licences'!$R$4:$R$503,_calc!$E$21)))))</f>
        <v/>
      </c>
      <c r="G19" s="44">
        <f>IF(_calc!$E$21="","",IF(LEN(INDEX('Licences'!$Q$4:$Q$503,_calc!$E$21))=0,"",INDEX('Licences'!$Q$4:$Q$503,_calc!$E$21)))</f>
        <v/>
      </c>
      <c r="H19" s="44">
        <f>IF(_calc!$E$21="","",IF(LEN(INDEX('Licences'!$O$4:$O$503,_calc!$E$21))=0,"",INDEX('Licences'!$O$4:$O$503,_calc!$E$21)))</f>
        <v/>
      </c>
      <c r="I19" s="44">
        <f>IF(_calc!$E$21="","",IF(LEN(INDEX('Licences'!$P$4:$P$503,_calc!$E$21))=0,"",INDEX('Licences'!$P$4:$P$503,_calc!$E$21)))</f>
        <v/>
      </c>
      <c r="K19" s="44">
        <f>IF(_calc!$E$21="","",IF(LEN(INDEX('Licences'!$G$4:$G$503,_calc!$E$21))=0,"",INDEX('Licences'!$G$4:$G$503,_calc!$E$21)))</f>
        <v/>
      </c>
    </row>
    <row r="20">
      <c r="A20" s="44">
        <f>IF(_calc!$E$22="","",IF(LEN(INDEX('Licences'!$A$4:$A$503,_calc!$E$22))=0,"",INDEX('Licences'!$A$4:$A$503,_calc!$E$22)))</f>
        <v/>
      </c>
      <c r="B20" s="44">
        <f>IF(_calc!$E$22="","",IF(ISNUMBER(INDEX('Licences'!$J$4:$J$503,_calc!$E$22)),TEXT(INDEX('Licences'!$J$4:$J$503,_calc!$E$22),"yyyy-mm-dd"),""))</f>
        <v/>
      </c>
      <c r="C20" s="44">
        <f>IF(_calc!$E$22="","",IF(LEN(INDEX('Licences'!$B$4:$B$503,_calc!$E$22))=0,"",INDEX('Licences'!$B$4:$B$503,_calc!$E$22)))</f>
        <v/>
      </c>
      <c r="D20" s="44">
        <f>IF(_calc!$E$22="","",IF(ISNUMBER(INDEX('Licences'!$I$4:$I$503,_calc!$E$22)),TEXT(INDEX('Licences'!$I$4:$I$503,_calc!$E$22),"yyyy-mm-dd"),""))</f>
        <v/>
      </c>
      <c r="E20" s="44">
        <f>IF(_calc!$E$22="","",IF(LEN(INDEX('Licences'!$H$4:$H$503,_calc!$E$22))=0,"",INDEX('Licences'!$H$4:$H$503,_calc!$E$22)))</f>
        <v/>
      </c>
      <c r="F20" s="44">
        <f>IF(_calc!$E$22="","",TRIM(IF(LEN(IF(LEN(INDEX('Licences'!$D$4:$D$503,_calc!$E$22))=0,"",INDEX('Licences'!$D$4:$D$503,_calc!$E$22)))=0,"","Ref: "&amp;IF(LEN(INDEX('Licences'!$D$4:$D$503,_calc!$E$22))=0,"",INDEX('Licences'!$D$4:$D$503,_calc!$E$22))&amp;". ")&amp;IF(LEN(IF(LEN(INDEX('Licences'!$C$4:$C$503,_calc!$E$22))=0,"",INDEX('Licences'!$C$4:$C$503,_calc!$E$22)))=0,"","Issuer: "&amp;IF(LEN(INDEX('Licences'!$C$4:$C$503,_calc!$E$22))=0,"",INDEX('Licences'!$C$4:$C$503,_calc!$E$22))&amp;". ")&amp;IF(LEN(IF(LEN(INDEX('Licences'!$E$4:$E$503,_calc!$E$22))=0,"",INDEX('Licences'!$E$4:$E$503,_calc!$E$22)))=0,"","Site: "&amp;IF(LEN(INDEX('Licences'!$E$4:$E$503,_calc!$E$22))=0,"",INDEX('Licences'!$E$4:$E$503,_calc!$E$22))&amp;". ")&amp;IF(LEN(IF(LEN(INDEX('Licences'!$F$4:$F$503,_calc!$E$22))=0,"",INDEX('Licences'!$F$4:$F$503,_calc!$E$22)))=0,"","Owner: "&amp;IF(LEN(INDEX('Licences'!$F$4:$F$503,_calc!$E$22))=0,"",INDEX('Licences'!$F$4:$F$503,_calc!$E$22))&amp;". ")&amp;IF(LEN(IF(LEN(INDEX('Licences'!$R$4:$R$503,_calc!$E$22))=0,"",INDEX('Licences'!$R$4:$R$503,_calc!$E$22)))=0,"",IF(LEN(INDEX('Licences'!$R$4:$R$503,_calc!$E$22))=0,"",INDEX('Licences'!$R$4:$R$503,_calc!$E$22)))))</f>
        <v/>
      </c>
      <c r="G20" s="44">
        <f>IF(_calc!$E$22="","",IF(LEN(INDEX('Licences'!$Q$4:$Q$503,_calc!$E$22))=0,"",INDEX('Licences'!$Q$4:$Q$503,_calc!$E$22)))</f>
        <v/>
      </c>
      <c r="H20" s="44">
        <f>IF(_calc!$E$22="","",IF(LEN(INDEX('Licences'!$O$4:$O$503,_calc!$E$22))=0,"",INDEX('Licences'!$O$4:$O$503,_calc!$E$22)))</f>
        <v/>
      </c>
      <c r="I20" s="44">
        <f>IF(_calc!$E$22="","",IF(LEN(INDEX('Licences'!$P$4:$P$503,_calc!$E$22))=0,"",INDEX('Licences'!$P$4:$P$503,_calc!$E$22)))</f>
        <v/>
      </c>
      <c r="K20" s="44">
        <f>IF(_calc!$E$22="","",IF(LEN(INDEX('Licences'!$G$4:$G$503,_calc!$E$22))=0,"",INDEX('Licences'!$G$4:$G$503,_calc!$E$22)))</f>
        <v/>
      </c>
    </row>
    <row r="21">
      <c r="A21" s="44">
        <f>IF(_calc!$E$23="","",IF(LEN(INDEX('Licences'!$A$4:$A$503,_calc!$E$23))=0,"",INDEX('Licences'!$A$4:$A$503,_calc!$E$23)))</f>
        <v/>
      </c>
      <c r="B21" s="44">
        <f>IF(_calc!$E$23="","",IF(ISNUMBER(INDEX('Licences'!$J$4:$J$503,_calc!$E$23)),TEXT(INDEX('Licences'!$J$4:$J$503,_calc!$E$23),"yyyy-mm-dd"),""))</f>
        <v/>
      </c>
      <c r="C21" s="44">
        <f>IF(_calc!$E$23="","",IF(LEN(INDEX('Licences'!$B$4:$B$503,_calc!$E$23))=0,"",INDEX('Licences'!$B$4:$B$503,_calc!$E$23)))</f>
        <v/>
      </c>
      <c r="D21" s="44">
        <f>IF(_calc!$E$23="","",IF(ISNUMBER(INDEX('Licences'!$I$4:$I$503,_calc!$E$23)),TEXT(INDEX('Licences'!$I$4:$I$503,_calc!$E$23),"yyyy-mm-dd"),""))</f>
        <v/>
      </c>
      <c r="E21" s="44">
        <f>IF(_calc!$E$23="","",IF(LEN(INDEX('Licences'!$H$4:$H$503,_calc!$E$23))=0,"",INDEX('Licences'!$H$4:$H$503,_calc!$E$23)))</f>
        <v/>
      </c>
      <c r="F21" s="44">
        <f>IF(_calc!$E$23="","",TRIM(IF(LEN(IF(LEN(INDEX('Licences'!$D$4:$D$503,_calc!$E$23))=0,"",INDEX('Licences'!$D$4:$D$503,_calc!$E$23)))=0,"","Ref: "&amp;IF(LEN(INDEX('Licences'!$D$4:$D$503,_calc!$E$23))=0,"",INDEX('Licences'!$D$4:$D$503,_calc!$E$23))&amp;". ")&amp;IF(LEN(IF(LEN(INDEX('Licences'!$C$4:$C$503,_calc!$E$23))=0,"",INDEX('Licences'!$C$4:$C$503,_calc!$E$23)))=0,"","Issuer: "&amp;IF(LEN(INDEX('Licences'!$C$4:$C$503,_calc!$E$23))=0,"",INDEX('Licences'!$C$4:$C$503,_calc!$E$23))&amp;". ")&amp;IF(LEN(IF(LEN(INDEX('Licences'!$E$4:$E$503,_calc!$E$23))=0,"",INDEX('Licences'!$E$4:$E$503,_calc!$E$23)))=0,"","Site: "&amp;IF(LEN(INDEX('Licences'!$E$4:$E$503,_calc!$E$23))=0,"",INDEX('Licences'!$E$4:$E$503,_calc!$E$23))&amp;". ")&amp;IF(LEN(IF(LEN(INDEX('Licences'!$F$4:$F$503,_calc!$E$23))=0,"",INDEX('Licences'!$F$4:$F$503,_calc!$E$23)))=0,"","Owner: "&amp;IF(LEN(INDEX('Licences'!$F$4:$F$503,_calc!$E$23))=0,"",INDEX('Licences'!$F$4:$F$503,_calc!$E$23))&amp;". ")&amp;IF(LEN(IF(LEN(INDEX('Licences'!$R$4:$R$503,_calc!$E$23))=0,"",INDEX('Licences'!$R$4:$R$503,_calc!$E$23)))=0,"",IF(LEN(INDEX('Licences'!$R$4:$R$503,_calc!$E$23))=0,"",INDEX('Licences'!$R$4:$R$503,_calc!$E$23)))))</f>
        <v/>
      </c>
      <c r="G21" s="44">
        <f>IF(_calc!$E$23="","",IF(LEN(INDEX('Licences'!$Q$4:$Q$503,_calc!$E$23))=0,"",INDEX('Licences'!$Q$4:$Q$503,_calc!$E$23)))</f>
        <v/>
      </c>
      <c r="H21" s="44">
        <f>IF(_calc!$E$23="","",IF(LEN(INDEX('Licences'!$O$4:$O$503,_calc!$E$23))=0,"",INDEX('Licences'!$O$4:$O$503,_calc!$E$23)))</f>
        <v/>
      </c>
      <c r="I21" s="44">
        <f>IF(_calc!$E$23="","",IF(LEN(INDEX('Licences'!$P$4:$P$503,_calc!$E$23))=0,"",INDEX('Licences'!$P$4:$P$503,_calc!$E$23)))</f>
        <v/>
      </c>
      <c r="K21" s="44">
        <f>IF(_calc!$E$23="","",IF(LEN(INDEX('Licences'!$G$4:$G$503,_calc!$E$23))=0,"",INDEX('Licences'!$G$4:$G$503,_calc!$E$23)))</f>
        <v/>
      </c>
    </row>
    <row r="22">
      <c r="A22" s="44">
        <f>IF(_calc!$E$24="","",IF(LEN(INDEX('Licences'!$A$4:$A$503,_calc!$E$24))=0,"",INDEX('Licences'!$A$4:$A$503,_calc!$E$24)))</f>
        <v/>
      </c>
      <c r="B22" s="44">
        <f>IF(_calc!$E$24="","",IF(ISNUMBER(INDEX('Licences'!$J$4:$J$503,_calc!$E$24)),TEXT(INDEX('Licences'!$J$4:$J$503,_calc!$E$24),"yyyy-mm-dd"),""))</f>
        <v/>
      </c>
      <c r="C22" s="44">
        <f>IF(_calc!$E$24="","",IF(LEN(INDEX('Licences'!$B$4:$B$503,_calc!$E$24))=0,"",INDEX('Licences'!$B$4:$B$503,_calc!$E$24)))</f>
        <v/>
      </c>
      <c r="D22" s="44">
        <f>IF(_calc!$E$24="","",IF(ISNUMBER(INDEX('Licences'!$I$4:$I$503,_calc!$E$24)),TEXT(INDEX('Licences'!$I$4:$I$503,_calc!$E$24),"yyyy-mm-dd"),""))</f>
        <v/>
      </c>
      <c r="E22" s="44">
        <f>IF(_calc!$E$24="","",IF(LEN(INDEX('Licences'!$H$4:$H$503,_calc!$E$24))=0,"",INDEX('Licences'!$H$4:$H$503,_calc!$E$24)))</f>
        <v/>
      </c>
      <c r="F22" s="44">
        <f>IF(_calc!$E$24="","",TRIM(IF(LEN(IF(LEN(INDEX('Licences'!$D$4:$D$503,_calc!$E$24))=0,"",INDEX('Licences'!$D$4:$D$503,_calc!$E$24)))=0,"","Ref: "&amp;IF(LEN(INDEX('Licences'!$D$4:$D$503,_calc!$E$24))=0,"",INDEX('Licences'!$D$4:$D$503,_calc!$E$24))&amp;". ")&amp;IF(LEN(IF(LEN(INDEX('Licences'!$C$4:$C$503,_calc!$E$24))=0,"",INDEX('Licences'!$C$4:$C$503,_calc!$E$24)))=0,"","Issuer: "&amp;IF(LEN(INDEX('Licences'!$C$4:$C$503,_calc!$E$24))=0,"",INDEX('Licences'!$C$4:$C$503,_calc!$E$24))&amp;". ")&amp;IF(LEN(IF(LEN(INDEX('Licences'!$E$4:$E$503,_calc!$E$24))=0,"",INDEX('Licences'!$E$4:$E$503,_calc!$E$24)))=0,"","Site: "&amp;IF(LEN(INDEX('Licences'!$E$4:$E$503,_calc!$E$24))=0,"",INDEX('Licences'!$E$4:$E$503,_calc!$E$24))&amp;". ")&amp;IF(LEN(IF(LEN(INDEX('Licences'!$F$4:$F$503,_calc!$E$24))=0,"",INDEX('Licences'!$F$4:$F$503,_calc!$E$24)))=0,"","Owner: "&amp;IF(LEN(INDEX('Licences'!$F$4:$F$503,_calc!$E$24))=0,"",INDEX('Licences'!$F$4:$F$503,_calc!$E$24))&amp;". ")&amp;IF(LEN(IF(LEN(INDEX('Licences'!$R$4:$R$503,_calc!$E$24))=0,"",INDEX('Licences'!$R$4:$R$503,_calc!$E$24)))=0,"",IF(LEN(INDEX('Licences'!$R$4:$R$503,_calc!$E$24))=0,"",INDEX('Licences'!$R$4:$R$503,_calc!$E$24)))))</f>
        <v/>
      </c>
      <c r="G22" s="44">
        <f>IF(_calc!$E$24="","",IF(LEN(INDEX('Licences'!$Q$4:$Q$503,_calc!$E$24))=0,"",INDEX('Licences'!$Q$4:$Q$503,_calc!$E$24)))</f>
        <v/>
      </c>
      <c r="H22" s="44">
        <f>IF(_calc!$E$24="","",IF(LEN(INDEX('Licences'!$O$4:$O$503,_calc!$E$24))=0,"",INDEX('Licences'!$O$4:$O$503,_calc!$E$24)))</f>
        <v/>
      </c>
      <c r="I22" s="44">
        <f>IF(_calc!$E$24="","",IF(LEN(INDEX('Licences'!$P$4:$P$503,_calc!$E$24))=0,"",INDEX('Licences'!$P$4:$P$503,_calc!$E$24)))</f>
        <v/>
      </c>
      <c r="K22" s="44">
        <f>IF(_calc!$E$24="","",IF(LEN(INDEX('Licences'!$G$4:$G$503,_calc!$E$24))=0,"",INDEX('Licences'!$G$4:$G$503,_calc!$E$24)))</f>
        <v/>
      </c>
    </row>
    <row r="23">
      <c r="A23" s="44">
        <f>IF(_calc!$E$25="","",IF(LEN(INDEX('Licences'!$A$4:$A$503,_calc!$E$25))=0,"",INDEX('Licences'!$A$4:$A$503,_calc!$E$25)))</f>
        <v/>
      </c>
      <c r="B23" s="44">
        <f>IF(_calc!$E$25="","",IF(ISNUMBER(INDEX('Licences'!$J$4:$J$503,_calc!$E$25)),TEXT(INDEX('Licences'!$J$4:$J$503,_calc!$E$25),"yyyy-mm-dd"),""))</f>
        <v/>
      </c>
      <c r="C23" s="44">
        <f>IF(_calc!$E$25="","",IF(LEN(INDEX('Licences'!$B$4:$B$503,_calc!$E$25))=0,"",INDEX('Licences'!$B$4:$B$503,_calc!$E$25)))</f>
        <v/>
      </c>
      <c r="D23" s="44">
        <f>IF(_calc!$E$25="","",IF(ISNUMBER(INDEX('Licences'!$I$4:$I$503,_calc!$E$25)),TEXT(INDEX('Licences'!$I$4:$I$503,_calc!$E$25),"yyyy-mm-dd"),""))</f>
        <v/>
      </c>
      <c r="E23" s="44">
        <f>IF(_calc!$E$25="","",IF(LEN(INDEX('Licences'!$H$4:$H$503,_calc!$E$25))=0,"",INDEX('Licences'!$H$4:$H$503,_calc!$E$25)))</f>
        <v/>
      </c>
      <c r="F23" s="44">
        <f>IF(_calc!$E$25="","",TRIM(IF(LEN(IF(LEN(INDEX('Licences'!$D$4:$D$503,_calc!$E$25))=0,"",INDEX('Licences'!$D$4:$D$503,_calc!$E$25)))=0,"","Ref: "&amp;IF(LEN(INDEX('Licences'!$D$4:$D$503,_calc!$E$25))=0,"",INDEX('Licences'!$D$4:$D$503,_calc!$E$25))&amp;". ")&amp;IF(LEN(IF(LEN(INDEX('Licences'!$C$4:$C$503,_calc!$E$25))=0,"",INDEX('Licences'!$C$4:$C$503,_calc!$E$25)))=0,"","Issuer: "&amp;IF(LEN(INDEX('Licences'!$C$4:$C$503,_calc!$E$25))=0,"",INDEX('Licences'!$C$4:$C$503,_calc!$E$25))&amp;". ")&amp;IF(LEN(IF(LEN(INDEX('Licences'!$E$4:$E$503,_calc!$E$25))=0,"",INDEX('Licences'!$E$4:$E$503,_calc!$E$25)))=0,"","Site: "&amp;IF(LEN(INDEX('Licences'!$E$4:$E$503,_calc!$E$25))=0,"",INDEX('Licences'!$E$4:$E$503,_calc!$E$25))&amp;". ")&amp;IF(LEN(IF(LEN(INDEX('Licences'!$F$4:$F$503,_calc!$E$25))=0,"",INDEX('Licences'!$F$4:$F$503,_calc!$E$25)))=0,"","Owner: "&amp;IF(LEN(INDEX('Licences'!$F$4:$F$503,_calc!$E$25))=0,"",INDEX('Licences'!$F$4:$F$503,_calc!$E$25))&amp;". ")&amp;IF(LEN(IF(LEN(INDEX('Licences'!$R$4:$R$503,_calc!$E$25))=0,"",INDEX('Licences'!$R$4:$R$503,_calc!$E$25)))=0,"",IF(LEN(INDEX('Licences'!$R$4:$R$503,_calc!$E$25))=0,"",INDEX('Licences'!$R$4:$R$503,_calc!$E$25)))))</f>
        <v/>
      </c>
      <c r="G23" s="44">
        <f>IF(_calc!$E$25="","",IF(LEN(INDEX('Licences'!$Q$4:$Q$503,_calc!$E$25))=0,"",INDEX('Licences'!$Q$4:$Q$503,_calc!$E$25)))</f>
        <v/>
      </c>
      <c r="H23" s="44">
        <f>IF(_calc!$E$25="","",IF(LEN(INDEX('Licences'!$O$4:$O$503,_calc!$E$25))=0,"",INDEX('Licences'!$O$4:$O$503,_calc!$E$25)))</f>
        <v/>
      </c>
      <c r="I23" s="44">
        <f>IF(_calc!$E$25="","",IF(LEN(INDEX('Licences'!$P$4:$P$503,_calc!$E$25))=0,"",INDEX('Licences'!$P$4:$P$503,_calc!$E$25)))</f>
        <v/>
      </c>
      <c r="K23" s="44">
        <f>IF(_calc!$E$25="","",IF(LEN(INDEX('Licences'!$G$4:$G$503,_calc!$E$25))=0,"",INDEX('Licences'!$G$4:$G$503,_calc!$E$25)))</f>
        <v/>
      </c>
    </row>
    <row r="24">
      <c r="A24" s="44">
        <f>IF(_calc!$E$26="","",IF(LEN(INDEX('Licences'!$A$4:$A$503,_calc!$E$26))=0,"",INDEX('Licences'!$A$4:$A$503,_calc!$E$26)))</f>
        <v/>
      </c>
      <c r="B24" s="44">
        <f>IF(_calc!$E$26="","",IF(ISNUMBER(INDEX('Licences'!$J$4:$J$503,_calc!$E$26)),TEXT(INDEX('Licences'!$J$4:$J$503,_calc!$E$26),"yyyy-mm-dd"),""))</f>
        <v/>
      </c>
      <c r="C24" s="44">
        <f>IF(_calc!$E$26="","",IF(LEN(INDEX('Licences'!$B$4:$B$503,_calc!$E$26))=0,"",INDEX('Licences'!$B$4:$B$503,_calc!$E$26)))</f>
        <v/>
      </c>
      <c r="D24" s="44">
        <f>IF(_calc!$E$26="","",IF(ISNUMBER(INDEX('Licences'!$I$4:$I$503,_calc!$E$26)),TEXT(INDEX('Licences'!$I$4:$I$503,_calc!$E$26),"yyyy-mm-dd"),""))</f>
        <v/>
      </c>
      <c r="E24" s="44">
        <f>IF(_calc!$E$26="","",IF(LEN(INDEX('Licences'!$H$4:$H$503,_calc!$E$26))=0,"",INDEX('Licences'!$H$4:$H$503,_calc!$E$26)))</f>
        <v/>
      </c>
      <c r="F24" s="44">
        <f>IF(_calc!$E$26="","",TRIM(IF(LEN(IF(LEN(INDEX('Licences'!$D$4:$D$503,_calc!$E$26))=0,"",INDEX('Licences'!$D$4:$D$503,_calc!$E$26)))=0,"","Ref: "&amp;IF(LEN(INDEX('Licences'!$D$4:$D$503,_calc!$E$26))=0,"",INDEX('Licences'!$D$4:$D$503,_calc!$E$26))&amp;". ")&amp;IF(LEN(IF(LEN(INDEX('Licences'!$C$4:$C$503,_calc!$E$26))=0,"",INDEX('Licences'!$C$4:$C$503,_calc!$E$26)))=0,"","Issuer: "&amp;IF(LEN(INDEX('Licences'!$C$4:$C$503,_calc!$E$26))=0,"",INDEX('Licences'!$C$4:$C$503,_calc!$E$26))&amp;". ")&amp;IF(LEN(IF(LEN(INDEX('Licences'!$E$4:$E$503,_calc!$E$26))=0,"",INDEX('Licences'!$E$4:$E$503,_calc!$E$26)))=0,"","Site: "&amp;IF(LEN(INDEX('Licences'!$E$4:$E$503,_calc!$E$26))=0,"",INDEX('Licences'!$E$4:$E$503,_calc!$E$26))&amp;". ")&amp;IF(LEN(IF(LEN(INDEX('Licences'!$F$4:$F$503,_calc!$E$26))=0,"",INDEX('Licences'!$F$4:$F$503,_calc!$E$26)))=0,"","Owner: "&amp;IF(LEN(INDEX('Licences'!$F$4:$F$503,_calc!$E$26))=0,"",INDEX('Licences'!$F$4:$F$503,_calc!$E$26))&amp;". ")&amp;IF(LEN(IF(LEN(INDEX('Licences'!$R$4:$R$503,_calc!$E$26))=0,"",INDEX('Licences'!$R$4:$R$503,_calc!$E$26)))=0,"",IF(LEN(INDEX('Licences'!$R$4:$R$503,_calc!$E$26))=0,"",INDEX('Licences'!$R$4:$R$503,_calc!$E$26)))))</f>
        <v/>
      </c>
      <c r="G24" s="44">
        <f>IF(_calc!$E$26="","",IF(LEN(INDEX('Licences'!$Q$4:$Q$503,_calc!$E$26))=0,"",INDEX('Licences'!$Q$4:$Q$503,_calc!$E$26)))</f>
        <v/>
      </c>
      <c r="H24" s="44">
        <f>IF(_calc!$E$26="","",IF(LEN(INDEX('Licences'!$O$4:$O$503,_calc!$E$26))=0,"",INDEX('Licences'!$O$4:$O$503,_calc!$E$26)))</f>
        <v/>
      </c>
      <c r="I24" s="44">
        <f>IF(_calc!$E$26="","",IF(LEN(INDEX('Licences'!$P$4:$P$503,_calc!$E$26))=0,"",INDEX('Licences'!$P$4:$P$503,_calc!$E$26)))</f>
        <v/>
      </c>
      <c r="K24" s="44">
        <f>IF(_calc!$E$26="","",IF(LEN(INDEX('Licences'!$G$4:$G$503,_calc!$E$26))=0,"",INDEX('Licences'!$G$4:$G$503,_calc!$E$26)))</f>
        <v/>
      </c>
    </row>
    <row r="25">
      <c r="A25" s="44">
        <f>IF(_calc!$E$27="","",IF(LEN(INDEX('Licences'!$A$4:$A$503,_calc!$E$27))=0,"",INDEX('Licences'!$A$4:$A$503,_calc!$E$27)))</f>
        <v/>
      </c>
      <c r="B25" s="44">
        <f>IF(_calc!$E$27="","",IF(ISNUMBER(INDEX('Licences'!$J$4:$J$503,_calc!$E$27)),TEXT(INDEX('Licences'!$J$4:$J$503,_calc!$E$27),"yyyy-mm-dd"),""))</f>
        <v/>
      </c>
      <c r="C25" s="44">
        <f>IF(_calc!$E$27="","",IF(LEN(INDEX('Licences'!$B$4:$B$503,_calc!$E$27))=0,"",INDEX('Licences'!$B$4:$B$503,_calc!$E$27)))</f>
        <v/>
      </c>
      <c r="D25" s="44">
        <f>IF(_calc!$E$27="","",IF(ISNUMBER(INDEX('Licences'!$I$4:$I$503,_calc!$E$27)),TEXT(INDEX('Licences'!$I$4:$I$503,_calc!$E$27),"yyyy-mm-dd"),""))</f>
        <v/>
      </c>
      <c r="E25" s="44">
        <f>IF(_calc!$E$27="","",IF(LEN(INDEX('Licences'!$H$4:$H$503,_calc!$E$27))=0,"",INDEX('Licences'!$H$4:$H$503,_calc!$E$27)))</f>
        <v/>
      </c>
      <c r="F25" s="44">
        <f>IF(_calc!$E$27="","",TRIM(IF(LEN(IF(LEN(INDEX('Licences'!$D$4:$D$503,_calc!$E$27))=0,"",INDEX('Licences'!$D$4:$D$503,_calc!$E$27)))=0,"","Ref: "&amp;IF(LEN(INDEX('Licences'!$D$4:$D$503,_calc!$E$27))=0,"",INDEX('Licences'!$D$4:$D$503,_calc!$E$27))&amp;". ")&amp;IF(LEN(IF(LEN(INDEX('Licences'!$C$4:$C$503,_calc!$E$27))=0,"",INDEX('Licences'!$C$4:$C$503,_calc!$E$27)))=0,"","Issuer: "&amp;IF(LEN(INDEX('Licences'!$C$4:$C$503,_calc!$E$27))=0,"",INDEX('Licences'!$C$4:$C$503,_calc!$E$27))&amp;". ")&amp;IF(LEN(IF(LEN(INDEX('Licences'!$E$4:$E$503,_calc!$E$27))=0,"",INDEX('Licences'!$E$4:$E$503,_calc!$E$27)))=0,"","Site: "&amp;IF(LEN(INDEX('Licences'!$E$4:$E$503,_calc!$E$27))=0,"",INDEX('Licences'!$E$4:$E$503,_calc!$E$27))&amp;". ")&amp;IF(LEN(IF(LEN(INDEX('Licences'!$F$4:$F$503,_calc!$E$27))=0,"",INDEX('Licences'!$F$4:$F$503,_calc!$E$27)))=0,"","Owner: "&amp;IF(LEN(INDEX('Licences'!$F$4:$F$503,_calc!$E$27))=0,"",INDEX('Licences'!$F$4:$F$503,_calc!$E$27))&amp;". ")&amp;IF(LEN(IF(LEN(INDEX('Licences'!$R$4:$R$503,_calc!$E$27))=0,"",INDEX('Licences'!$R$4:$R$503,_calc!$E$27)))=0,"",IF(LEN(INDEX('Licences'!$R$4:$R$503,_calc!$E$27))=0,"",INDEX('Licences'!$R$4:$R$503,_calc!$E$27)))))</f>
        <v/>
      </c>
      <c r="G25" s="44">
        <f>IF(_calc!$E$27="","",IF(LEN(INDEX('Licences'!$Q$4:$Q$503,_calc!$E$27))=0,"",INDEX('Licences'!$Q$4:$Q$503,_calc!$E$27)))</f>
        <v/>
      </c>
      <c r="H25" s="44">
        <f>IF(_calc!$E$27="","",IF(LEN(INDEX('Licences'!$O$4:$O$503,_calc!$E$27))=0,"",INDEX('Licences'!$O$4:$O$503,_calc!$E$27)))</f>
        <v/>
      </c>
      <c r="I25" s="44">
        <f>IF(_calc!$E$27="","",IF(LEN(INDEX('Licences'!$P$4:$P$503,_calc!$E$27))=0,"",INDEX('Licences'!$P$4:$P$503,_calc!$E$27)))</f>
        <v/>
      </c>
      <c r="K25" s="44">
        <f>IF(_calc!$E$27="","",IF(LEN(INDEX('Licences'!$G$4:$G$503,_calc!$E$27))=0,"",INDEX('Licences'!$G$4:$G$503,_calc!$E$27)))</f>
        <v/>
      </c>
    </row>
    <row r="26">
      <c r="A26" s="44">
        <f>IF(_calc!$E$28="","",IF(LEN(INDEX('Licences'!$A$4:$A$503,_calc!$E$28))=0,"",INDEX('Licences'!$A$4:$A$503,_calc!$E$28)))</f>
        <v/>
      </c>
      <c r="B26" s="44">
        <f>IF(_calc!$E$28="","",IF(ISNUMBER(INDEX('Licences'!$J$4:$J$503,_calc!$E$28)),TEXT(INDEX('Licences'!$J$4:$J$503,_calc!$E$28),"yyyy-mm-dd"),""))</f>
        <v/>
      </c>
      <c r="C26" s="44">
        <f>IF(_calc!$E$28="","",IF(LEN(INDEX('Licences'!$B$4:$B$503,_calc!$E$28))=0,"",INDEX('Licences'!$B$4:$B$503,_calc!$E$28)))</f>
        <v/>
      </c>
      <c r="D26" s="44">
        <f>IF(_calc!$E$28="","",IF(ISNUMBER(INDEX('Licences'!$I$4:$I$503,_calc!$E$28)),TEXT(INDEX('Licences'!$I$4:$I$503,_calc!$E$28),"yyyy-mm-dd"),""))</f>
        <v/>
      </c>
      <c r="E26" s="44">
        <f>IF(_calc!$E$28="","",IF(LEN(INDEX('Licences'!$H$4:$H$503,_calc!$E$28))=0,"",INDEX('Licences'!$H$4:$H$503,_calc!$E$28)))</f>
        <v/>
      </c>
      <c r="F26" s="44">
        <f>IF(_calc!$E$28="","",TRIM(IF(LEN(IF(LEN(INDEX('Licences'!$D$4:$D$503,_calc!$E$28))=0,"",INDEX('Licences'!$D$4:$D$503,_calc!$E$28)))=0,"","Ref: "&amp;IF(LEN(INDEX('Licences'!$D$4:$D$503,_calc!$E$28))=0,"",INDEX('Licences'!$D$4:$D$503,_calc!$E$28))&amp;". ")&amp;IF(LEN(IF(LEN(INDEX('Licences'!$C$4:$C$503,_calc!$E$28))=0,"",INDEX('Licences'!$C$4:$C$503,_calc!$E$28)))=0,"","Issuer: "&amp;IF(LEN(INDEX('Licences'!$C$4:$C$503,_calc!$E$28))=0,"",INDEX('Licences'!$C$4:$C$503,_calc!$E$28))&amp;". ")&amp;IF(LEN(IF(LEN(INDEX('Licences'!$E$4:$E$503,_calc!$E$28))=0,"",INDEX('Licences'!$E$4:$E$503,_calc!$E$28)))=0,"","Site: "&amp;IF(LEN(INDEX('Licences'!$E$4:$E$503,_calc!$E$28))=0,"",INDEX('Licences'!$E$4:$E$503,_calc!$E$28))&amp;". ")&amp;IF(LEN(IF(LEN(INDEX('Licences'!$F$4:$F$503,_calc!$E$28))=0,"",INDEX('Licences'!$F$4:$F$503,_calc!$E$28)))=0,"","Owner: "&amp;IF(LEN(INDEX('Licences'!$F$4:$F$503,_calc!$E$28))=0,"",INDEX('Licences'!$F$4:$F$503,_calc!$E$28))&amp;". ")&amp;IF(LEN(IF(LEN(INDEX('Licences'!$R$4:$R$503,_calc!$E$28))=0,"",INDEX('Licences'!$R$4:$R$503,_calc!$E$28)))=0,"",IF(LEN(INDEX('Licences'!$R$4:$R$503,_calc!$E$28))=0,"",INDEX('Licences'!$R$4:$R$503,_calc!$E$28)))))</f>
        <v/>
      </c>
      <c r="G26" s="44">
        <f>IF(_calc!$E$28="","",IF(LEN(INDEX('Licences'!$Q$4:$Q$503,_calc!$E$28))=0,"",INDEX('Licences'!$Q$4:$Q$503,_calc!$E$28)))</f>
        <v/>
      </c>
      <c r="H26" s="44">
        <f>IF(_calc!$E$28="","",IF(LEN(INDEX('Licences'!$O$4:$O$503,_calc!$E$28))=0,"",INDEX('Licences'!$O$4:$O$503,_calc!$E$28)))</f>
        <v/>
      </c>
      <c r="I26" s="44">
        <f>IF(_calc!$E$28="","",IF(LEN(INDEX('Licences'!$P$4:$P$503,_calc!$E$28))=0,"",INDEX('Licences'!$P$4:$P$503,_calc!$E$28)))</f>
        <v/>
      </c>
      <c r="K26" s="44">
        <f>IF(_calc!$E$28="","",IF(LEN(INDEX('Licences'!$G$4:$G$503,_calc!$E$28))=0,"",INDEX('Licences'!$G$4:$G$503,_calc!$E$28)))</f>
        <v/>
      </c>
    </row>
    <row r="27">
      <c r="A27" s="44">
        <f>IF(_calc!$E$29="","",IF(LEN(INDEX('Licences'!$A$4:$A$503,_calc!$E$29))=0,"",INDEX('Licences'!$A$4:$A$503,_calc!$E$29)))</f>
        <v/>
      </c>
      <c r="B27" s="44">
        <f>IF(_calc!$E$29="","",IF(ISNUMBER(INDEX('Licences'!$J$4:$J$503,_calc!$E$29)),TEXT(INDEX('Licences'!$J$4:$J$503,_calc!$E$29),"yyyy-mm-dd"),""))</f>
        <v/>
      </c>
      <c r="C27" s="44">
        <f>IF(_calc!$E$29="","",IF(LEN(INDEX('Licences'!$B$4:$B$503,_calc!$E$29))=0,"",INDEX('Licences'!$B$4:$B$503,_calc!$E$29)))</f>
        <v/>
      </c>
      <c r="D27" s="44">
        <f>IF(_calc!$E$29="","",IF(ISNUMBER(INDEX('Licences'!$I$4:$I$503,_calc!$E$29)),TEXT(INDEX('Licences'!$I$4:$I$503,_calc!$E$29),"yyyy-mm-dd"),""))</f>
        <v/>
      </c>
      <c r="E27" s="44">
        <f>IF(_calc!$E$29="","",IF(LEN(INDEX('Licences'!$H$4:$H$503,_calc!$E$29))=0,"",INDEX('Licences'!$H$4:$H$503,_calc!$E$29)))</f>
        <v/>
      </c>
      <c r="F27" s="44">
        <f>IF(_calc!$E$29="","",TRIM(IF(LEN(IF(LEN(INDEX('Licences'!$D$4:$D$503,_calc!$E$29))=0,"",INDEX('Licences'!$D$4:$D$503,_calc!$E$29)))=0,"","Ref: "&amp;IF(LEN(INDEX('Licences'!$D$4:$D$503,_calc!$E$29))=0,"",INDEX('Licences'!$D$4:$D$503,_calc!$E$29))&amp;". ")&amp;IF(LEN(IF(LEN(INDEX('Licences'!$C$4:$C$503,_calc!$E$29))=0,"",INDEX('Licences'!$C$4:$C$503,_calc!$E$29)))=0,"","Issuer: "&amp;IF(LEN(INDEX('Licences'!$C$4:$C$503,_calc!$E$29))=0,"",INDEX('Licences'!$C$4:$C$503,_calc!$E$29))&amp;". ")&amp;IF(LEN(IF(LEN(INDEX('Licences'!$E$4:$E$503,_calc!$E$29))=0,"",INDEX('Licences'!$E$4:$E$503,_calc!$E$29)))=0,"","Site: "&amp;IF(LEN(INDEX('Licences'!$E$4:$E$503,_calc!$E$29))=0,"",INDEX('Licences'!$E$4:$E$503,_calc!$E$29))&amp;". ")&amp;IF(LEN(IF(LEN(INDEX('Licences'!$F$4:$F$503,_calc!$E$29))=0,"",INDEX('Licences'!$F$4:$F$503,_calc!$E$29)))=0,"","Owner: "&amp;IF(LEN(INDEX('Licences'!$F$4:$F$503,_calc!$E$29))=0,"",INDEX('Licences'!$F$4:$F$503,_calc!$E$29))&amp;". ")&amp;IF(LEN(IF(LEN(INDEX('Licences'!$R$4:$R$503,_calc!$E$29))=0,"",INDEX('Licences'!$R$4:$R$503,_calc!$E$29)))=0,"",IF(LEN(INDEX('Licences'!$R$4:$R$503,_calc!$E$29))=0,"",INDEX('Licences'!$R$4:$R$503,_calc!$E$29)))))</f>
        <v/>
      </c>
      <c r="G27" s="44">
        <f>IF(_calc!$E$29="","",IF(LEN(INDEX('Licences'!$Q$4:$Q$503,_calc!$E$29))=0,"",INDEX('Licences'!$Q$4:$Q$503,_calc!$E$29)))</f>
        <v/>
      </c>
      <c r="H27" s="44">
        <f>IF(_calc!$E$29="","",IF(LEN(INDEX('Licences'!$O$4:$O$503,_calc!$E$29))=0,"",INDEX('Licences'!$O$4:$O$503,_calc!$E$29)))</f>
        <v/>
      </c>
      <c r="I27" s="44">
        <f>IF(_calc!$E$29="","",IF(LEN(INDEX('Licences'!$P$4:$P$503,_calc!$E$29))=0,"",INDEX('Licences'!$P$4:$P$503,_calc!$E$29)))</f>
        <v/>
      </c>
      <c r="K27" s="44">
        <f>IF(_calc!$E$29="","",IF(LEN(INDEX('Licences'!$G$4:$G$503,_calc!$E$29))=0,"",INDEX('Licences'!$G$4:$G$503,_calc!$E$29)))</f>
        <v/>
      </c>
    </row>
    <row r="28">
      <c r="A28" s="44">
        <f>IF(_calc!$E$30="","",IF(LEN(INDEX('Licences'!$A$4:$A$503,_calc!$E$30))=0,"",INDEX('Licences'!$A$4:$A$503,_calc!$E$30)))</f>
        <v/>
      </c>
      <c r="B28" s="44">
        <f>IF(_calc!$E$30="","",IF(ISNUMBER(INDEX('Licences'!$J$4:$J$503,_calc!$E$30)),TEXT(INDEX('Licences'!$J$4:$J$503,_calc!$E$30),"yyyy-mm-dd"),""))</f>
        <v/>
      </c>
      <c r="C28" s="44">
        <f>IF(_calc!$E$30="","",IF(LEN(INDEX('Licences'!$B$4:$B$503,_calc!$E$30))=0,"",INDEX('Licences'!$B$4:$B$503,_calc!$E$30)))</f>
        <v/>
      </c>
      <c r="D28" s="44">
        <f>IF(_calc!$E$30="","",IF(ISNUMBER(INDEX('Licences'!$I$4:$I$503,_calc!$E$30)),TEXT(INDEX('Licences'!$I$4:$I$503,_calc!$E$30),"yyyy-mm-dd"),""))</f>
        <v/>
      </c>
      <c r="E28" s="44">
        <f>IF(_calc!$E$30="","",IF(LEN(INDEX('Licences'!$H$4:$H$503,_calc!$E$30))=0,"",INDEX('Licences'!$H$4:$H$503,_calc!$E$30)))</f>
        <v/>
      </c>
      <c r="F28" s="44">
        <f>IF(_calc!$E$30="","",TRIM(IF(LEN(IF(LEN(INDEX('Licences'!$D$4:$D$503,_calc!$E$30))=0,"",INDEX('Licences'!$D$4:$D$503,_calc!$E$30)))=0,"","Ref: "&amp;IF(LEN(INDEX('Licences'!$D$4:$D$503,_calc!$E$30))=0,"",INDEX('Licences'!$D$4:$D$503,_calc!$E$30))&amp;". ")&amp;IF(LEN(IF(LEN(INDEX('Licences'!$C$4:$C$503,_calc!$E$30))=0,"",INDEX('Licences'!$C$4:$C$503,_calc!$E$30)))=0,"","Issuer: "&amp;IF(LEN(INDEX('Licences'!$C$4:$C$503,_calc!$E$30))=0,"",INDEX('Licences'!$C$4:$C$503,_calc!$E$30))&amp;". ")&amp;IF(LEN(IF(LEN(INDEX('Licences'!$E$4:$E$503,_calc!$E$30))=0,"",INDEX('Licences'!$E$4:$E$503,_calc!$E$30)))=0,"","Site: "&amp;IF(LEN(INDEX('Licences'!$E$4:$E$503,_calc!$E$30))=0,"",INDEX('Licences'!$E$4:$E$503,_calc!$E$30))&amp;". ")&amp;IF(LEN(IF(LEN(INDEX('Licences'!$F$4:$F$503,_calc!$E$30))=0,"",INDEX('Licences'!$F$4:$F$503,_calc!$E$30)))=0,"","Owner: "&amp;IF(LEN(INDEX('Licences'!$F$4:$F$503,_calc!$E$30))=0,"",INDEX('Licences'!$F$4:$F$503,_calc!$E$30))&amp;". ")&amp;IF(LEN(IF(LEN(INDEX('Licences'!$R$4:$R$503,_calc!$E$30))=0,"",INDEX('Licences'!$R$4:$R$503,_calc!$E$30)))=0,"",IF(LEN(INDEX('Licences'!$R$4:$R$503,_calc!$E$30))=0,"",INDEX('Licences'!$R$4:$R$503,_calc!$E$30)))))</f>
        <v/>
      </c>
      <c r="G28" s="44">
        <f>IF(_calc!$E$30="","",IF(LEN(INDEX('Licences'!$Q$4:$Q$503,_calc!$E$30))=0,"",INDEX('Licences'!$Q$4:$Q$503,_calc!$E$30)))</f>
        <v/>
      </c>
      <c r="H28" s="44">
        <f>IF(_calc!$E$30="","",IF(LEN(INDEX('Licences'!$O$4:$O$503,_calc!$E$30))=0,"",INDEX('Licences'!$O$4:$O$503,_calc!$E$30)))</f>
        <v/>
      </c>
      <c r="I28" s="44">
        <f>IF(_calc!$E$30="","",IF(LEN(INDEX('Licences'!$P$4:$P$503,_calc!$E$30))=0,"",INDEX('Licences'!$P$4:$P$503,_calc!$E$30)))</f>
        <v/>
      </c>
      <c r="K28" s="44">
        <f>IF(_calc!$E$30="","",IF(LEN(INDEX('Licences'!$G$4:$G$503,_calc!$E$30))=0,"",INDEX('Licences'!$G$4:$G$503,_calc!$E$30)))</f>
        <v/>
      </c>
    </row>
    <row r="29">
      <c r="A29" s="44">
        <f>IF(_calc!$E$31="","",IF(LEN(INDEX('Licences'!$A$4:$A$503,_calc!$E$31))=0,"",INDEX('Licences'!$A$4:$A$503,_calc!$E$31)))</f>
        <v/>
      </c>
      <c r="B29" s="44">
        <f>IF(_calc!$E$31="","",IF(ISNUMBER(INDEX('Licences'!$J$4:$J$503,_calc!$E$31)),TEXT(INDEX('Licences'!$J$4:$J$503,_calc!$E$31),"yyyy-mm-dd"),""))</f>
        <v/>
      </c>
      <c r="C29" s="44">
        <f>IF(_calc!$E$31="","",IF(LEN(INDEX('Licences'!$B$4:$B$503,_calc!$E$31))=0,"",INDEX('Licences'!$B$4:$B$503,_calc!$E$31)))</f>
        <v/>
      </c>
      <c r="D29" s="44">
        <f>IF(_calc!$E$31="","",IF(ISNUMBER(INDEX('Licences'!$I$4:$I$503,_calc!$E$31)),TEXT(INDEX('Licences'!$I$4:$I$503,_calc!$E$31),"yyyy-mm-dd"),""))</f>
        <v/>
      </c>
      <c r="E29" s="44">
        <f>IF(_calc!$E$31="","",IF(LEN(INDEX('Licences'!$H$4:$H$503,_calc!$E$31))=0,"",INDEX('Licences'!$H$4:$H$503,_calc!$E$31)))</f>
        <v/>
      </c>
      <c r="F29" s="44">
        <f>IF(_calc!$E$31="","",TRIM(IF(LEN(IF(LEN(INDEX('Licences'!$D$4:$D$503,_calc!$E$31))=0,"",INDEX('Licences'!$D$4:$D$503,_calc!$E$31)))=0,"","Ref: "&amp;IF(LEN(INDEX('Licences'!$D$4:$D$503,_calc!$E$31))=0,"",INDEX('Licences'!$D$4:$D$503,_calc!$E$31))&amp;". ")&amp;IF(LEN(IF(LEN(INDEX('Licences'!$C$4:$C$503,_calc!$E$31))=0,"",INDEX('Licences'!$C$4:$C$503,_calc!$E$31)))=0,"","Issuer: "&amp;IF(LEN(INDEX('Licences'!$C$4:$C$503,_calc!$E$31))=0,"",INDEX('Licences'!$C$4:$C$503,_calc!$E$31))&amp;". ")&amp;IF(LEN(IF(LEN(INDEX('Licences'!$E$4:$E$503,_calc!$E$31))=0,"",INDEX('Licences'!$E$4:$E$503,_calc!$E$31)))=0,"","Site: "&amp;IF(LEN(INDEX('Licences'!$E$4:$E$503,_calc!$E$31))=0,"",INDEX('Licences'!$E$4:$E$503,_calc!$E$31))&amp;". ")&amp;IF(LEN(IF(LEN(INDEX('Licences'!$F$4:$F$503,_calc!$E$31))=0,"",INDEX('Licences'!$F$4:$F$503,_calc!$E$31)))=0,"","Owner: "&amp;IF(LEN(INDEX('Licences'!$F$4:$F$503,_calc!$E$31))=0,"",INDEX('Licences'!$F$4:$F$503,_calc!$E$31))&amp;". ")&amp;IF(LEN(IF(LEN(INDEX('Licences'!$R$4:$R$503,_calc!$E$31))=0,"",INDEX('Licences'!$R$4:$R$503,_calc!$E$31)))=0,"",IF(LEN(INDEX('Licences'!$R$4:$R$503,_calc!$E$31))=0,"",INDEX('Licences'!$R$4:$R$503,_calc!$E$31)))))</f>
        <v/>
      </c>
      <c r="G29" s="44">
        <f>IF(_calc!$E$31="","",IF(LEN(INDEX('Licences'!$Q$4:$Q$503,_calc!$E$31))=0,"",INDEX('Licences'!$Q$4:$Q$503,_calc!$E$31)))</f>
        <v/>
      </c>
      <c r="H29" s="44">
        <f>IF(_calc!$E$31="","",IF(LEN(INDEX('Licences'!$O$4:$O$503,_calc!$E$31))=0,"",INDEX('Licences'!$O$4:$O$503,_calc!$E$31)))</f>
        <v/>
      </c>
      <c r="I29" s="44">
        <f>IF(_calc!$E$31="","",IF(LEN(INDEX('Licences'!$P$4:$P$503,_calc!$E$31))=0,"",INDEX('Licences'!$P$4:$P$503,_calc!$E$31)))</f>
        <v/>
      </c>
      <c r="K29" s="44">
        <f>IF(_calc!$E$31="","",IF(LEN(INDEX('Licences'!$G$4:$G$503,_calc!$E$31))=0,"",INDEX('Licences'!$G$4:$G$503,_calc!$E$31)))</f>
        <v/>
      </c>
    </row>
    <row r="30">
      <c r="A30" s="44">
        <f>IF(_calc!$E$32="","",IF(LEN(INDEX('Licences'!$A$4:$A$503,_calc!$E$32))=0,"",INDEX('Licences'!$A$4:$A$503,_calc!$E$32)))</f>
        <v/>
      </c>
      <c r="B30" s="44">
        <f>IF(_calc!$E$32="","",IF(ISNUMBER(INDEX('Licences'!$J$4:$J$503,_calc!$E$32)),TEXT(INDEX('Licences'!$J$4:$J$503,_calc!$E$32),"yyyy-mm-dd"),""))</f>
        <v/>
      </c>
      <c r="C30" s="44">
        <f>IF(_calc!$E$32="","",IF(LEN(INDEX('Licences'!$B$4:$B$503,_calc!$E$32))=0,"",INDEX('Licences'!$B$4:$B$503,_calc!$E$32)))</f>
        <v/>
      </c>
      <c r="D30" s="44">
        <f>IF(_calc!$E$32="","",IF(ISNUMBER(INDEX('Licences'!$I$4:$I$503,_calc!$E$32)),TEXT(INDEX('Licences'!$I$4:$I$503,_calc!$E$32),"yyyy-mm-dd"),""))</f>
        <v/>
      </c>
      <c r="E30" s="44">
        <f>IF(_calc!$E$32="","",IF(LEN(INDEX('Licences'!$H$4:$H$503,_calc!$E$32))=0,"",INDEX('Licences'!$H$4:$H$503,_calc!$E$32)))</f>
        <v/>
      </c>
      <c r="F30" s="44">
        <f>IF(_calc!$E$32="","",TRIM(IF(LEN(IF(LEN(INDEX('Licences'!$D$4:$D$503,_calc!$E$32))=0,"",INDEX('Licences'!$D$4:$D$503,_calc!$E$32)))=0,"","Ref: "&amp;IF(LEN(INDEX('Licences'!$D$4:$D$503,_calc!$E$32))=0,"",INDEX('Licences'!$D$4:$D$503,_calc!$E$32))&amp;". ")&amp;IF(LEN(IF(LEN(INDEX('Licences'!$C$4:$C$503,_calc!$E$32))=0,"",INDEX('Licences'!$C$4:$C$503,_calc!$E$32)))=0,"","Issuer: "&amp;IF(LEN(INDEX('Licences'!$C$4:$C$503,_calc!$E$32))=0,"",INDEX('Licences'!$C$4:$C$503,_calc!$E$32))&amp;". ")&amp;IF(LEN(IF(LEN(INDEX('Licences'!$E$4:$E$503,_calc!$E$32))=0,"",INDEX('Licences'!$E$4:$E$503,_calc!$E$32)))=0,"","Site: "&amp;IF(LEN(INDEX('Licences'!$E$4:$E$503,_calc!$E$32))=0,"",INDEX('Licences'!$E$4:$E$503,_calc!$E$32))&amp;". ")&amp;IF(LEN(IF(LEN(INDEX('Licences'!$F$4:$F$503,_calc!$E$32))=0,"",INDEX('Licences'!$F$4:$F$503,_calc!$E$32)))=0,"","Owner: "&amp;IF(LEN(INDEX('Licences'!$F$4:$F$503,_calc!$E$32))=0,"",INDEX('Licences'!$F$4:$F$503,_calc!$E$32))&amp;". ")&amp;IF(LEN(IF(LEN(INDEX('Licences'!$R$4:$R$503,_calc!$E$32))=0,"",INDEX('Licences'!$R$4:$R$503,_calc!$E$32)))=0,"",IF(LEN(INDEX('Licences'!$R$4:$R$503,_calc!$E$32))=0,"",INDEX('Licences'!$R$4:$R$503,_calc!$E$32)))))</f>
        <v/>
      </c>
      <c r="G30" s="44">
        <f>IF(_calc!$E$32="","",IF(LEN(INDEX('Licences'!$Q$4:$Q$503,_calc!$E$32))=0,"",INDEX('Licences'!$Q$4:$Q$503,_calc!$E$32)))</f>
        <v/>
      </c>
      <c r="H30" s="44">
        <f>IF(_calc!$E$32="","",IF(LEN(INDEX('Licences'!$O$4:$O$503,_calc!$E$32))=0,"",INDEX('Licences'!$O$4:$O$503,_calc!$E$32)))</f>
        <v/>
      </c>
      <c r="I30" s="44">
        <f>IF(_calc!$E$32="","",IF(LEN(INDEX('Licences'!$P$4:$P$503,_calc!$E$32))=0,"",INDEX('Licences'!$P$4:$P$503,_calc!$E$32)))</f>
        <v/>
      </c>
      <c r="K30" s="44">
        <f>IF(_calc!$E$32="","",IF(LEN(INDEX('Licences'!$G$4:$G$503,_calc!$E$32))=0,"",INDEX('Licences'!$G$4:$G$503,_calc!$E$32)))</f>
        <v/>
      </c>
    </row>
    <row r="31">
      <c r="A31" s="44">
        <f>IF(_calc!$E$33="","",IF(LEN(INDEX('Licences'!$A$4:$A$503,_calc!$E$33))=0,"",INDEX('Licences'!$A$4:$A$503,_calc!$E$33)))</f>
        <v/>
      </c>
      <c r="B31" s="44">
        <f>IF(_calc!$E$33="","",IF(ISNUMBER(INDEX('Licences'!$J$4:$J$503,_calc!$E$33)),TEXT(INDEX('Licences'!$J$4:$J$503,_calc!$E$33),"yyyy-mm-dd"),""))</f>
        <v/>
      </c>
      <c r="C31" s="44">
        <f>IF(_calc!$E$33="","",IF(LEN(INDEX('Licences'!$B$4:$B$503,_calc!$E$33))=0,"",INDEX('Licences'!$B$4:$B$503,_calc!$E$33)))</f>
        <v/>
      </c>
      <c r="D31" s="44">
        <f>IF(_calc!$E$33="","",IF(ISNUMBER(INDEX('Licences'!$I$4:$I$503,_calc!$E$33)),TEXT(INDEX('Licences'!$I$4:$I$503,_calc!$E$33),"yyyy-mm-dd"),""))</f>
        <v/>
      </c>
      <c r="E31" s="44">
        <f>IF(_calc!$E$33="","",IF(LEN(INDEX('Licences'!$H$4:$H$503,_calc!$E$33))=0,"",INDEX('Licences'!$H$4:$H$503,_calc!$E$33)))</f>
        <v/>
      </c>
      <c r="F31" s="44">
        <f>IF(_calc!$E$33="","",TRIM(IF(LEN(IF(LEN(INDEX('Licences'!$D$4:$D$503,_calc!$E$33))=0,"",INDEX('Licences'!$D$4:$D$503,_calc!$E$33)))=0,"","Ref: "&amp;IF(LEN(INDEX('Licences'!$D$4:$D$503,_calc!$E$33))=0,"",INDEX('Licences'!$D$4:$D$503,_calc!$E$33))&amp;". ")&amp;IF(LEN(IF(LEN(INDEX('Licences'!$C$4:$C$503,_calc!$E$33))=0,"",INDEX('Licences'!$C$4:$C$503,_calc!$E$33)))=0,"","Issuer: "&amp;IF(LEN(INDEX('Licences'!$C$4:$C$503,_calc!$E$33))=0,"",INDEX('Licences'!$C$4:$C$503,_calc!$E$33))&amp;". ")&amp;IF(LEN(IF(LEN(INDEX('Licences'!$E$4:$E$503,_calc!$E$33))=0,"",INDEX('Licences'!$E$4:$E$503,_calc!$E$33)))=0,"","Site: "&amp;IF(LEN(INDEX('Licences'!$E$4:$E$503,_calc!$E$33))=0,"",INDEX('Licences'!$E$4:$E$503,_calc!$E$33))&amp;". ")&amp;IF(LEN(IF(LEN(INDEX('Licences'!$F$4:$F$503,_calc!$E$33))=0,"",INDEX('Licences'!$F$4:$F$503,_calc!$E$33)))=0,"","Owner: "&amp;IF(LEN(INDEX('Licences'!$F$4:$F$503,_calc!$E$33))=0,"",INDEX('Licences'!$F$4:$F$503,_calc!$E$33))&amp;". ")&amp;IF(LEN(IF(LEN(INDEX('Licences'!$R$4:$R$503,_calc!$E$33))=0,"",INDEX('Licences'!$R$4:$R$503,_calc!$E$33)))=0,"",IF(LEN(INDEX('Licences'!$R$4:$R$503,_calc!$E$33))=0,"",INDEX('Licences'!$R$4:$R$503,_calc!$E$33)))))</f>
        <v/>
      </c>
      <c r="G31" s="44">
        <f>IF(_calc!$E$33="","",IF(LEN(INDEX('Licences'!$Q$4:$Q$503,_calc!$E$33))=0,"",INDEX('Licences'!$Q$4:$Q$503,_calc!$E$33)))</f>
        <v/>
      </c>
      <c r="H31" s="44">
        <f>IF(_calc!$E$33="","",IF(LEN(INDEX('Licences'!$O$4:$O$503,_calc!$E$33))=0,"",INDEX('Licences'!$O$4:$O$503,_calc!$E$33)))</f>
        <v/>
      </c>
      <c r="I31" s="44">
        <f>IF(_calc!$E$33="","",IF(LEN(INDEX('Licences'!$P$4:$P$503,_calc!$E$33))=0,"",INDEX('Licences'!$P$4:$P$503,_calc!$E$33)))</f>
        <v/>
      </c>
      <c r="K31" s="44">
        <f>IF(_calc!$E$33="","",IF(LEN(INDEX('Licences'!$G$4:$G$503,_calc!$E$33))=0,"",INDEX('Licences'!$G$4:$G$503,_calc!$E$33)))</f>
        <v/>
      </c>
    </row>
    <row r="32">
      <c r="A32" s="44">
        <f>IF(_calc!$E$34="","",IF(LEN(INDEX('Licences'!$A$4:$A$503,_calc!$E$34))=0,"",INDEX('Licences'!$A$4:$A$503,_calc!$E$34)))</f>
        <v/>
      </c>
      <c r="B32" s="44">
        <f>IF(_calc!$E$34="","",IF(ISNUMBER(INDEX('Licences'!$J$4:$J$503,_calc!$E$34)),TEXT(INDEX('Licences'!$J$4:$J$503,_calc!$E$34),"yyyy-mm-dd"),""))</f>
        <v/>
      </c>
      <c r="C32" s="44">
        <f>IF(_calc!$E$34="","",IF(LEN(INDEX('Licences'!$B$4:$B$503,_calc!$E$34))=0,"",INDEX('Licences'!$B$4:$B$503,_calc!$E$34)))</f>
        <v/>
      </c>
      <c r="D32" s="44">
        <f>IF(_calc!$E$34="","",IF(ISNUMBER(INDEX('Licences'!$I$4:$I$503,_calc!$E$34)),TEXT(INDEX('Licences'!$I$4:$I$503,_calc!$E$34),"yyyy-mm-dd"),""))</f>
        <v/>
      </c>
      <c r="E32" s="44">
        <f>IF(_calc!$E$34="","",IF(LEN(INDEX('Licences'!$H$4:$H$503,_calc!$E$34))=0,"",INDEX('Licences'!$H$4:$H$503,_calc!$E$34)))</f>
        <v/>
      </c>
      <c r="F32" s="44">
        <f>IF(_calc!$E$34="","",TRIM(IF(LEN(IF(LEN(INDEX('Licences'!$D$4:$D$503,_calc!$E$34))=0,"",INDEX('Licences'!$D$4:$D$503,_calc!$E$34)))=0,"","Ref: "&amp;IF(LEN(INDEX('Licences'!$D$4:$D$503,_calc!$E$34))=0,"",INDEX('Licences'!$D$4:$D$503,_calc!$E$34))&amp;". ")&amp;IF(LEN(IF(LEN(INDEX('Licences'!$C$4:$C$503,_calc!$E$34))=0,"",INDEX('Licences'!$C$4:$C$503,_calc!$E$34)))=0,"","Issuer: "&amp;IF(LEN(INDEX('Licences'!$C$4:$C$503,_calc!$E$34))=0,"",INDEX('Licences'!$C$4:$C$503,_calc!$E$34))&amp;". ")&amp;IF(LEN(IF(LEN(INDEX('Licences'!$E$4:$E$503,_calc!$E$34))=0,"",INDEX('Licences'!$E$4:$E$503,_calc!$E$34)))=0,"","Site: "&amp;IF(LEN(INDEX('Licences'!$E$4:$E$503,_calc!$E$34))=0,"",INDEX('Licences'!$E$4:$E$503,_calc!$E$34))&amp;". ")&amp;IF(LEN(IF(LEN(INDEX('Licences'!$F$4:$F$503,_calc!$E$34))=0,"",INDEX('Licences'!$F$4:$F$503,_calc!$E$34)))=0,"","Owner: "&amp;IF(LEN(INDEX('Licences'!$F$4:$F$503,_calc!$E$34))=0,"",INDEX('Licences'!$F$4:$F$503,_calc!$E$34))&amp;". ")&amp;IF(LEN(IF(LEN(INDEX('Licences'!$R$4:$R$503,_calc!$E$34))=0,"",INDEX('Licences'!$R$4:$R$503,_calc!$E$34)))=0,"",IF(LEN(INDEX('Licences'!$R$4:$R$503,_calc!$E$34))=0,"",INDEX('Licences'!$R$4:$R$503,_calc!$E$34)))))</f>
        <v/>
      </c>
      <c r="G32" s="44">
        <f>IF(_calc!$E$34="","",IF(LEN(INDEX('Licences'!$Q$4:$Q$503,_calc!$E$34))=0,"",INDEX('Licences'!$Q$4:$Q$503,_calc!$E$34)))</f>
        <v/>
      </c>
      <c r="H32" s="44">
        <f>IF(_calc!$E$34="","",IF(LEN(INDEX('Licences'!$O$4:$O$503,_calc!$E$34))=0,"",INDEX('Licences'!$O$4:$O$503,_calc!$E$34)))</f>
        <v/>
      </c>
      <c r="I32" s="44">
        <f>IF(_calc!$E$34="","",IF(LEN(INDEX('Licences'!$P$4:$P$503,_calc!$E$34))=0,"",INDEX('Licences'!$P$4:$P$503,_calc!$E$34)))</f>
        <v/>
      </c>
      <c r="K32" s="44">
        <f>IF(_calc!$E$34="","",IF(LEN(INDEX('Licences'!$G$4:$G$503,_calc!$E$34))=0,"",INDEX('Licences'!$G$4:$G$503,_calc!$E$34)))</f>
        <v/>
      </c>
    </row>
    <row r="33">
      <c r="A33" s="44">
        <f>IF(_calc!$E$35="","",IF(LEN(INDEX('Licences'!$A$4:$A$503,_calc!$E$35))=0,"",INDEX('Licences'!$A$4:$A$503,_calc!$E$35)))</f>
        <v/>
      </c>
      <c r="B33" s="44">
        <f>IF(_calc!$E$35="","",IF(ISNUMBER(INDEX('Licences'!$J$4:$J$503,_calc!$E$35)),TEXT(INDEX('Licences'!$J$4:$J$503,_calc!$E$35),"yyyy-mm-dd"),""))</f>
        <v/>
      </c>
      <c r="C33" s="44">
        <f>IF(_calc!$E$35="","",IF(LEN(INDEX('Licences'!$B$4:$B$503,_calc!$E$35))=0,"",INDEX('Licences'!$B$4:$B$503,_calc!$E$35)))</f>
        <v/>
      </c>
      <c r="D33" s="44">
        <f>IF(_calc!$E$35="","",IF(ISNUMBER(INDEX('Licences'!$I$4:$I$503,_calc!$E$35)),TEXT(INDEX('Licences'!$I$4:$I$503,_calc!$E$35),"yyyy-mm-dd"),""))</f>
        <v/>
      </c>
      <c r="E33" s="44">
        <f>IF(_calc!$E$35="","",IF(LEN(INDEX('Licences'!$H$4:$H$503,_calc!$E$35))=0,"",INDEX('Licences'!$H$4:$H$503,_calc!$E$35)))</f>
        <v/>
      </c>
      <c r="F33" s="44">
        <f>IF(_calc!$E$35="","",TRIM(IF(LEN(IF(LEN(INDEX('Licences'!$D$4:$D$503,_calc!$E$35))=0,"",INDEX('Licences'!$D$4:$D$503,_calc!$E$35)))=0,"","Ref: "&amp;IF(LEN(INDEX('Licences'!$D$4:$D$503,_calc!$E$35))=0,"",INDEX('Licences'!$D$4:$D$503,_calc!$E$35))&amp;". ")&amp;IF(LEN(IF(LEN(INDEX('Licences'!$C$4:$C$503,_calc!$E$35))=0,"",INDEX('Licences'!$C$4:$C$503,_calc!$E$35)))=0,"","Issuer: "&amp;IF(LEN(INDEX('Licences'!$C$4:$C$503,_calc!$E$35))=0,"",INDEX('Licences'!$C$4:$C$503,_calc!$E$35))&amp;". ")&amp;IF(LEN(IF(LEN(INDEX('Licences'!$E$4:$E$503,_calc!$E$35))=0,"",INDEX('Licences'!$E$4:$E$503,_calc!$E$35)))=0,"","Site: "&amp;IF(LEN(INDEX('Licences'!$E$4:$E$503,_calc!$E$35))=0,"",INDEX('Licences'!$E$4:$E$503,_calc!$E$35))&amp;". ")&amp;IF(LEN(IF(LEN(INDEX('Licences'!$F$4:$F$503,_calc!$E$35))=0,"",INDEX('Licences'!$F$4:$F$503,_calc!$E$35)))=0,"","Owner: "&amp;IF(LEN(INDEX('Licences'!$F$4:$F$503,_calc!$E$35))=0,"",INDEX('Licences'!$F$4:$F$503,_calc!$E$35))&amp;". ")&amp;IF(LEN(IF(LEN(INDEX('Licences'!$R$4:$R$503,_calc!$E$35))=0,"",INDEX('Licences'!$R$4:$R$503,_calc!$E$35)))=0,"",IF(LEN(INDEX('Licences'!$R$4:$R$503,_calc!$E$35))=0,"",INDEX('Licences'!$R$4:$R$503,_calc!$E$35)))))</f>
        <v/>
      </c>
      <c r="G33" s="44">
        <f>IF(_calc!$E$35="","",IF(LEN(INDEX('Licences'!$Q$4:$Q$503,_calc!$E$35))=0,"",INDEX('Licences'!$Q$4:$Q$503,_calc!$E$35)))</f>
        <v/>
      </c>
      <c r="H33" s="44">
        <f>IF(_calc!$E$35="","",IF(LEN(INDEX('Licences'!$O$4:$O$503,_calc!$E$35))=0,"",INDEX('Licences'!$O$4:$O$503,_calc!$E$35)))</f>
        <v/>
      </c>
      <c r="I33" s="44">
        <f>IF(_calc!$E$35="","",IF(LEN(INDEX('Licences'!$P$4:$P$503,_calc!$E$35))=0,"",INDEX('Licences'!$P$4:$P$503,_calc!$E$35)))</f>
        <v/>
      </c>
      <c r="K33" s="44">
        <f>IF(_calc!$E$35="","",IF(LEN(INDEX('Licences'!$G$4:$G$503,_calc!$E$35))=0,"",INDEX('Licences'!$G$4:$G$503,_calc!$E$35)))</f>
        <v/>
      </c>
    </row>
    <row r="34">
      <c r="A34" s="44">
        <f>IF(_calc!$E$36="","",IF(LEN(INDEX('Licences'!$A$4:$A$503,_calc!$E$36))=0,"",INDEX('Licences'!$A$4:$A$503,_calc!$E$36)))</f>
        <v/>
      </c>
      <c r="B34" s="44">
        <f>IF(_calc!$E$36="","",IF(ISNUMBER(INDEX('Licences'!$J$4:$J$503,_calc!$E$36)),TEXT(INDEX('Licences'!$J$4:$J$503,_calc!$E$36),"yyyy-mm-dd"),""))</f>
        <v/>
      </c>
      <c r="C34" s="44">
        <f>IF(_calc!$E$36="","",IF(LEN(INDEX('Licences'!$B$4:$B$503,_calc!$E$36))=0,"",INDEX('Licences'!$B$4:$B$503,_calc!$E$36)))</f>
        <v/>
      </c>
      <c r="D34" s="44">
        <f>IF(_calc!$E$36="","",IF(ISNUMBER(INDEX('Licences'!$I$4:$I$503,_calc!$E$36)),TEXT(INDEX('Licences'!$I$4:$I$503,_calc!$E$36),"yyyy-mm-dd"),""))</f>
        <v/>
      </c>
      <c r="E34" s="44">
        <f>IF(_calc!$E$36="","",IF(LEN(INDEX('Licences'!$H$4:$H$503,_calc!$E$36))=0,"",INDEX('Licences'!$H$4:$H$503,_calc!$E$36)))</f>
        <v/>
      </c>
      <c r="F34" s="44">
        <f>IF(_calc!$E$36="","",TRIM(IF(LEN(IF(LEN(INDEX('Licences'!$D$4:$D$503,_calc!$E$36))=0,"",INDEX('Licences'!$D$4:$D$503,_calc!$E$36)))=0,"","Ref: "&amp;IF(LEN(INDEX('Licences'!$D$4:$D$503,_calc!$E$36))=0,"",INDEX('Licences'!$D$4:$D$503,_calc!$E$36))&amp;". ")&amp;IF(LEN(IF(LEN(INDEX('Licences'!$C$4:$C$503,_calc!$E$36))=0,"",INDEX('Licences'!$C$4:$C$503,_calc!$E$36)))=0,"","Issuer: "&amp;IF(LEN(INDEX('Licences'!$C$4:$C$503,_calc!$E$36))=0,"",INDEX('Licences'!$C$4:$C$503,_calc!$E$36))&amp;". ")&amp;IF(LEN(IF(LEN(INDEX('Licences'!$E$4:$E$503,_calc!$E$36))=0,"",INDEX('Licences'!$E$4:$E$503,_calc!$E$36)))=0,"","Site: "&amp;IF(LEN(INDEX('Licences'!$E$4:$E$503,_calc!$E$36))=0,"",INDEX('Licences'!$E$4:$E$503,_calc!$E$36))&amp;". ")&amp;IF(LEN(IF(LEN(INDEX('Licences'!$F$4:$F$503,_calc!$E$36))=0,"",INDEX('Licences'!$F$4:$F$503,_calc!$E$36)))=0,"","Owner: "&amp;IF(LEN(INDEX('Licences'!$F$4:$F$503,_calc!$E$36))=0,"",INDEX('Licences'!$F$4:$F$503,_calc!$E$36))&amp;". ")&amp;IF(LEN(IF(LEN(INDEX('Licences'!$R$4:$R$503,_calc!$E$36))=0,"",INDEX('Licences'!$R$4:$R$503,_calc!$E$36)))=0,"",IF(LEN(INDEX('Licences'!$R$4:$R$503,_calc!$E$36))=0,"",INDEX('Licences'!$R$4:$R$503,_calc!$E$36)))))</f>
        <v/>
      </c>
      <c r="G34" s="44">
        <f>IF(_calc!$E$36="","",IF(LEN(INDEX('Licences'!$Q$4:$Q$503,_calc!$E$36))=0,"",INDEX('Licences'!$Q$4:$Q$503,_calc!$E$36)))</f>
        <v/>
      </c>
      <c r="H34" s="44">
        <f>IF(_calc!$E$36="","",IF(LEN(INDEX('Licences'!$O$4:$O$503,_calc!$E$36))=0,"",INDEX('Licences'!$O$4:$O$503,_calc!$E$36)))</f>
        <v/>
      </c>
      <c r="I34" s="44">
        <f>IF(_calc!$E$36="","",IF(LEN(INDEX('Licences'!$P$4:$P$503,_calc!$E$36))=0,"",INDEX('Licences'!$P$4:$P$503,_calc!$E$36)))</f>
        <v/>
      </c>
      <c r="K34" s="44">
        <f>IF(_calc!$E$36="","",IF(LEN(INDEX('Licences'!$G$4:$G$503,_calc!$E$36))=0,"",INDEX('Licences'!$G$4:$G$503,_calc!$E$36)))</f>
        <v/>
      </c>
    </row>
    <row r="35">
      <c r="A35" s="44">
        <f>IF(_calc!$E$37="","",IF(LEN(INDEX('Licences'!$A$4:$A$503,_calc!$E$37))=0,"",INDEX('Licences'!$A$4:$A$503,_calc!$E$37)))</f>
        <v/>
      </c>
      <c r="B35" s="44">
        <f>IF(_calc!$E$37="","",IF(ISNUMBER(INDEX('Licences'!$J$4:$J$503,_calc!$E$37)),TEXT(INDEX('Licences'!$J$4:$J$503,_calc!$E$37),"yyyy-mm-dd"),""))</f>
        <v/>
      </c>
      <c r="C35" s="44">
        <f>IF(_calc!$E$37="","",IF(LEN(INDEX('Licences'!$B$4:$B$503,_calc!$E$37))=0,"",INDEX('Licences'!$B$4:$B$503,_calc!$E$37)))</f>
        <v/>
      </c>
      <c r="D35" s="44">
        <f>IF(_calc!$E$37="","",IF(ISNUMBER(INDEX('Licences'!$I$4:$I$503,_calc!$E$37)),TEXT(INDEX('Licences'!$I$4:$I$503,_calc!$E$37),"yyyy-mm-dd"),""))</f>
        <v/>
      </c>
      <c r="E35" s="44">
        <f>IF(_calc!$E$37="","",IF(LEN(INDEX('Licences'!$H$4:$H$503,_calc!$E$37))=0,"",INDEX('Licences'!$H$4:$H$503,_calc!$E$37)))</f>
        <v/>
      </c>
      <c r="F35" s="44">
        <f>IF(_calc!$E$37="","",TRIM(IF(LEN(IF(LEN(INDEX('Licences'!$D$4:$D$503,_calc!$E$37))=0,"",INDEX('Licences'!$D$4:$D$503,_calc!$E$37)))=0,"","Ref: "&amp;IF(LEN(INDEX('Licences'!$D$4:$D$503,_calc!$E$37))=0,"",INDEX('Licences'!$D$4:$D$503,_calc!$E$37))&amp;". ")&amp;IF(LEN(IF(LEN(INDEX('Licences'!$C$4:$C$503,_calc!$E$37))=0,"",INDEX('Licences'!$C$4:$C$503,_calc!$E$37)))=0,"","Issuer: "&amp;IF(LEN(INDEX('Licences'!$C$4:$C$503,_calc!$E$37))=0,"",INDEX('Licences'!$C$4:$C$503,_calc!$E$37))&amp;". ")&amp;IF(LEN(IF(LEN(INDEX('Licences'!$E$4:$E$503,_calc!$E$37))=0,"",INDEX('Licences'!$E$4:$E$503,_calc!$E$37)))=0,"","Site: "&amp;IF(LEN(INDEX('Licences'!$E$4:$E$503,_calc!$E$37))=0,"",INDEX('Licences'!$E$4:$E$503,_calc!$E$37))&amp;". ")&amp;IF(LEN(IF(LEN(INDEX('Licences'!$F$4:$F$503,_calc!$E$37))=0,"",INDEX('Licences'!$F$4:$F$503,_calc!$E$37)))=0,"","Owner: "&amp;IF(LEN(INDEX('Licences'!$F$4:$F$503,_calc!$E$37))=0,"",INDEX('Licences'!$F$4:$F$503,_calc!$E$37))&amp;". ")&amp;IF(LEN(IF(LEN(INDEX('Licences'!$R$4:$R$503,_calc!$E$37))=0,"",INDEX('Licences'!$R$4:$R$503,_calc!$E$37)))=0,"",IF(LEN(INDEX('Licences'!$R$4:$R$503,_calc!$E$37))=0,"",INDEX('Licences'!$R$4:$R$503,_calc!$E$37)))))</f>
        <v/>
      </c>
      <c r="G35" s="44">
        <f>IF(_calc!$E$37="","",IF(LEN(INDEX('Licences'!$Q$4:$Q$503,_calc!$E$37))=0,"",INDEX('Licences'!$Q$4:$Q$503,_calc!$E$37)))</f>
        <v/>
      </c>
      <c r="H35" s="44">
        <f>IF(_calc!$E$37="","",IF(LEN(INDEX('Licences'!$O$4:$O$503,_calc!$E$37))=0,"",INDEX('Licences'!$O$4:$O$503,_calc!$E$37)))</f>
        <v/>
      </c>
      <c r="I35" s="44">
        <f>IF(_calc!$E$37="","",IF(LEN(INDEX('Licences'!$P$4:$P$503,_calc!$E$37))=0,"",INDEX('Licences'!$P$4:$P$503,_calc!$E$37)))</f>
        <v/>
      </c>
      <c r="K35" s="44">
        <f>IF(_calc!$E$37="","",IF(LEN(INDEX('Licences'!$G$4:$G$503,_calc!$E$37))=0,"",INDEX('Licences'!$G$4:$G$503,_calc!$E$37)))</f>
        <v/>
      </c>
    </row>
    <row r="36">
      <c r="A36" s="44">
        <f>IF(_calc!$E$38="","",IF(LEN(INDEX('Licences'!$A$4:$A$503,_calc!$E$38))=0,"",INDEX('Licences'!$A$4:$A$503,_calc!$E$38)))</f>
        <v/>
      </c>
      <c r="B36" s="44">
        <f>IF(_calc!$E$38="","",IF(ISNUMBER(INDEX('Licences'!$J$4:$J$503,_calc!$E$38)),TEXT(INDEX('Licences'!$J$4:$J$503,_calc!$E$38),"yyyy-mm-dd"),""))</f>
        <v/>
      </c>
      <c r="C36" s="44">
        <f>IF(_calc!$E$38="","",IF(LEN(INDEX('Licences'!$B$4:$B$503,_calc!$E$38))=0,"",INDEX('Licences'!$B$4:$B$503,_calc!$E$38)))</f>
        <v/>
      </c>
      <c r="D36" s="44">
        <f>IF(_calc!$E$38="","",IF(ISNUMBER(INDEX('Licences'!$I$4:$I$503,_calc!$E$38)),TEXT(INDEX('Licences'!$I$4:$I$503,_calc!$E$38),"yyyy-mm-dd"),""))</f>
        <v/>
      </c>
      <c r="E36" s="44">
        <f>IF(_calc!$E$38="","",IF(LEN(INDEX('Licences'!$H$4:$H$503,_calc!$E$38))=0,"",INDEX('Licences'!$H$4:$H$503,_calc!$E$38)))</f>
        <v/>
      </c>
      <c r="F36" s="44">
        <f>IF(_calc!$E$38="","",TRIM(IF(LEN(IF(LEN(INDEX('Licences'!$D$4:$D$503,_calc!$E$38))=0,"",INDEX('Licences'!$D$4:$D$503,_calc!$E$38)))=0,"","Ref: "&amp;IF(LEN(INDEX('Licences'!$D$4:$D$503,_calc!$E$38))=0,"",INDEX('Licences'!$D$4:$D$503,_calc!$E$38))&amp;". ")&amp;IF(LEN(IF(LEN(INDEX('Licences'!$C$4:$C$503,_calc!$E$38))=0,"",INDEX('Licences'!$C$4:$C$503,_calc!$E$38)))=0,"","Issuer: "&amp;IF(LEN(INDEX('Licences'!$C$4:$C$503,_calc!$E$38))=0,"",INDEX('Licences'!$C$4:$C$503,_calc!$E$38))&amp;". ")&amp;IF(LEN(IF(LEN(INDEX('Licences'!$E$4:$E$503,_calc!$E$38))=0,"",INDEX('Licences'!$E$4:$E$503,_calc!$E$38)))=0,"","Site: "&amp;IF(LEN(INDEX('Licences'!$E$4:$E$503,_calc!$E$38))=0,"",INDEX('Licences'!$E$4:$E$503,_calc!$E$38))&amp;". ")&amp;IF(LEN(IF(LEN(INDEX('Licences'!$F$4:$F$503,_calc!$E$38))=0,"",INDEX('Licences'!$F$4:$F$503,_calc!$E$38)))=0,"","Owner: "&amp;IF(LEN(INDEX('Licences'!$F$4:$F$503,_calc!$E$38))=0,"",INDEX('Licences'!$F$4:$F$503,_calc!$E$38))&amp;". ")&amp;IF(LEN(IF(LEN(INDEX('Licences'!$R$4:$R$503,_calc!$E$38))=0,"",INDEX('Licences'!$R$4:$R$503,_calc!$E$38)))=0,"",IF(LEN(INDEX('Licences'!$R$4:$R$503,_calc!$E$38))=0,"",INDEX('Licences'!$R$4:$R$503,_calc!$E$38)))))</f>
        <v/>
      </c>
      <c r="G36" s="44">
        <f>IF(_calc!$E$38="","",IF(LEN(INDEX('Licences'!$Q$4:$Q$503,_calc!$E$38))=0,"",INDEX('Licences'!$Q$4:$Q$503,_calc!$E$38)))</f>
        <v/>
      </c>
      <c r="H36" s="44">
        <f>IF(_calc!$E$38="","",IF(LEN(INDEX('Licences'!$O$4:$O$503,_calc!$E$38))=0,"",INDEX('Licences'!$O$4:$O$503,_calc!$E$38)))</f>
        <v/>
      </c>
      <c r="I36" s="44">
        <f>IF(_calc!$E$38="","",IF(LEN(INDEX('Licences'!$P$4:$P$503,_calc!$E$38))=0,"",INDEX('Licences'!$P$4:$P$503,_calc!$E$38)))</f>
        <v/>
      </c>
      <c r="K36" s="44">
        <f>IF(_calc!$E$38="","",IF(LEN(INDEX('Licences'!$G$4:$G$503,_calc!$E$38))=0,"",INDEX('Licences'!$G$4:$G$503,_calc!$E$38)))</f>
        <v/>
      </c>
    </row>
    <row r="37">
      <c r="A37" s="44">
        <f>IF(_calc!$E$39="","",IF(LEN(INDEX('Licences'!$A$4:$A$503,_calc!$E$39))=0,"",INDEX('Licences'!$A$4:$A$503,_calc!$E$39)))</f>
        <v/>
      </c>
      <c r="B37" s="44">
        <f>IF(_calc!$E$39="","",IF(ISNUMBER(INDEX('Licences'!$J$4:$J$503,_calc!$E$39)),TEXT(INDEX('Licences'!$J$4:$J$503,_calc!$E$39),"yyyy-mm-dd"),""))</f>
        <v/>
      </c>
      <c r="C37" s="44">
        <f>IF(_calc!$E$39="","",IF(LEN(INDEX('Licences'!$B$4:$B$503,_calc!$E$39))=0,"",INDEX('Licences'!$B$4:$B$503,_calc!$E$39)))</f>
        <v/>
      </c>
      <c r="D37" s="44">
        <f>IF(_calc!$E$39="","",IF(ISNUMBER(INDEX('Licences'!$I$4:$I$503,_calc!$E$39)),TEXT(INDEX('Licences'!$I$4:$I$503,_calc!$E$39),"yyyy-mm-dd"),""))</f>
        <v/>
      </c>
      <c r="E37" s="44">
        <f>IF(_calc!$E$39="","",IF(LEN(INDEX('Licences'!$H$4:$H$503,_calc!$E$39))=0,"",INDEX('Licences'!$H$4:$H$503,_calc!$E$39)))</f>
        <v/>
      </c>
      <c r="F37" s="44">
        <f>IF(_calc!$E$39="","",TRIM(IF(LEN(IF(LEN(INDEX('Licences'!$D$4:$D$503,_calc!$E$39))=0,"",INDEX('Licences'!$D$4:$D$503,_calc!$E$39)))=0,"","Ref: "&amp;IF(LEN(INDEX('Licences'!$D$4:$D$503,_calc!$E$39))=0,"",INDEX('Licences'!$D$4:$D$503,_calc!$E$39))&amp;". ")&amp;IF(LEN(IF(LEN(INDEX('Licences'!$C$4:$C$503,_calc!$E$39))=0,"",INDEX('Licences'!$C$4:$C$503,_calc!$E$39)))=0,"","Issuer: "&amp;IF(LEN(INDEX('Licences'!$C$4:$C$503,_calc!$E$39))=0,"",INDEX('Licences'!$C$4:$C$503,_calc!$E$39))&amp;". ")&amp;IF(LEN(IF(LEN(INDEX('Licences'!$E$4:$E$503,_calc!$E$39))=0,"",INDEX('Licences'!$E$4:$E$503,_calc!$E$39)))=0,"","Site: "&amp;IF(LEN(INDEX('Licences'!$E$4:$E$503,_calc!$E$39))=0,"",INDEX('Licences'!$E$4:$E$503,_calc!$E$39))&amp;". ")&amp;IF(LEN(IF(LEN(INDEX('Licences'!$F$4:$F$503,_calc!$E$39))=0,"",INDEX('Licences'!$F$4:$F$503,_calc!$E$39)))=0,"","Owner: "&amp;IF(LEN(INDEX('Licences'!$F$4:$F$503,_calc!$E$39))=0,"",INDEX('Licences'!$F$4:$F$503,_calc!$E$39))&amp;". ")&amp;IF(LEN(IF(LEN(INDEX('Licences'!$R$4:$R$503,_calc!$E$39))=0,"",INDEX('Licences'!$R$4:$R$503,_calc!$E$39)))=0,"",IF(LEN(INDEX('Licences'!$R$4:$R$503,_calc!$E$39))=0,"",INDEX('Licences'!$R$4:$R$503,_calc!$E$39)))))</f>
        <v/>
      </c>
      <c r="G37" s="44">
        <f>IF(_calc!$E$39="","",IF(LEN(INDEX('Licences'!$Q$4:$Q$503,_calc!$E$39))=0,"",INDEX('Licences'!$Q$4:$Q$503,_calc!$E$39)))</f>
        <v/>
      </c>
      <c r="H37" s="44">
        <f>IF(_calc!$E$39="","",IF(LEN(INDEX('Licences'!$O$4:$O$503,_calc!$E$39))=0,"",INDEX('Licences'!$O$4:$O$503,_calc!$E$39)))</f>
        <v/>
      </c>
      <c r="I37" s="44">
        <f>IF(_calc!$E$39="","",IF(LEN(INDEX('Licences'!$P$4:$P$503,_calc!$E$39))=0,"",INDEX('Licences'!$P$4:$P$503,_calc!$E$39)))</f>
        <v/>
      </c>
      <c r="K37" s="44">
        <f>IF(_calc!$E$39="","",IF(LEN(INDEX('Licences'!$G$4:$G$503,_calc!$E$39))=0,"",INDEX('Licences'!$G$4:$G$503,_calc!$E$39)))</f>
        <v/>
      </c>
    </row>
    <row r="38">
      <c r="A38" s="44">
        <f>IF(_calc!$E$40="","",IF(LEN(INDEX('Licences'!$A$4:$A$503,_calc!$E$40))=0,"",INDEX('Licences'!$A$4:$A$503,_calc!$E$40)))</f>
        <v/>
      </c>
      <c r="B38" s="44">
        <f>IF(_calc!$E$40="","",IF(ISNUMBER(INDEX('Licences'!$J$4:$J$503,_calc!$E$40)),TEXT(INDEX('Licences'!$J$4:$J$503,_calc!$E$40),"yyyy-mm-dd"),""))</f>
        <v/>
      </c>
      <c r="C38" s="44">
        <f>IF(_calc!$E$40="","",IF(LEN(INDEX('Licences'!$B$4:$B$503,_calc!$E$40))=0,"",INDEX('Licences'!$B$4:$B$503,_calc!$E$40)))</f>
        <v/>
      </c>
      <c r="D38" s="44">
        <f>IF(_calc!$E$40="","",IF(ISNUMBER(INDEX('Licences'!$I$4:$I$503,_calc!$E$40)),TEXT(INDEX('Licences'!$I$4:$I$503,_calc!$E$40),"yyyy-mm-dd"),""))</f>
        <v/>
      </c>
      <c r="E38" s="44">
        <f>IF(_calc!$E$40="","",IF(LEN(INDEX('Licences'!$H$4:$H$503,_calc!$E$40))=0,"",INDEX('Licences'!$H$4:$H$503,_calc!$E$40)))</f>
        <v/>
      </c>
      <c r="F38" s="44">
        <f>IF(_calc!$E$40="","",TRIM(IF(LEN(IF(LEN(INDEX('Licences'!$D$4:$D$503,_calc!$E$40))=0,"",INDEX('Licences'!$D$4:$D$503,_calc!$E$40)))=0,"","Ref: "&amp;IF(LEN(INDEX('Licences'!$D$4:$D$503,_calc!$E$40))=0,"",INDEX('Licences'!$D$4:$D$503,_calc!$E$40))&amp;". ")&amp;IF(LEN(IF(LEN(INDEX('Licences'!$C$4:$C$503,_calc!$E$40))=0,"",INDEX('Licences'!$C$4:$C$503,_calc!$E$40)))=0,"","Issuer: "&amp;IF(LEN(INDEX('Licences'!$C$4:$C$503,_calc!$E$40))=0,"",INDEX('Licences'!$C$4:$C$503,_calc!$E$40))&amp;". ")&amp;IF(LEN(IF(LEN(INDEX('Licences'!$E$4:$E$503,_calc!$E$40))=0,"",INDEX('Licences'!$E$4:$E$503,_calc!$E$40)))=0,"","Site: "&amp;IF(LEN(INDEX('Licences'!$E$4:$E$503,_calc!$E$40))=0,"",INDEX('Licences'!$E$4:$E$503,_calc!$E$40))&amp;". ")&amp;IF(LEN(IF(LEN(INDEX('Licences'!$F$4:$F$503,_calc!$E$40))=0,"",INDEX('Licences'!$F$4:$F$503,_calc!$E$40)))=0,"","Owner: "&amp;IF(LEN(INDEX('Licences'!$F$4:$F$503,_calc!$E$40))=0,"",INDEX('Licences'!$F$4:$F$503,_calc!$E$40))&amp;". ")&amp;IF(LEN(IF(LEN(INDEX('Licences'!$R$4:$R$503,_calc!$E$40))=0,"",INDEX('Licences'!$R$4:$R$503,_calc!$E$40)))=0,"",IF(LEN(INDEX('Licences'!$R$4:$R$503,_calc!$E$40))=0,"",INDEX('Licences'!$R$4:$R$503,_calc!$E$40)))))</f>
        <v/>
      </c>
      <c r="G38" s="44">
        <f>IF(_calc!$E$40="","",IF(LEN(INDEX('Licences'!$Q$4:$Q$503,_calc!$E$40))=0,"",INDEX('Licences'!$Q$4:$Q$503,_calc!$E$40)))</f>
        <v/>
      </c>
      <c r="H38" s="44">
        <f>IF(_calc!$E$40="","",IF(LEN(INDEX('Licences'!$O$4:$O$503,_calc!$E$40))=0,"",INDEX('Licences'!$O$4:$O$503,_calc!$E$40)))</f>
        <v/>
      </c>
      <c r="I38" s="44">
        <f>IF(_calc!$E$40="","",IF(LEN(INDEX('Licences'!$P$4:$P$503,_calc!$E$40))=0,"",INDEX('Licences'!$P$4:$P$503,_calc!$E$40)))</f>
        <v/>
      </c>
      <c r="K38" s="44">
        <f>IF(_calc!$E$40="","",IF(LEN(INDEX('Licences'!$G$4:$G$503,_calc!$E$40))=0,"",INDEX('Licences'!$G$4:$G$503,_calc!$E$40)))</f>
        <v/>
      </c>
    </row>
    <row r="39">
      <c r="A39" s="44">
        <f>IF(_calc!$E$41="","",IF(LEN(INDEX('Licences'!$A$4:$A$503,_calc!$E$41))=0,"",INDEX('Licences'!$A$4:$A$503,_calc!$E$41)))</f>
        <v/>
      </c>
      <c r="B39" s="44">
        <f>IF(_calc!$E$41="","",IF(ISNUMBER(INDEX('Licences'!$J$4:$J$503,_calc!$E$41)),TEXT(INDEX('Licences'!$J$4:$J$503,_calc!$E$41),"yyyy-mm-dd"),""))</f>
        <v/>
      </c>
      <c r="C39" s="44">
        <f>IF(_calc!$E$41="","",IF(LEN(INDEX('Licences'!$B$4:$B$503,_calc!$E$41))=0,"",INDEX('Licences'!$B$4:$B$503,_calc!$E$41)))</f>
        <v/>
      </c>
      <c r="D39" s="44">
        <f>IF(_calc!$E$41="","",IF(ISNUMBER(INDEX('Licences'!$I$4:$I$503,_calc!$E$41)),TEXT(INDEX('Licences'!$I$4:$I$503,_calc!$E$41),"yyyy-mm-dd"),""))</f>
        <v/>
      </c>
      <c r="E39" s="44">
        <f>IF(_calc!$E$41="","",IF(LEN(INDEX('Licences'!$H$4:$H$503,_calc!$E$41))=0,"",INDEX('Licences'!$H$4:$H$503,_calc!$E$41)))</f>
        <v/>
      </c>
      <c r="F39" s="44">
        <f>IF(_calc!$E$41="","",TRIM(IF(LEN(IF(LEN(INDEX('Licences'!$D$4:$D$503,_calc!$E$41))=0,"",INDEX('Licences'!$D$4:$D$503,_calc!$E$41)))=0,"","Ref: "&amp;IF(LEN(INDEX('Licences'!$D$4:$D$503,_calc!$E$41))=0,"",INDEX('Licences'!$D$4:$D$503,_calc!$E$41))&amp;". ")&amp;IF(LEN(IF(LEN(INDEX('Licences'!$C$4:$C$503,_calc!$E$41))=0,"",INDEX('Licences'!$C$4:$C$503,_calc!$E$41)))=0,"","Issuer: "&amp;IF(LEN(INDEX('Licences'!$C$4:$C$503,_calc!$E$41))=0,"",INDEX('Licences'!$C$4:$C$503,_calc!$E$41))&amp;". ")&amp;IF(LEN(IF(LEN(INDEX('Licences'!$E$4:$E$503,_calc!$E$41))=0,"",INDEX('Licences'!$E$4:$E$503,_calc!$E$41)))=0,"","Site: "&amp;IF(LEN(INDEX('Licences'!$E$4:$E$503,_calc!$E$41))=0,"",INDEX('Licences'!$E$4:$E$503,_calc!$E$41))&amp;". ")&amp;IF(LEN(IF(LEN(INDEX('Licences'!$F$4:$F$503,_calc!$E$41))=0,"",INDEX('Licences'!$F$4:$F$503,_calc!$E$41)))=0,"","Owner: "&amp;IF(LEN(INDEX('Licences'!$F$4:$F$503,_calc!$E$41))=0,"",INDEX('Licences'!$F$4:$F$503,_calc!$E$41))&amp;". ")&amp;IF(LEN(IF(LEN(INDEX('Licences'!$R$4:$R$503,_calc!$E$41))=0,"",INDEX('Licences'!$R$4:$R$503,_calc!$E$41)))=0,"",IF(LEN(INDEX('Licences'!$R$4:$R$503,_calc!$E$41))=0,"",INDEX('Licences'!$R$4:$R$503,_calc!$E$41)))))</f>
        <v/>
      </c>
      <c r="G39" s="44">
        <f>IF(_calc!$E$41="","",IF(LEN(INDEX('Licences'!$Q$4:$Q$503,_calc!$E$41))=0,"",INDEX('Licences'!$Q$4:$Q$503,_calc!$E$41)))</f>
        <v/>
      </c>
      <c r="H39" s="44">
        <f>IF(_calc!$E$41="","",IF(LEN(INDEX('Licences'!$O$4:$O$503,_calc!$E$41))=0,"",INDEX('Licences'!$O$4:$O$503,_calc!$E$41)))</f>
        <v/>
      </c>
      <c r="I39" s="44">
        <f>IF(_calc!$E$41="","",IF(LEN(INDEX('Licences'!$P$4:$P$503,_calc!$E$41))=0,"",INDEX('Licences'!$P$4:$P$503,_calc!$E$41)))</f>
        <v/>
      </c>
      <c r="K39" s="44">
        <f>IF(_calc!$E$41="","",IF(LEN(INDEX('Licences'!$G$4:$G$503,_calc!$E$41))=0,"",INDEX('Licences'!$G$4:$G$503,_calc!$E$41)))</f>
        <v/>
      </c>
    </row>
    <row r="40">
      <c r="A40" s="44">
        <f>IF(_calc!$E$42="","",IF(LEN(INDEX('Licences'!$A$4:$A$503,_calc!$E$42))=0,"",INDEX('Licences'!$A$4:$A$503,_calc!$E$42)))</f>
        <v/>
      </c>
      <c r="B40" s="44">
        <f>IF(_calc!$E$42="","",IF(ISNUMBER(INDEX('Licences'!$J$4:$J$503,_calc!$E$42)),TEXT(INDEX('Licences'!$J$4:$J$503,_calc!$E$42),"yyyy-mm-dd"),""))</f>
        <v/>
      </c>
      <c r="C40" s="44">
        <f>IF(_calc!$E$42="","",IF(LEN(INDEX('Licences'!$B$4:$B$503,_calc!$E$42))=0,"",INDEX('Licences'!$B$4:$B$503,_calc!$E$42)))</f>
        <v/>
      </c>
      <c r="D40" s="44">
        <f>IF(_calc!$E$42="","",IF(ISNUMBER(INDEX('Licences'!$I$4:$I$503,_calc!$E$42)),TEXT(INDEX('Licences'!$I$4:$I$503,_calc!$E$42),"yyyy-mm-dd"),""))</f>
        <v/>
      </c>
      <c r="E40" s="44">
        <f>IF(_calc!$E$42="","",IF(LEN(INDEX('Licences'!$H$4:$H$503,_calc!$E$42))=0,"",INDEX('Licences'!$H$4:$H$503,_calc!$E$42)))</f>
        <v/>
      </c>
      <c r="F40" s="44">
        <f>IF(_calc!$E$42="","",TRIM(IF(LEN(IF(LEN(INDEX('Licences'!$D$4:$D$503,_calc!$E$42))=0,"",INDEX('Licences'!$D$4:$D$503,_calc!$E$42)))=0,"","Ref: "&amp;IF(LEN(INDEX('Licences'!$D$4:$D$503,_calc!$E$42))=0,"",INDEX('Licences'!$D$4:$D$503,_calc!$E$42))&amp;". ")&amp;IF(LEN(IF(LEN(INDEX('Licences'!$C$4:$C$503,_calc!$E$42))=0,"",INDEX('Licences'!$C$4:$C$503,_calc!$E$42)))=0,"","Issuer: "&amp;IF(LEN(INDEX('Licences'!$C$4:$C$503,_calc!$E$42))=0,"",INDEX('Licences'!$C$4:$C$503,_calc!$E$42))&amp;". ")&amp;IF(LEN(IF(LEN(INDEX('Licences'!$E$4:$E$503,_calc!$E$42))=0,"",INDEX('Licences'!$E$4:$E$503,_calc!$E$42)))=0,"","Site: "&amp;IF(LEN(INDEX('Licences'!$E$4:$E$503,_calc!$E$42))=0,"",INDEX('Licences'!$E$4:$E$503,_calc!$E$42))&amp;". ")&amp;IF(LEN(IF(LEN(INDEX('Licences'!$F$4:$F$503,_calc!$E$42))=0,"",INDEX('Licences'!$F$4:$F$503,_calc!$E$42)))=0,"","Owner: "&amp;IF(LEN(INDEX('Licences'!$F$4:$F$503,_calc!$E$42))=0,"",INDEX('Licences'!$F$4:$F$503,_calc!$E$42))&amp;". ")&amp;IF(LEN(IF(LEN(INDEX('Licences'!$R$4:$R$503,_calc!$E$42))=0,"",INDEX('Licences'!$R$4:$R$503,_calc!$E$42)))=0,"",IF(LEN(INDEX('Licences'!$R$4:$R$503,_calc!$E$42))=0,"",INDEX('Licences'!$R$4:$R$503,_calc!$E$42)))))</f>
        <v/>
      </c>
      <c r="G40" s="44">
        <f>IF(_calc!$E$42="","",IF(LEN(INDEX('Licences'!$Q$4:$Q$503,_calc!$E$42))=0,"",INDEX('Licences'!$Q$4:$Q$503,_calc!$E$42)))</f>
        <v/>
      </c>
      <c r="H40" s="44">
        <f>IF(_calc!$E$42="","",IF(LEN(INDEX('Licences'!$O$4:$O$503,_calc!$E$42))=0,"",INDEX('Licences'!$O$4:$O$503,_calc!$E$42)))</f>
        <v/>
      </c>
      <c r="I40" s="44">
        <f>IF(_calc!$E$42="","",IF(LEN(INDEX('Licences'!$P$4:$P$503,_calc!$E$42))=0,"",INDEX('Licences'!$P$4:$P$503,_calc!$E$42)))</f>
        <v/>
      </c>
      <c r="K40" s="44">
        <f>IF(_calc!$E$42="","",IF(LEN(INDEX('Licences'!$G$4:$G$503,_calc!$E$42))=0,"",INDEX('Licences'!$G$4:$G$503,_calc!$E$42)))</f>
        <v/>
      </c>
    </row>
    <row r="41">
      <c r="A41" s="44">
        <f>IF(_calc!$E$43="","",IF(LEN(INDEX('Licences'!$A$4:$A$503,_calc!$E$43))=0,"",INDEX('Licences'!$A$4:$A$503,_calc!$E$43)))</f>
        <v/>
      </c>
      <c r="B41" s="44">
        <f>IF(_calc!$E$43="","",IF(ISNUMBER(INDEX('Licences'!$J$4:$J$503,_calc!$E$43)),TEXT(INDEX('Licences'!$J$4:$J$503,_calc!$E$43),"yyyy-mm-dd"),""))</f>
        <v/>
      </c>
      <c r="C41" s="44">
        <f>IF(_calc!$E$43="","",IF(LEN(INDEX('Licences'!$B$4:$B$503,_calc!$E$43))=0,"",INDEX('Licences'!$B$4:$B$503,_calc!$E$43)))</f>
        <v/>
      </c>
      <c r="D41" s="44">
        <f>IF(_calc!$E$43="","",IF(ISNUMBER(INDEX('Licences'!$I$4:$I$503,_calc!$E$43)),TEXT(INDEX('Licences'!$I$4:$I$503,_calc!$E$43),"yyyy-mm-dd"),""))</f>
        <v/>
      </c>
      <c r="E41" s="44">
        <f>IF(_calc!$E$43="","",IF(LEN(INDEX('Licences'!$H$4:$H$503,_calc!$E$43))=0,"",INDEX('Licences'!$H$4:$H$503,_calc!$E$43)))</f>
        <v/>
      </c>
      <c r="F41" s="44">
        <f>IF(_calc!$E$43="","",TRIM(IF(LEN(IF(LEN(INDEX('Licences'!$D$4:$D$503,_calc!$E$43))=0,"",INDEX('Licences'!$D$4:$D$503,_calc!$E$43)))=0,"","Ref: "&amp;IF(LEN(INDEX('Licences'!$D$4:$D$503,_calc!$E$43))=0,"",INDEX('Licences'!$D$4:$D$503,_calc!$E$43))&amp;". ")&amp;IF(LEN(IF(LEN(INDEX('Licences'!$C$4:$C$503,_calc!$E$43))=0,"",INDEX('Licences'!$C$4:$C$503,_calc!$E$43)))=0,"","Issuer: "&amp;IF(LEN(INDEX('Licences'!$C$4:$C$503,_calc!$E$43))=0,"",INDEX('Licences'!$C$4:$C$503,_calc!$E$43))&amp;". ")&amp;IF(LEN(IF(LEN(INDEX('Licences'!$E$4:$E$503,_calc!$E$43))=0,"",INDEX('Licences'!$E$4:$E$503,_calc!$E$43)))=0,"","Site: "&amp;IF(LEN(INDEX('Licences'!$E$4:$E$503,_calc!$E$43))=0,"",INDEX('Licences'!$E$4:$E$503,_calc!$E$43))&amp;". ")&amp;IF(LEN(IF(LEN(INDEX('Licences'!$F$4:$F$503,_calc!$E$43))=0,"",INDEX('Licences'!$F$4:$F$503,_calc!$E$43)))=0,"","Owner: "&amp;IF(LEN(INDEX('Licences'!$F$4:$F$503,_calc!$E$43))=0,"",INDEX('Licences'!$F$4:$F$503,_calc!$E$43))&amp;". ")&amp;IF(LEN(IF(LEN(INDEX('Licences'!$R$4:$R$503,_calc!$E$43))=0,"",INDEX('Licences'!$R$4:$R$503,_calc!$E$43)))=0,"",IF(LEN(INDEX('Licences'!$R$4:$R$503,_calc!$E$43))=0,"",INDEX('Licences'!$R$4:$R$503,_calc!$E$43)))))</f>
        <v/>
      </c>
      <c r="G41" s="44">
        <f>IF(_calc!$E$43="","",IF(LEN(INDEX('Licences'!$Q$4:$Q$503,_calc!$E$43))=0,"",INDEX('Licences'!$Q$4:$Q$503,_calc!$E$43)))</f>
        <v/>
      </c>
      <c r="H41" s="44">
        <f>IF(_calc!$E$43="","",IF(LEN(INDEX('Licences'!$O$4:$O$503,_calc!$E$43))=0,"",INDEX('Licences'!$O$4:$O$503,_calc!$E$43)))</f>
        <v/>
      </c>
      <c r="I41" s="44">
        <f>IF(_calc!$E$43="","",IF(LEN(INDEX('Licences'!$P$4:$P$503,_calc!$E$43))=0,"",INDEX('Licences'!$P$4:$P$503,_calc!$E$43)))</f>
        <v/>
      </c>
      <c r="K41" s="44">
        <f>IF(_calc!$E$43="","",IF(LEN(INDEX('Licences'!$G$4:$G$503,_calc!$E$43))=0,"",INDEX('Licences'!$G$4:$G$503,_calc!$E$43)))</f>
        <v/>
      </c>
    </row>
    <row r="42">
      <c r="A42" s="44">
        <f>IF(_calc!$E$44="","",IF(LEN(INDEX('Licences'!$A$4:$A$503,_calc!$E$44))=0,"",INDEX('Licences'!$A$4:$A$503,_calc!$E$44)))</f>
        <v/>
      </c>
      <c r="B42" s="44">
        <f>IF(_calc!$E$44="","",IF(ISNUMBER(INDEX('Licences'!$J$4:$J$503,_calc!$E$44)),TEXT(INDEX('Licences'!$J$4:$J$503,_calc!$E$44),"yyyy-mm-dd"),""))</f>
        <v/>
      </c>
      <c r="C42" s="44">
        <f>IF(_calc!$E$44="","",IF(LEN(INDEX('Licences'!$B$4:$B$503,_calc!$E$44))=0,"",INDEX('Licences'!$B$4:$B$503,_calc!$E$44)))</f>
        <v/>
      </c>
      <c r="D42" s="44">
        <f>IF(_calc!$E$44="","",IF(ISNUMBER(INDEX('Licences'!$I$4:$I$503,_calc!$E$44)),TEXT(INDEX('Licences'!$I$4:$I$503,_calc!$E$44),"yyyy-mm-dd"),""))</f>
        <v/>
      </c>
      <c r="E42" s="44">
        <f>IF(_calc!$E$44="","",IF(LEN(INDEX('Licences'!$H$4:$H$503,_calc!$E$44))=0,"",INDEX('Licences'!$H$4:$H$503,_calc!$E$44)))</f>
        <v/>
      </c>
      <c r="F42" s="44">
        <f>IF(_calc!$E$44="","",TRIM(IF(LEN(IF(LEN(INDEX('Licences'!$D$4:$D$503,_calc!$E$44))=0,"",INDEX('Licences'!$D$4:$D$503,_calc!$E$44)))=0,"","Ref: "&amp;IF(LEN(INDEX('Licences'!$D$4:$D$503,_calc!$E$44))=0,"",INDEX('Licences'!$D$4:$D$503,_calc!$E$44))&amp;". ")&amp;IF(LEN(IF(LEN(INDEX('Licences'!$C$4:$C$503,_calc!$E$44))=0,"",INDEX('Licences'!$C$4:$C$503,_calc!$E$44)))=0,"","Issuer: "&amp;IF(LEN(INDEX('Licences'!$C$4:$C$503,_calc!$E$44))=0,"",INDEX('Licences'!$C$4:$C$503,_calc!$E$44))&amp;". ")&amp;IF(LEN(IF(LEN(INDEX('Licences'!$E$4:$E$503,_calc!$E$44))=0,"",INDEX('Licences'!$E$4:$E$503,_calc!$E$44)))=0,"","Site: "&amp;IF(LEN(INDEX('Licences'!$E$4:$E$503,_calc!$E$44))=0,"",INDEX('Licences'!$E$4:$E$503,_calc!$E$44))&amp;". ")&amp;IF(LEN(IF(LEN(INDEX('Licences'!$F$4:$F$503,_calc!$E$44))=0,"",INDEX('Licences'!$F$4:$F$503,_calc!$E$44)))=0,"","Owner: "&amp;IF(LEN(INDEX('Licences'!$F$4:$F$503,_calc!$E$44))=0,"",INDEX('Licences'!$F$4:$F$503,_calc!$E$44))&amp;". ")&amp;IF(LEN(IF(LEN(INDEX('Licences'!$R$4:$R$503,_calc!$E$44))=0,"",INDEX('Licences'!$R$4:$R$503,_calc!$E$44)))=0,"",IF(LEN(INDEX('Licences'!$R$4:$R$503,_calc!$E$44))=0,"",INDEX('Licences'!$R$4:$R$503,_calc!$E$44)))))</f>
        <v/>
      </c>
      <c r="G42" s="44">
        <f>IF(_calc!$E$44="","",IF(LEN(INDEX('Licences'!$Q$4:$Q$503,_calc!$E$44))=0,"",INDEX('Licences'!$Q$4:$Q$503,_calc!$E$44)))</f>
        <v/>
      </c>
      <c r="H42" s="44">
        <f>IF(_calc!$E$44="","",IF(LEN(INDEX('Licences'!$O$4:$O$503,_calc!$E$44))=0,"",INDEX('Licences'!$O$4:$O$503,_calc!$E$44)))</f>
        <v/>
      </c>
      <c r="I42" s="44">
        <f>IF(_calc!$E$44="","",IF(LEN(INDEX('Licences'!$P$4:$P$503,_calc!$E$44))=0,"",INDEX('Licences'!$P$4:$P$503,_calc!$E$44)))</f>
        <v/>
      </c>
      <c r="K42" s="44">
        <f>IF(_calc!$E$44="","",IF(LEN(INDEX('Licences'!$G$4:$G$503,_calc!$E$44))=0,"",INDEX('Licences'!$G$4:$G$503,_calc!$E$44)))</f>
        <v/>
      </c>
    </row>
    <row r="43">
      <c r="A43" s="44">
        <f>IF(_calc!$E$45="","",IF(LEN(INDEX('Licences'!$A$4:$A$503,_calc!$E$45))=0,"",INDEX('Licences'!$A$4:$A$503,_calc!$E$45)))</f>
        <v/>
      </c>
      <c r="B43" s="44">
        <f>IF(_calc!$E$45="","",IF(ISNUMBER(INDEX('Licences'!$J$4:$J$503,_calc!$E$45)),TEXT(INDEX('Licences'!$J$4:$J$503,_calc!$E$45),"yyyy-mm-dd"),""))</f>
        <v/>
      </c>
      <c r="C43" s="44">
        <f>IF(_calc!$E$45="","",IF(LEN(INDEX('Licences'!$B$4:$B$503,_calc!$E$45))=0,"",INDEX('Licences'!$B$4:$B$503,_calc!$E$45)))</f>
        <v/>
      </c>
      <c r="D43" s="44">
        <f>IF(_calc!$E$45="","",IF(ISNUMBER(INDEX('Licences'!$I$4:$I$503,_calc!$E$45)),TEXT(INDEX('Licences'!$I$4:$I$503,_calc!$E$45),"yyyy-mm-dd"),""))</f>
        <v/>
      </c>
      <c r="E43" s="44">
        <f>IF(_calc!$E$45="","",IF(LEN(INDEX('Licences'!$H$4:$H$503,_calc!$E$45))=0,"",INDEX('Licences'!$H$4:$H$503,_calc!$E$45)))</f>
        <v/>
      </c>
      <c r="F43" s="44">
        <f>IF(_calc!$E$45="","",TRIM(IF(LEN(IF(LEN(INDEX('Licences'!$D$4:$D$503,_calc!$E$45))=0,"",INDEX('Licences'!$D$4:$D$503,_calc!$E$45)))=0,"","Ref: "&amp;IF(LEN(INDEX('Licences'!$D$4:$D$503,_calc!$E$45))=0,"",INDEX('Licences'!$D$4:$D$503,_calc!$E$45))&amp;". ")&amp;IF(LEN(IF(LEN(INDEX('Licences'!$C$4:$C$503,_calc!$E$45))=0,"",INDEX('Licences'!$C$4:$C$503,_calc!$E$45)))=0,"","Issuer: "&amp;IF(LEN(INDEX('Licences'!$C$4:$C$503,_calc!$E$45))=0,"",INDEX('Licences'!$C$4:$C$503,_calc!$E$45))&amp;". ")&amp;IF(LEN(IF(LEN(INDEX('Licences'!$E$4:$E$503,_calc!$E$45))=0,"",INDEX('Licences'!$E$4:$E$503,_calc!$E$45)))=0,"","Site: "&amp;IF(LEN(INDEX('Licences'!$E$4:$E$503,_calc!$E$45))=0,"",INDEX('Licences'!$E$4:$E$503,_calc!$E$45))&amp;". ")&amp;IF(LEN(IF(LEN(INDEX('Licences'!$F$4:$F$503,_calc!$E$45))=0,"",INDEX('Licences'!$F$4:$F$503,_calc!$E$45)))=0,"","Owner: "&amp;IF(LEN(INDEX('Licences'!$F$4:$F$503,_calc!$E$45))=0,"",INDEX('Licences'!$F$4:$F$503,_calc!$E$45))&amp;". ")&amp;IF(LEN(IF(LEN(INDEX('Licences'!$R$4:$R$503,_calc!$E$45))=0,"",INDEX('Licences'!$R$4:$R$503,_calc!$E$45)))=0,"",IF(LEN(INDEX('Licences'!$R$4:$R$503,_calc!$E$45))=0,"",INDEX('Licences'!$R$4:$R$503,_calc!$E$45)))))</f>
        <v/>
      </c>
      <c r="G43" s="44">
        <f>IF(_calc!$E$45="","",IF(LEN(INDEX('Licences'!$Q$4:$Q$503,_calc!$E$45))=0,"",INDEX('Licences'!$Q$4:$Q$503,_calc!$E$45)))</f>
        <v/>
      </c>
      <c r="H43" s="44">
        <f>IF(_calc!$E$45="","",IF(LEN(INDEX('Licences'!$O$4:$O$503,_calc!$E$45))=0,"",INDEX('Licences'!$O$4:$O$503,_calc!$E$45)))</f>
        <v/>
      </c>
      <c r="I43" s="44">
        <f>IF(_calc!$E$45="","",IF(LEN(INDEX('Licences'!$P$4:$P$503,_calc!$E$45))=0,"",INDEX('Licences'!$P$4:$P$503,_calc!$E$45)))</f>
        <v/>
      </c>
      <c r="K43" s="44">
        <f>IF(_calc!$E$45="","",IF(LEN(INDEX('Licences'!$G$4:$G$503,_calc!$E$45))=0,"",INDEX('Licences'!$G$4:$G$503,_calc!$E$45)))</f>
        <v/>
      </c>
    </row>
    <row r="44">
      <c r="A44" s="44">
        <f>IF(_calc!$E$46="","",IF(LEN(INDEX('Licences'!$A$4:$A$503,_calc!$E$46))=0,"",INDEX('Licences'!$A$4:$A$503,_calc!$E$46)))</f>
        <v/>
      </c>
      <c r="B44" s="44">
        <f>IF(_calc!$E$46="","",IF(ISNUMBER(INDEX('Licences'!$J$4:$J$503,_calc!$E$46)),TEXT(INDEX('Licences'!$J$4:$J$503,_calc!$E$46),"yyyy-mm-dd"),""))</f>
        <v/>
      </c>
      <c r="C44" s="44">
        <f>IF(_calc!$E$46="","",IF(LEN(INDEX('Licences'!$B$4:$B$503,_calc!$E$46))=0,"",INDEX('Licences'!$B$4:$B$503,_calc!$E$46)))</f>
        <v/>
      </c>
      <c r="D44" s="44">
        <f>IF(_calc!$E$46="","",IF(ISNUMBER(INDEX('Licences'!$I$4:$I$503,_calc!$E$46)),TEXT(INDEX('Licences'!$I$4:$I$503,_calc!$E$46),"yyyy-mm-dd"),""))</f>
        <v/>
      </c>
      <c r="E44" s="44">
        <f>IF(_calc!$E$46="","",IF(LEN(INDEX('Licences'!$H$4:$H$503,_calc!$E$46))=0,"",INDEX('Licences'!$H$4:$H$503,_calc!$E$46)))</f>
        <v/>
      </c>
      <c r="F44" s="44">
        <f>IF(_calc!$E$46="","",TRIM(IF(LEN(IF(LEN(INDEX('Licences'!$D$4:$D$503,_calc!$E$46))=0,"",INDEX('Licences'!$D$4:$D$503,_calc!$E$46)))=0,"","Ref: "&amp;IF(LEN(INDEX('Licences'!$D$4:$D$503,_calc!$E$46))=0,"",INDEX('Licences'!$D$4:$D$503,_calc!$E$46))&amp;". ")&amp;IF(LEN(IF(LEN(INDEX('Licences'!$C$4:$C$503,_calc!$E$46))=0,"",INDEX('Licences'!$C$4:$C$503,_calc!$E$46)))=0,"","Issuer: "&amp;IF(LEN(INDEX('Licences'!$C$4:$C$503,_calc!$E$46))=0,"",INDEX('Licences'!$C$4:$C$503,_calc!$E$46))&amp;". ")&amp;IF(LEN(IF(LEN(INDEX('Licences'!$E$4:$E$503,_calc!$E$46))=0,"",INDEX('Licences'!$E$4:$E$503,_calc!$E$46)))=0,"","Site: "&amp;IF(LEN(INDEX('Licences'!$E$4:$E$503,_calc!$E$46))=0,"",INDEX('Licences'!$E$4:$E$503,_calc!$E$46))&amp;". ")&amp;IF(LEN(IF(LEN(INDEX('Licences'!$F$4:$F$503,_calc!$E$46))=0,"",INDEX('Licences'!$F$4:$F$503,_calc!$E$46)))=0,"","Owner: "&amp;IF(LEN(INDEX('Licences'!$F$4:$F$503,_calc!$E$46))=0,"",INDEX('Licences'!$F$4:$F$503,_calc!$E$46))&amp;". ")&amp;IF(LEN(IF(LEN(INDEX('Licences'!$R$4:$R$503,_calc!$E$46))=0,"",INDEX('Licences'!$R$4:$R$503,_calc!$E$46)))=0,"",IF(LEN(INDEX('Licences'!$R$4:$R$503,_calc!$E$46))=0,"",INDEX('Licences'!$R$4:$R$503,_calc!$E$46)))))</f>
        <v/>
      </c>
      <c r="G44" s="44">
        <f>IF(_calc!$E$46="","",IF(LEN(INDEX('Licences'!$Q$4:$Q$503,_calc!$E$46))=0,"",INDEX('Licences'!$Q$4:$Q$503,_calc!$E$46)))</f>
        <v/>
      </c>
      <c r="H44" s="44">
        <f>IF(_calc!$E$46="","",IF(LEN(INDEX('Licences'!$O$4:$O$503,_calc!$E$46))=0,"",INDEX('Licences'!$O$4:$O$503,_calc!$E$46)))</f>
        <v/>
      </c>
      <c r="I44" s="44">
        <f>IF(_calc!$E$46="","",IF(LEN(INDEX('Licences'!$P$4:$P$503,_calc!$E$46))=0,"",INDEX('Licences'!$P$4:$P$503,_calc!$E$46)))</f>
        <v/>
      </c>
      <c r="K44" s="44">
        <f>IF(_calc!$E$46="","",IF(LEN(INDEX('Licences'!$G$4:$G$503,_calc!$E$46))=0,"",INDEX('Licences'!$G$4:$G$503,_calc!$E$46)))</f>
        <v/>
      </c>
    </row>
    <row r="45">
      <c r="A45" s="44">
        <f>IF(_calc!$E$47="","",IF(LEN(INDEX('Licences'!$A$4:$A$503,_calc!$E$47))=0,"",INDEX('Licences'!$A$4:$A$503,_calc!$E$47)))</f>
        <v/>
      </c>
      <c r="B45" s="44">
        <f>IF(_calc!$E$47="","",IF(ISNUMBER(INDEX('Licences'!$J$4:$J$503,_calc!$E$47)),TEXT(INDEX('Licences'!$J$4:$J$503,_calc!$E$47),"yyyy-mm-dd"),""))</f>
        <v/>
      </c>
      <c r="C45" s="44">
        <f>IF(_calc!$E$47="","",IF(LEN(INDEX('Licences'!$B$4:$B$503,_calc!$E$47))=0,"",INDEX('Licences'!$B$4:$B$503,_calc!$E$47)))</f>
        <v/>
      </c>
      <c r="D45" s="44">
        <f>IF(_calc!$E$47="","",IF(ISNUMBER(INDEX('Licences'!$I$4:$I$503,_calc!$E$47)),TEXT(INDEX('Licences'!$I$4:$I$503,_calc!$E$47),"yyyy-mm-dd"),""))</f>
        <v/>
      </c>
      <c r="E45" s="44">
        <f>IF(_calc!$E$47="","",IF(LEN(INDEX('Licences'!$H$4:$H$503,_calc!$E$47))=0,"",INDEX('Licences'!$H$4:$H$503,_calc!$E$47)))</f>
        <v/>
      </c>
      <c r="F45" s="44">
        <f>IF(_calc!$E$47="","",TRIM(IF(LEN(IF(LEN(INDEX('Licences'!$D$4:$D$503,_calc!$E$47))=0,"",INDEX('Licences'!$D$4:$D$503,_calc!$E$47)))=0,"","Ref: "&amp;IF(LEN(INDEX('Licences'!$D$4:$D$503,_calc!$E$47))=0,"",INDEX('Licences'!$D$4:$D$503,_calc!$E$47))&amp;". ")&amp;IF(LEN(IF(LEN(INDEX('Licences'!$C$4:$C$503,_calc!$E$47))=0,"",INDEX('Licences'!$C$4:$C$503,_calc!$E$47)))=0,"","Issuer: "&amp;IF(LEN(INDEX('Licences'!$C$4:$C$503,_calc!$E$47))=0,"",INDEX('Licences'!$C$4:$C$503,_calc!$E$47))&amp;". ")&amp;IF(LEN(IF(LEN(INDEX('Licences'!$E$4:$E$503,_calc!$E$47))=0,"",INDEX('Licences'!$E$4:$E$503,_calc!$E$47)))=0,"","Site: "&amp;IF(LEN(INDEX('Licences'!$E$4:$E$503,_calc!$E$47))=0,"",INDEX('Licences'!$E$4:$E$503,_calc!$E$47))&amp;". ")&amp;IF(LEN(IF(LEN(INDEX('Licences'!$F$4:$F$503,_calc!$E$47))=0,"",INDEX('Licences'!$F$4:$F$503,_calc!$E$47)))=0,"","Owner: "&amp;IF(LEN(INDEX('Licences'!$F$4:$F$503,_calc!$E$47))=0,"",INDEX('Licences'!$F$4:$F$503,_calc!$E$47))&amp;". ")&amp;IF(LEN(IF(LEN(INDEX('Licences'!$R$4:$R$503,_calc!$E$47))=0,"",INDEX('Licences'!$R$4:$R$503,_calc!$E$47)))=0,"",IF(LEN(INDEX('Licences'!$R$4:$R$503,_calc!$E$47))=0,"",INDEX('Licences'!$R$4:$R$503,_calc!$E$47)))))</f>
        <v/>
      </c>
      <c r="G45" s="44">
        <f>IF(_calc!$E$47="","",IF(LEN(INDEX('Licences'!$Q$4:$Q$503,_calc!$E$47))=0,"",INDEX('Licences'!$Q$4:$Q$503,_calc!$E$47)))</f>
        <v/>
      </c>
      <c r="H45" s="44">
        <f>IF(_calc!$E$47="","",IF(LEN(INDEX('Licences'!$O$4:$O$503,_calc!$E$47))=0,"",INDEX('Licences'!$O$4:$O$503,_calc!$E$47)))</f>
        <v/>
      </c>
      <c r="I45" s="44">
        <f>IF(_calc!$E$47="","",IF(LEN(INDEX('Licences'!$P$4:$P$503,_calc!$E$47))=0,"",INDEX('Licences'!$P$4:$P$503,_calc!$E$47)))</f>
        <v/>
      </c>
      <c r="K45" s="44">
        <f>IF(_calc!$E$47="","",IF(LEN(INDEX('Licences'!$G$4:$G$503,_calc!$E$47))=0,"",INDEX('Licences'!$G$4:$G$503,_calc!$E$47)))</f>
        <v/>
      </c>
    </row>
    <row r="46">
      <c r="A46" s="44">
        <f>IF(_calc!$E$48="","",IF(LEN(INDEX('Licences'!$A$4:$A$503,_calc!$E$48))=0,"",INDEX('Licences'!$A$4:$A$503,_calc!$E$48)))</f>
        <v/>
      </c>
      <c r="B46" s="44">
        <f>IF(_calc!$E$48="","",IF(ISNUMBER(INDEX('Licences'!$J$4:$J$503,_calc!$E$48)),TEXT(INDEX('Licences'!$J$4:$J$503,_calc!$E$48),"yyyy-mm-dd"),""))</f>
        <v/>
      </c>
      <c r="C46" s="44">
        <f>IF(_calc!$E$48="","",IF(LEN(INDEX('Licences'!$B$4:$B$503,_calc!$E$48))=0,"",INDEX('Licences'!$B$4:$B$503,_calc!$E$48)))</f>
        <v/>
      </c>
      <c r="D46" s="44">
        <f>IF(_calc!$E$48="","",IF(ISNUMBER(INDEX('Licences'!$I$4:$I$503,_calc!$E$48)),TEXT(INDEX('Licences'!$I$4:$I$503,_calc!$E$48),"yyyy-mm-dd"),""))</f>
        <v/>
      </c>
      <c r="E46" s="44">
        <f>IF(_calc!$E$48="","",IF(LEN(INDEX('Licences'!$H$4:$H$503,_calc!$E$48))=0,"",INDEX('Licences'!$H$4:$H$503,_calc!$E$48)))</f>
        <v/>
      </c>
      <c r="F46" s="44">
        <f>IF(_calc!$E$48="","",TRIM(IF(LEN(IF(LEN(INDEX('Licences'!$D$4:$D$503,_calc!$E$48))=0,"",INDEX('Licences'!$D$4:$D$503,_calc!$E$48)))=0,"","Ref: "&amp;IF(LEN(INDEX('Licences'!$D$4:$D$503,_calc!$E$48))=0,"",INDEX('Licences'!$D$4:$D$503,_calc!$E$48))&amp;". ")&amp;IF(LEN(IF(LEN(INDEX('Licences'!$C$4:$C$503,_calc!$E$48))=0,"",INDEX('Licences'!$C$4:$C$503,_calc!$E$48)))=0,"","Issuer: "&amp;IF(LEN(INDEX('Licences'!$C$4:$C$503,_calc!$E$48))=0,"",INDEX('Licences'!$C$4:$C$503,_calc!$E$48))&amp;". ")&amp;IF(LEN(IF(LEN(INDEX('Licences'!$E$4:$E$503,_calc!$E$48))=0,"",INDEX('Licences'!$E$4:$E$503,_calc!$E$48)))=0,"","Site: "&amp;IF(LEN(INDEX('Licences'!$E$4:$E$503,_calc!$E$48))=0,"",INDEX('Licences'!$E$4:$E$503,_calc!$E$48))&amp;". ")&amp;IF(LEN(IF(LEN(INDEX('Licences'!$F$4:$F$503,_calc!$E$48))=0,"",INDEX('Licences'!$F$4:$F$503,_calc!$E$48)))=0,"","Owner: "&amp;IF(LEN(INDEX('Licences'!$F$4:$F$503,_calc!$E$48))=0,"",INDEX('Licences'!$F$4:$F$503,_calc!$E$48))&amp;". ")&amp;IF(LEN(IF(LEN(INDEX('Licences'!$R$4:$R$503,_calc!$E$48))=0,"",INDEX('Licences'!$R$4:$R$503,_calc!$E$48)))=0,"",IF(LEN(INDEX('Licences'!$R$4:$R$503,_calc!$E$48))=0,"",INDEX('Licences'!$R$4:$R$503,_calc!$E$48)))))</f>
        <v/>
      </c>
      <c r="G46" s="44">
        <f>IF(_calc!$E$48="","",IF(LEN(INDEX('Licences'!$Q$4:$Q$503,_calc!$E$48))=0,"",INDEX('Licences'!$Q$4:$Q$503,_calc!$E$48)))</f>
        <v/>
      </c>
      <c r="H46" s="44">
        <f>IF(_calc!$E$48="","",IF(LEN(INDEX('Licences'!$O$4:$O$503,_calc!$E$48))=0,"",INDEX('Licences'!$O$4:$O$503,_calc!$E$48)))</f>
        <v/>
      </c>
      <c r="I46" s="44">
        <f>IF(_calc!$E$48="","",IF(LEN(INDEX('Licences'!$P$4:$P$503,_calc!$E$48))=0,"",INDEX('Licences'!$P$4:$P$503,_calc!$E$48)))</f>
        <v/>
      </c>
      <c r="K46" s="44">
        <f>IF(_calc!$E$48="","",IF(LEN(INDEX('Licences'!$G$4:$G$503,_calc!$E$48))=0,"",INDEX('Licences'!$G$4:$G$503,_calc!$E$48)))</f>
        <v/>
      </c>
    </row>
    <row r="47">
      <c r="A47" s="44">
        <f>IF(_calc!$E$49="","",IF(LEN(INDEX('Licences'!$A$4:$A$503,_calc!$E$49))=0,"",INDEX('Licences'!$A$4:$A$503,_calc!$E$49)))</f>
        <v/>
      </c>
      <c r="B47" s="44">
        <f>IF(_calc!$E$49="","",IF(ISNUMBER(INDEX('Licences'!$J$4:$J$503,_calc!$E$49)),TEXT(INDEX('Licences'!$J$4:$J$503,_calc!$E$49),"yyyy-mm-dd"),""))</f>
        <v/>
      </c>
      <c r="C47" s="44">
        <f>IF(_calc!$E$49="","",IF(LEN(INDEX('Licences'!$B$4:$B$503,_calc!$E$49))=0,"",INDEX('Licences'!$B$4:$B$503,_calc!$E$49)))</f>
        <v/>
      </c>
      <c r="D47" s="44">
        <f>IF(_calc!$E$49="","",IF(ISNUMBER(INDEX('Licences'!$I$4:$I$503,_calc!$E$49)),TEXT(INDEX('Licences'!$I$4:$I$503,_calc!$E$49),"yyyy-mm-dd"),""))</f>
        <v/>
      </c>
      <c r="E47" s="44">
        <f>IF(_calc!$E$49="","",IF(LEN(INDEX('Licences'!$H$4:$H$503,_calc!$E$49))=0,"",INDEX('Licences'!$H$4:$H$503,_calc!$E$49)))</f>
        <v/>
      </c>
      <c r="F47" s="44">
        <f>IF(_calc!$E$49="","",TRIM(IF(LEN(IF(LEN(INDEX('Licences'!$D$4:$D$503,_calc!$E$49))=0,"",INDEX('Licences'!$D$4:$D$503,_calc!$E$49)))=0,"","Ref: "&amp;IF(LEN(INDEX('Licences'!$D$4:$D$503,_calc!$E$49))=0,"",INDEX('Licences'!$D$4:$D$503,_calc!$E$49))&amp;". ")&amp;IF(LEN(IF(LEN(INDEX('Licences'!$C$4:$C$503,_calc!$E$49))=0,"",INDEX('Licences'!$C$4:$C$503,_calc!$E$49)))=0,"","Issuer: "&amp;IF(LEN(INDEX('Licences'!$C$4:$C$503,_calc!$E$49))=0,"",INDEX('Licences'!$C$4:$C$503,_calc!$E$49))&amp;". ")&amp;IF(LEN(IF(LEN(INDEX('Licences'!$E$4:$E$503,_calc!$E$49))=0,"",INDEX('Licences'!$E$4:$E$503,_calc!$E$49)))=0,"","Site: "&amp;IF(LEN(INDEX('Licences'!$E$4:$E$503,_calc!$E$49))=0,"",INDEX('Licences'!$E$4:$E$503,_calc!$E$49))&amp;". ")&amp;IF(LEN(IF(LEN(INDEX('Licences'!$F$4:$F$503,_calc!$E$49))=0,"",INDEX('Licences'!$F$4:$F$503,_calc!$E$49)))=0,"","Owner: "&amp;IF(LEN(INDEX('Licences'!$F$4:$F$503,_calc!$E$49))=0,"",INDEX('Licences'!$F$4:$F$503,_calc!$E$49))&amp;". ")&amp;IF(LEN(IF(LEN(INDEX('Licences'!$R$4:$R$503,_calc!$E$49))=0,"",INDEX('Licences'!$R$4:$R$503,_calc!$E$49)))=0,"",IF(LEN(INDEX('Licences'!$R$4:$R$503,_calc!$E$49))=0,"",INDEX('Licences'!$R$4:$R$503,_calc!$E$49)))))</f>
        <v/>
      </c>
      <c r="G47" s="44">
        <f>IF(_calc!$E$49="","",IF(LEN(INDEX('Licences'!$Q$4:$Q$503,_calc!$E$49))=0,"",INDEX('Licences'!$Q$4:$Q$503,_calc!$E$49)))</f>
        <v/>
      </c>
      <c r="H47" s="44">
        <f>IF(_calc!$E$49="","",IF(LEN(INDEX('Licences'!$O$4:$O$503,_calc!$E$49))=0,"",INDEX('Licences'!$O$4:$O$503,_calc!$E$49)))</f>
        <v/>
      </c>
      <c r="I47" s="44">
        <f>IF(_calc!$E$49="","",IF(LEN(INDEX('Licences'!$P$4:$P$503,_calc!$E$49))=0,"",INDEX('Licences'!$P$4:$P$503,_calc!$E$49)))</f>
        <v/>
      </c>
      <c r="K47" s="44">
        <f>IF(_calc!$E$49="","",IF(LEN(INDEX('Licences'!$G$4:$G$503,_calc!$E$49))=0,"",INDEX('Licences'!$G$4:$G$503,_calc!$E$49)))</f>
        <v/>
      </c>
    </row>
    <row r="48">
      <c r="A48" s="44">
        <f>IF(_calc!$E$50="","",IF(LEN(INDEX('Licences'!$A$4:$A$503,_calc!$E$50))=0,"",INDEX('Licences'!$A$4:$A$503,_calc!$E$50)))</f>
        <v/>
      </c>
      <c r="B48" s="44">
        <f>IF(_calc!$E$50="","",IF(ISNUMBER(INDEX('Licences'!$J$4:$J$503,_calc!$E$50)),TEXT(INDEX('Licences'!$J$4:$J$503,_calc!$E$50),"yyyy-mm-dd"),""))</f>
        <v/>
      </c>
      <c r="C48" s="44">
        <f>IF(_calc!$E$50="","",IF(LEN(INDEX('Licences'!$B$4:$B$503,_calc!$E$50))=0,"",INDEX('Licences'!$B$4:$B$503,_calc!$E$50)))</f>
        <v/>
      </c>
      <c r="D48" s="44">
        <f>IF(_calc!$E$50="","",IF(ISNUMBER(INDEX('Licences'!$I$4:$I$503,_calc!$E$50)),TEXT(INDEX('Licences'!$I$4:$I$503,_calc!$E$50),"yyyy-mm-dd"),""))</f>
        <v/>
      </c>
      <c r="E48" s="44">
        <f>IF(_calc!$E$50="","",IF(LEN(INDEX('Licences'!$H$4:$H$503,_calc!$E$50))=0,"",INDEX('Licences'!$H$4:$H$503,_calc!$E$50)))</f>
        <v/>
      </c>
      <c r="F48" s="44">
        <f>IF(_calc!$E$50="","",TRIM(IF(LEN(IF(LEN(INDEX('Licences'!$D$4:$D$503,_calc!$E$50))=0,"",INDEX('Licences'!$D$4:$D$503,_calc!$E$50)))=0,"","Ref: "&amp;IF(LEN(INDEX('Licences'!$D$4:$D$503,_calc!$E$50))=0,"",INDEX('Licences'!$D$4:$D$503,_calc!$E$50))&amp;". ")&amp;IF(LEN(IF(LEN(INDEX('Licences'!$C$4:$C$503,_calc!$E$50))=0,"",INDEX('Licences'!$C$4:$C$503,_calc!$E$50)))=0,"","Issuer: "&amp;IF(LEN(INDEX('Licences'!$C$4:$C$503,_calc!$E$50))=0,"",INDEX('Licences'!$C$4:$C$503,_calc!$E$50))&amp;". ")&amp;IF(LEN(IF(LEN(INDEX('Licences'!$E$4:$E$503,_calc!$E$50))=0,"",INDEX('Licences'!$E$4:$E$503,_calc!$E$50)))=0,"","Site: "&amp;IF(LEN(INDEX('Licences'!$E$4:$E$503,_calc!$E$50))=0,"",INDEX('Licences'!$E$4:$E$503,_calc!$E$50))&amp;". ")&amp;IF(LEN(IF(LEN(INDEX('Licences'!$F$4:$F$503,_calc!$E$50))=0,"",INDEX('Licences'!$F$4:$F$503,_calc!$E$50)))=0,"","Owner: "&amp;IF(LEN(INDEX('Licences'!$F$4:$F$503,_calc!$E$50))=0,"",INDEX('Licences'!$F$4:$F$503,_calc!$E$50))&amp;". ")&amp;IF(LEN(IF(LEN(INDEX('Licences'!$R$4:$R$503,_calc!$E$50))=0,"",INDEX('Licences'!$R$4:$R$503,_calc!$E$50)))=0,"",IF(LEN(INDEX('Licences'!$R$4:$R$503,_calc!$E$50))=0,"",INDEX('Licences'!$R$4:$R$503,_calc!$E$50)))))</f>
        <v/>
      </c>
      <c r="G48" s="44">
        <f>IF(_calc!$E$50="","",IF(LEN(INDEX('Licences'!$Q$4:$Q$503,_calc!$E$50))=0,"",INDEX('Licences'!$Q$4:$Q$503,_calc!$E$50)))</f>
        <v/>
      </c>
      <c r="H48" s="44">
        <f>IF(_calc!$E$50="","",IF(LEN(INDEX('Licences'!$O$4:$O$503,_calc!$E$50))=0,"",INDEX('Licences'!$O$4:$O$503,_calc!$E$50)))</f>
        <v/>
      </c>
      <c r="I48" s="44">
        <f>IF(_calc!$E$50="","",IF(LEN(INDEX('Licences'!$P$4:$P$503,_calc!$E$50))=0,"",INDEX('Licences'!$P$4:$P$503,_calc!$E$50)))</f>
        <v/>
      </c>
      <c r="K48" s="44">
        <f>IF(_calc!$E$50="","",IF(LEN(INDEX('Licences'!$G$4:$G$503,_calc!$E$50))=0,"",INDEX('Licences'!$G$4:$G$503,_calc!$E$50)))</f>
        <v/>
      </c>
    </row>
    <row r="49">
      <c r="A49" s="44">
        <f>IF(_calc!$E$51="","",IF(LEN(INDEX('Licences'!$A$4:$A$503,_calc!$E$51))=0,"",INDEX('Licences'!$A$4:$A$503,_calc!$E$51)))</f>
        <v/>
      </c>
      <c r="B49" s="44">
        <f>IF(_calc!$E$51="","",IF(ISNUMBER(INDEX('Licences'!$J$4:$J$503,_calc!$E$51)),TEXT(INDEX('Licences'!$J$4:$J$503,_calc!$E$51),"yyyy-mm-dd"),""))</f>
        <v/>
      </c>
      <c r="C49" s="44">
        <f>IF(_calc!$E$51="","",IF(LEN(INDEX('Licences'!$B$4:$B$503,_calc!$E$51))=0,"",INDEX('Licences'!$B$4:$B$503,_calc!$E$51)))</f>
        <v/>
      </c>
      <c r="D49" s="44">
        <f>IF(_calc!$E$51="","",IF(ISNUMBER(INDEX('Licences'!$I$4:$I$503,_calc!$E$51)),TEXT(INDEX('Licences'!$I$4:$I$503,_calc!$E$51),"yyyy-mm-dd"),""))</f>
        <v/>
      </c>
      <c r="E49" s="44">
        <f>IF(_calc!$E$51="","",IF(LEN(INDEX('Licences'!$H$4:$H$503,_calc!$E$51))=0,"",INDEX('Licences'!$H$4:$H$503,_calc!$E$51)))</f>
        <v/>
      </c>
      <c r="F49" s="44">
        <f>IF(_calc!$E$51="","",TRIM(IF(LEN(IF(LEN(INDEX('Licences'!$D$4:$D$503,_calc!$E$51))=0,"",INDEX('Licences'!$D$4:$D$503,_calc!$E$51)))=0,"","Ref: "&amp;IF(LEN(INDEX('Licences'!$D$4:$D$503,_calc!$E$51))=0,"",INDEX('Licences'!$D$4:$D$503,_calc!$E$51))&amp;". ")&amp;IF(LEN(IF(LEN(INDEX('Licences'!$C$4:$C$503,_calc!$E$51))=0,"",INDEX('Licences'!$C$4:$C$503,_calc!$E$51)))=0,"","Issuer: "&amp;IF(LEN(INDEX('Licences'!$C$4:$C$503,_calc!$E$51))=0,"",INDEX('Licences'!$C$4:$C$503,_calc!$E$51))&amp;". ")&amp;IF(LEN(IF(LEN(INDEX('Licences'!$E$4:$E$503,_calc!$E$51))=0,"",INDEX('Licences'!$E$4:$E$503,_calc!$E$51)))=0,"","Site: "&amp;IF(LEN(INDEX('Licences'!$E$4:$E$503,_calc!$E$51))=0,"",INDEX('Licences'!$E$4:$E$503,_calc!$E$51))&amp;". ")&amp;IF(LEN(IF(LEN(INDEX('Licences'!$F$4:$F$503,_calc!$E$51))=0,"",INDEX('Licences'!$F$4:$F$503,_calc!$E$51)))=0,"","Owner: "&amp;IF(LEN(INDEX('Licences'!$F$4:$F$503,_calc!$E$51))=0,"",INDEX('Licences'!$F$4:$F$503,_calc!$E$51))&amp;". ")&amp;IF(LEN(IF(LEN(INDEX('Licences'!$R$4:$R$503,_calc!$E$51))=0,"",INDEX('Licences'!$R$4:$R$503,_calc!$E$51)))=0,"",IF(LEN(INDEX('Licences'!$R$4:$R$503,_calc!$E$51))=0,"",INDEX('Licences'!$R$4:$R$503,_calc!$E$51)))))</f>
        <v/>
      </c>
      <c r="G49" s="44">
        <f>IF(_calc!$E$51="","",IF(LEN(INDEX('Licences'!$Q$4:$Q$503,_calc!$E$51))=0,"",INDEX('Licences'!$Q$4:$Q$503,_calc!$E$51)))</f>
        <v/>
      </c>
      <c r="H49" s="44">
        <f>IF(_calc!$E$51="","",IF(LEN(INDEX('Licences'!$O$4:$O$503,_calc!$E$51))=0,"",INDEX('Licences'!$O$4:$O$503,_calc!$E$51)))</f>
        <v/>
      </c>
      <c r="I49" s="44">
        <f>IF(_calc!$E$51="","",IF(LEN(INDEX('Licences'!$P$4:$P$503,_calc!$E$51))=0,"",INDEX('Licences'!$P$4:$P$503,_calc!$E$51)))</f>
        <v/>
      </c>
      <c r="K49" s="44">
        <f>IF(_calc!$E$51="","",IF(LEN(INDEX('Licences'!$G$4:$G$503,_calc!$E$51))=0,"",INDEX('Licences'!$G$4:$G$503,_calc!$E$51)))</f>
        <v/>
      </c>
    </row>
    <row r="50">
      <c r="A50" s="44">
        <f>IF(_calc!$E$52="","",IF(LEN(INDEX('Licences'!$A$4:$A$503,_calc!$E$52))=0,"",INDEX('Licences'!$A$4:$A$503,_calc!$E$52)))</f>
        <v/>
      </c>
      <c r="B50" s="44">
        <f>IF(_calc!$E$52="","",IF(ISNUMBER(INDEX('Licences'!$J$4:$J$503,_calc!$E$52)),TEXT(INDEX('Licences'!$J$4:$J$503,_calc!$E$52),"yyyy-mm-dd"),""))</f>
        <v/>
      </c>
      <c r="C50" s="44">
        <f>IF(_calc!$E$52="","",IF(LEN(INDEX('Licences'!$B$4:$B$503,_calc!$E$52))=0,"",INDEX('Licences'!$B$4:$B$503,_calc!$E$52)))</f>
        <v/>
      </c>
      <c r="D50" s="44">
        <f>IF(_calc!$E$52="","",IF(ISNUMBER(INDEX('Licences'!$I$4:$I$503,_calc!$E$52)),TEXT(INDEX('Licences'!$I$4:$I$503,_calc!$E$52),"yyyy-mm-dd"),""))</f>
        <v/>
      </c>
      <c r="E50" s="44">
        <f>IF(_calc!$E$52="","",IF(LEN(INDEX('Licences'!$H$4:$H$503,_calc!$E$52))=0,"",INDEX('Licences'!$H$4:$H$503,_calc!$E$52)))</f>
        <v/>
      </c>
      <c r="F50" s="44">
        <f>IF(_calc!$E$52="","",TRIM(IF(LEN(IF(LEN(INDEX('Licences'!$D$4:$D$503,_calc!$E$52))=0,"",INDEX('Licences'!$D$4:$D$503,_calc!$E$52)))=0,"","Ref: "&amp;IF(LEN(INDEX('Licences'!$D$4:$D$503,_calc!$E$52))=0,"",INDEX('Licences'!$D$4:$D$503,_calc!$E$52))&amp;". ")&amp;IF(LEN(IF(LEN(INDEX('Licences'!$C$4:$C$503,_calc!$E$52))=0,"",INDEX('Licences'!$C$4:$C$503,_calc!$E$52)))=0,"","Issuer: "&amp;IF(LEN(INDEX('Licences'!$C$4:$C$503,_calc!$E$52))=0,"",INDEX('Licences'!$C$4:$C$503,_calc!$E$52))&amp;". ")&amp;IF(LEN(IF(LEN(INDEX('Licences'!$E$4:$E$503,_calc!$E$52))=0,"",INDEX('Licences'!$E$4:$E$503,_calc!$E$52)))=0,"","Site: "&amp;IF(LEN(INDEX('Licences'!$E$4:$E$503,_calc!$E$52))=0,"",INDEX('Licences'!$E$4:$E$503,_calc!$E$52))&amp;". ")&amp;IF(LEN(IF(LEN(INDEX('Licences'!$F$4:$F$503,_calc!$E$52))=0,"",INDEX('Licences'!$F$4:$F$503,_calc!$E$52)))=0,"","Owner: "&amp;IF(LEN(INDEX('Licences'!$F$4:$F$503,_calc!$E$52))=0,"",INDEX('Licences'!$F$4:$F$503,_calc!$E$52))&amp;". ")&amp;IF(LEN(IF(LEN(INDEX('Licences'!$R$4:$R$503,_calc!$E$52))=0,"",INDEX('Licences'!$R$4:$R$503,_calc!$E$52)))=0,"",IF(LEN(INDEX('Licences'!$R$4:$R$503,_calc!$E$52))=0,"",INDEX('Licences'!$R$4:$R$503,_calc!$E$52)))))</f>
        <v/>
      </c>
      <c r="G50" s="44">
        <f>IF(_calc!$E$52="","",IF(LEN(INDEX('Licences'!$Q$4:$Q$503,_calc!$E$52))=0,"",INDEX('Licences'!$Q$4:$Q$503,_calc!$E$52)))</f>
        <v/>
      </c>
      <c r="H50" s="44">
        <f>IF(_calc!$E$52="","",IF(LEN(INDEX('Licences'!$O$4:$O$503,_calc!$E$52))=0,"",INDEX('Licences'!$O$4:$O$503,_calc!$E$52)))</f>
        <v/>
      </c>
      <c r="I50" s="44">
        <f>IF(_calc!$E$52="","",IF(LEN(INDEX('Licences'!$P$4:$P$503,_calc!$E$52))=0,"",INDEX('Licences'!$P$4:$P$503,_calc!$E$52)))</f>
        <v/>
      </c>
      <c r="K50" s="44">
        <f>IF(_calc!$E$52="","",IF(LEN(INDEX('Licences'!$G$4:$G$503,_calc!$E$52))=0,"",INDEX('Licences'!$G$4:$G$503,_calc!$E$52)))</f>
        <v/>
      </c>
    </row>
    <row r="51">
      <c r="A51" s="44">
        <f>IF(_calc!$E$53="","",IF(LEN(INDEX('Licences'!$A$4:$A$503,_calc!$E$53))=0,"",INDEX('Licences'!$A$4:$A$503,_calc!$E$53)))</f>
        <v/>
      </c>
      <c r="B51" s="44">
        <f>IF(_calc!$E$53="","",IF(ISNUMBER(INDEX('Licences'!$J$4:$J$503,_calc!$E$53)),TEXT(INDEX('Licences'!$J$4:$J$503,_calc!$E$53),"yyyy-mm-dd"),""))</f>
        <v/>
      </c>
      <c r="C51" s="44">
        <f>IF(_calc!$E$53="","",IF(LEN(INDEX('Licences'!$B$4:$B$503,_calc!$E$53))=0,"",INDEX('Licences'!$B$4:$B$503,_calc!$E$53)))</f>
        <v/>
      </c>
      <c r="D51" s="44">
        <f>IF(_calc!$E$53="","",IF(ISNUMBER(INDEX('Licences'!$I$4:$I$503,_calc!$E$53)),TEXT(INDEX('Licences'!$I$4:$I$503,_calc!$E$53),"yyyy-mm-dd"),""))</f>
        <v/>
      </c>
      <c r="E51" s="44">
        <f>IF(_calc!$E$53="","",IF(LEN(INDEX('Licences'!$H$4:$H$503,_calc!$E$53))=0,"",INDEX('Licences'!$H$4:$H$503,_calc!$E$53)))</f>
        <v/>
      </c>
      <c r="F51" s="44">
        <f>IF(_calc!$E$53="","",TRIM(IF(LEN(IF(LEN(INDEX('Licences'!$D$4:$D$503,_calc!$E$53))=0,"",INDEX('Licences'!$D$4:$D$503,_calc!$E$53)))=0,"","Ref: "&amp;IF(LEN(INDEX('Licences'!$D$4:$D$503,_calc!$E$53))=0,"",INDEX('Licences'!$D$4:$D$503,_calc!$E$53))&amp;". ")&amp;IF(LEN(IF(LEN(INDEX('Licences'!$C$4:$C$503,_calc!$E$53))=0,"",INDEX('Licences'!$C$4:$C$503,_calc!$E$53)))=0,"","Issuer: "&amp;IF(LEN(INDEX('Licences'!$C$4:$C$503,_calc!$E$53))=0,"",INDEX('Licences'!$C$4:$C$503,_calc!$E$53))&amp;". ")&amp;IF(LEN(IF(LEN(INDEX('Licences'!$E$4:$E$503,_calc!$E$53))=0,"",INDEX('Licences'!$E$4:$E$503,_calc!$E$53)))=0,"","Site: "&amp;IF(LEN(INDEX('Licences'!$E$4:$E$503,_calc!$E$53))=0,"",INDEX('Licences'!$E$4:$E$503,_calc!$E$53))&amp;". ")&amp;IF(LEN(IF(LEN(INDEX('Licences'!$F$4:$F$503,_calc!$E$53))=0,"",INDEX('Licences'!$F$4:$F$503,_calc!$E$53)))=0,"","Owner: "&amp;IF(LEN(INDEX('Licences'!$F$4:$F$503,_calc!$E$53))=0,"",INDEX('Licences'!$F$4:$F$503,_calc!$E$53))&amp;". ")&amp;IF(LEN(IF(LEN(INDEX('Licences'!$R$4:$R$503,_calc!$E$53))=0,"",INDEX('Licences'!$R$4:$R$503,_calc!$E$53)))=0,"",IF(LEN(INDEX('Licences'!$R$4:$R$503,_calc!$E$53))=0,"",INDEX('Licences'!$R$4:$R$503,_calc!$E$53)))))</f>
        <v/>
      </c>
      <c r="G51" s="44">
        <f>IF(_calc!$E$53="","",IF(LEN(INDEX('Licences'!$Q$4:$Q$503,_calc!$E$53))=0,"",INDEX('Licences'!$Q$4:$Q$503,_calc!$E$53)))</f>
        <v/>
      </c>
      <c r="H51" s="44">
        <f>IF(_calc!$E$53="","",IF(LEN(INDEX('Licences'!$O$4:$O$503,_calc!$E$53))=0,"",INDEX('Licences'!$O$4:$O$503,_calc!$E$53)))</f>
        <v/>
      </c>
      <c r="I51" s="44">
        <f>IF(_calc!$E$53="","",IF(LEN(INDEX('Licences'!$P$4:$P$503,_calc!$E$53))=0,"",INDEX('Licences'!$P$4:$P$503,_calc!$E$53)))</f>
        <v/>
      </c>
      <c r="K51" s="44">
        <f>IF(_calc!$E$53="","",IF(LEN(INDEX('Licences'!$G$4:$G$503,_calc!$E$53))=0,"",INDEX('Licences'!$G$4:$G$503,_calc!$E$53)))</f>
        <v/>
      </c>
    </row>
    <row r="52">
      <c r="A52" s="44">
        <f>IF(_calc!$E$54="","",IF(LEN(INDEX('Licences'!$A$4:$A$503,_calc!$E$54))=0,"",INDEX('Licences'!$A$4:$A$503,_calc!$E$54)))</f>
        <v/>
      </c>
      <c r="B52" s="44">
        <f>IF(_calc!$E$54="","",IF(ISNUMBER(INDEX('Licences'!$J$4:$J$503,_calc!$E$54)),TEXT(INDEX('Licences'!$J$4:$J$503,_calc!$E$54),"yyyy-mm-dd"),""))</f>
        <v/>
      </c>
      <c r="C52" s="44">
        <f>IF(_calc!$E$54="","",IF(LEN(INDEX('Licences'!$B$4:$B$503,_calc!$E$54))=0,"",INDEX('Licences'!$B$4:$B$503,_calc!$E$54)))</f>
        <v/>
      </c>
      <c r="D52" s="44">
        <f>IF(_calc!$E$54="","",IF(ISNUMBER(INDEX('Licences'!$I$4:$I$503,_calc!$E$54)),TEXT(INDEX('Licences'!$I$4:$I$503,_calc!$E$54),"yyyy-mm-dd"),""))</f>
        <v/>
      </c>
      <c r="E52" s="44">
        <f>IF(_calc!$E$54="","",IF(LEN(INDEX('Licences'!$H$4:$H$503,_calc!$E$54))=0,"",INDEX('Licences'!$H$4:$H$503,_calc!$E$54)))</f>
        <v/>
      </c>
      <c r="F52" s="44">
        <f>IF(_calc!$E$54="","",TRIM(IF(LEN(IF(LEN(INDEX('Licences'!$D$4:$D$503,_calc!$E$54))=0,"",INDEX('Licences'!$D$4:$D$503,_calc!$E$54)))=0,"","Ref: "&amp;IF(LEN(INDEX('Licences'!$D$4:$D$503,_calc!$E$54))=0,"",INDEX('Licences'!$D$4:$D$503,_calc!$E$54))&amp;". ")&amp;IF(LEN(IF(LEN(INDEX('Licences'!$C$4:$C$503,_calc!$E$54))=0,"",INDEX('Licences'!$C$4:$C$503,_calc!$E$54)))=0,"","Issuer: "&amp;IF(LEN(INDEX('Licences'!$C$4:$C$503,_calc!$E$54))=0,"",INDEX('Licences'!$C$4:$C$503,_calc!$E$54))&amp;". ")&amp;IF(LEN(IF(LEN(INDEX('Licences'!$E$4:$E$503,_calc!$E$54))=0,"",INDEX('Licences'!$E$4:$E$503,_calc!$E$54)))=0,"","Site: "&amp;IF(LEN(INDEX('Licences'!$E$4:$E$503,_calc!$E$54))=0,"",INDEX('Licences'!$E$4:$E$503,_calc!$E$54))&amp;". ")&amp;IF(LEN(IF(LEN(INDEX('Licences'!$F$4:$F$503,_calc!$E$54))=0,"",INDEX('Licences'!$F$4:$F$503,_calc!$E$54)))=0,"","Owner: "&amp;IF(LEN(INDEX('Licences'!$F$4:$F$503,_calc!$E$54))=0,"",INDEX('Licences'!$F$4:$F$503,_calc!$E$54))&amp;". ")&amp;IF(LEN(IF(LEN(INDEX('Licences'!$R$4:$R$503,_calc!$E$54))=0,"",INDEX('Licences'!$R$4:$R$503,_calc!$E$54)))=0,"",IF(LEN(INDEX('Licences'!$R$4:$R$503,_calc!$E$54))=0,"",INDEX('Licences'!$R$4:$R$503,_calc!$E$54)))))</f>
        <v/>
      </c>
      <c r="G52" s="44">
        <f>IF(_calc!$E$54="","",IF(LEN(INDEX('Licences'!$Q$4:$Q$503,_calc!$E$54))=0,"",INDEX('Licences'!$Q$4:$Q$503,_calc!$E$54)))</f>
        <v/>
      </c>
      <c r="H52" s="44">
        <f>IF(_calc!$E$54="","",IF(LEN(INDEX('Licences'!$O$4:$O$503,_calc!$E$54))=0,"",INDEX('Licences'!$O$4:$O$503,_calc!$E$54)))</f>
        <v/>
      </c>
      <c r="I52" s="44">
        <f>IF(_calc!$E$54="","",IF(LEN(INDEX('Licences'!$P$4:$P$503,_calc!$E$54))=0,"",INDEX('Licences'!$P$4:$P$503,_calc!$E$54)))</f>
        <v/>
      </c>
      <c r="K52" s="44">
        <f>IF(_calc!$E$54="","",IF(LEN(INDEX('Licences'!$G$4:$G$503,_calc!$E$54))=0,"",INDEX('Licences'!$G$4:$G$503,_calc!$E$54)))</f>
        <v/>
      </c>
    </row>
    <row r="53">
      <c r="A53" s="44">
        <f>IF(_calc!$E$55="","",IF(LEN(INDEX('Licences'!$A$4:$A$503,_calc!$E$55))=0,"",INDEX('Licences'!$A$4:$A$503,_calc!$E$55)))</f>
        <v/>
      </c>
      <c r="B53" s="44">
        <f>IF(_calc!$E$55="","",IF(ISNUMBER(INDEX('Licences'!$J$4:$J$503,_calc!$E$55)),TEXT(INDEX('Licences'!$J$4:$J$503,_calc!$E$55),"yyyy-mm-dd"),""))</f>
        <v/>
      </c>
      <c r="C53" s="44">
        <f>IF(_calc!$E$55="","",IF(LEN(INDEX('Licences'!$B$4:$B$503,_calc!$E$55))=0,"",INDEX('Licences'!$B$4:$B$503,_calc!$E$55)))</f>
        <v/>
      </c>
      <c r="D53" s="44">
        <f>IF(_calc!$E$55="","",IF(ISNUMBER(INDEX('Licences'!$I$4:$I$503,_calc!$E$55)),TEXT(INDEX('Licences'!$I$4:$I$503,_calc!$E$55),"yyyy-mm-dd"),""))</f>
        <v/>
      </c>
      <c r="E53" s="44">
        <f>IF(_calc!$E$55="","",IF(LEN(INDEX('Licences'!$H$4:$H$503,_calc!$E$55))=0,"",INDEX('Licences'!$H$4:$H$503,_calc!$E$55)))</f>
        <v/>
      </c>
      <c r="F53" s="44">
        <f>IF(_calc!$E$55="","",TRIM(IF(LEN(IF(LEN(INDEX('Licences'!$D$4:$D$503,_calc!$E$55))=0,"",INDEX('Licences'!$D$4:$D$503,_calc!$E$55)))=0,"","Ref: "&amp;IF(LEN(INDEX('Licences'!$D$4:$D$503,_calc!$E$55))=0,"",INDEX('Licences'!$D$4:$D$503,_calc!$E$55))&amp;". ")&amp;IF(LEN(IF(LEN(INDEX('Licences'!$C$4:$C$503,_calc!$E$55))=0,"",INDEX('Licences'!$C$4:$C$503,_calc!$E$55)))=0,"","Issuer: "&amp;IF(LEN(INDEX('Licences'!$C$4:$C$503,_calc!$E$55))=0,"",INDEX('Licences'!$C$4:$C$503,_calc!$E$55))&amp;". ")&amp;IF(LEN(IF(LEN(INDEX('Licences'!$E$4:$E$503,_calc!$E$55))=0,"",INDEX('Licences'!$E$4:$E$503,_calc!$E$55)))=0,"","Site: "&amp;IF(LEN(INDEX('Licences'!$E$4:$E$503,_calc!$E$55))=0,"",INDEX('Licences'!$E$4:$E$503,_calc!$E$55))&amp;". ")&amp;IF(LEN(IF(LEN(INDEX('Licences'!$F$4:$F$503,_calc!$E$55))=0,"",INDEX('Licences'!$F$4:$F$503,_calc!$E$55)))=0,"","Owner: "&amp;IF(LEN(INDEX('Licences'!$F$4:$F$503,_calc!$E$55))=0,"",INDEX('Licences'!$F$4:$F$503,_calc!$E$55))&amp;". ")&amp;IF(LEN(IF(LEN(INDEX('Licences'!$R$4:$R$503,_calc!$E$55))=0,"",INDEX('Licences'!$R$4:$R$503,_calc!$E$55)))=0,"",IF(LEN(INDEX('Licences'!$R$4:$R$503,_calc!$E$55))=0,"",INDEX('Licences'!$R$4:$R$503,_calc!$E$55)))))</f>
        <v/>
      </c>
      <c r="G53" s="44">
        <f>IF(_calc!$E$55="","",IF(LEN(INDEX('Licences'!$Q$4:$Q$503,_calc!$E$55))=0,"",INDEX('Licences'!$Q$4:$Q$503,_calc!$E$55)))</f>
        <v/>
      </c>
      <c r="H53" s="44">
        <f>IF(_calc!$E$55="","",IF(LEN(INDEX('Licences'!$O$4:$O$503,_calc!$E$55))=0,"",INDEX('Licences'!$O$4:$O$503,_calc!$E$55)))</f>
        <v/>
      </c>
      <c r="I53" s="44">
        <f>IF(_calc!$E$55="","",IF(LEN(INDEX('Licences'!$P$4:$P$503,_calc!$E$55))=0,"",INDEX('Licences'!$P$4:$P$503,_calc!$E$55)))</f>
        <v/>
      </c>
      <c r="K53" s="44">
        <f>IF(_calc!$E$55="","",IF(LEN(INDEX('Licences'!$G$4:$G$503,_calc!$E$55))=0,"",INDEX('Licences'!$G$4:$G$503,_calc!$E$55)))</f>
        <v/>
      </c>
    </row>
    <row r="54">
      <c r="A54" s="44">
        <f>IF(_calc!$E$56="","",IF(LEN(INDEX('Licences'!$A$4:$A$503,_calc!$E$56))=0,"",INDEX('Licences'!$A$4:$A$503,_calc!$E$56)))</f>
        <v/>
      </c>
      <c r="B54" s="44">
        <f>IF(_calc!$E$56="","",IF(ISNUMBER(INDEX('Licences'!$J$4:$J$503,_calc!$E$56)),TEXT(INDEX('Licences'!$J$4:$J$503,_calc!$E$56),"yyyy-mm-dd"),""))</f>
        <v/>
      </c>
      <c r="C54" s="44">
        <f>IF(_calc!$E$56="","",IF(LEN(INDEX('Licences'!$B$4:$B$503,_calc!$E$56))=0,"",INDEX('Licences'!$B$4:$B$503,_calc!$E$56)))</f>
        <v/>
      </c>
      <c r="D54" s="44">
        <f>IF(_calc!$E$56="","",IF(ISNUMBER(INDEX('Licences'!$I$4:$I$503,_calc!$E$56)),TEXT(INDEX('Licences'!$I$4:$I$503,_calc!$E$56),"yyyy-mm-dd"),""))</f>
        <v/>
      </c>
      <c r="E54" s="44">
        <f>IF(_calc!$E$56="","",IF(LEN(INDEX('Licences'!$H$4:$H$503,_calc!$E$56))=0,"",INDEX('Licences'!$H$4:$H$503,_calc!$E$56)))</f>
        <v/>
      </c>
      <c r="F54" s="44">
        <f>IF(_calc!$E$56="","",TRIM(IF(LEN(IF(LEN(INDEX('Licences'!$D$4:$D$503,_calc!$E$56))=0,"",INDEX('Licences'!$D$4:$D$503,_calc!$E$56)))=0,"","Ref: "&amp;IF(LEN(INDEX('Licences'!$D$4:$D$503,_calc!$E$56))=0,"",INDEX('Licences'!$D$4:$D$503,_calc!$E$56))&amp;". ")&amp;IF(LEN(IF(LEN(INDEX('Licences'!$C$4:$C$503,_calc!$E$56))=0,"",INDEX('Licences'!$C$4:$C$503,_calc!$E$56)))=0,"","Issuer: "&amp;IF(LEN(INDEX('Licences'!$C$4:$C$503,_calc!$E$56))=0,"",INDEX('Licences'!$C$4:$C$503,_calc!$E$56))&amp;". ")&amp;IF(LEN(IF(LEN(INDEX('Licences'!$E$4:$E$503,_calc!$E$56))=0,"",INDEX('Licences'!$E$4:$E$503,_calc!$E$56)))=0,"","Site: "&amp;IF(LEN(INDEX('Licences'!$E$4:$E$503,_calc!$E$56))=0,"",INDEX('Licences'!$E$4:$E$503,_calc!$E$56))&amp;". ")&amp;IF(LEN(IF(LEN(INDEX('Licences'!$F$4:$F$503,_calc!$E$56))=0,"",INDEX('Licences'!$F$4:$F$503,_calc!$E$56)))=0,"","Owner: "&amp;IF(LEN(INDEX('Licences'!$F$4:$F$503,_calc!$E$56))=0,"",INDEX('Licences'!$F$4:$F$503,_calc!$E$56))&amp;". ")&amp;IF(LEN(IF(LEN(INDEX('Licences'!$R$4:$R$503,_calc!$E$56))=0,"",INDEX('Licences'!$R$4:$R$503,_calc!$E$56)))=0,"",IF(LEN(INDEX('Licences'!$R$4:$R$503,_calc!$E$56))=0,"",INDEX('Licences'!$R$4:$R$503,_calc!$E$56)))))</f>
        <v/>
      </c>
      <c r="G54" s="44">
        <f>IF(_calc!$E$56="","",IF(LEN(INDEX('Licences'!$Q$4:$Q$503,_calc!$E$56))=0,"",INDEX('Licences'!$Q$4:$Q$503,_calc!$E$56)))</f>
        <v/>
      </c>
      <c r="H54" s="44">
        <f>IF(_calc!$E$56="","",IF(LEN(INDEX('Licences'!$O$4:$O$503,_calc!$E$56))=0,"",INDEX('Licences'!$O$4:$O$503,_calc!$E$56)))</f>
        <v/>
      </c>
      <c r="I54" s="44">
        <f>IF(_calc!$E$56="","",IF(LEN(INDEX('Licences'!$P$4:$P$503,_calc!$E$56))=0,"",INDEX('Licences'!$P$4:$P$503,_calc!$E$56)))</f>
        <v/>
      </c>
      <c r="K54" s="44">
        <f>IF(_calc!$E$56="","",IF(LEN(INDEX('Licences'!$G$4:$G$503,_calc!$E$56))=0,"",INDEX('Licences'!$G$4:$G$503,_calc!$E$56)))</f>
        <v/>
      </c>
    </row>
    <row r="55">
      <c r="A55" s="44">
        <f>IF(_calc!$E$57="","",IF(LEN(INDEX('Licences'!$A$4:$A$503,_calc!$E$57))=0,"",INDEX('Licences'!$A$4:$A$503,_calc!$E$57)))</f>
        <v/>
      </c>
      <c r="B55" s="44">
        <f>IF(_calc!$E$57="","",IF(ISNUMBER(INDEX('Licences'!$J$4:$J$503,_calc!$E$57)),TEXT(INDEX('Licences'!$J$4:$J$503,_calc!$E$57),"yyyy-mm-dd"),""))</f>
        <v/>
      </c>
      <c r="C55" s="44">
        <f>IF(_calc!$E$57="","",IF(LEN(INDEX('Licences'!$B$4:$B$503,_calc!$E$57))=0,"",INDEX('Licences'!$B$4:$B$503,_calc!$E$57)))</f>
        <v/>
      </c>
      <c r="D55" s="44">
        <f>IF(_calc!$E$57="","",IF(ISNUMBER(INDEX('Licences'!$I$4:$I$503,_calc!$E$57)),TEXT(INDEX('Licences'!$I$4:$I$503,_calc!$E$57),"yyyy-mm-dd"),""))</f>
        <v/>
      </c>
      <c r="E55" s="44">
        <f>IF(_calc!$E$57="","",IF(LEN(INDEX('Licences'!$H$4:$H$503,_calc!$E$57))=0,"",INDEX('Licences'!$H$4:$H$503,_calc!$E$57)))</f>
        <v/>
      </c>
      <c r="F55" s="44">
        <f>IF(_calc!$E$57="","",TRIM(IF(LEN(IF(LEN(INDEX('Licences'!$D$4:$D$503,_calc!$E$57))=0,"",INDEX('Licences'!$D$4:$D$503,_calc!$E$57)))=0,"","Ref: "&amp;IF(LEN(INDEX('Licences'!$D$4:$D$503,_calc!$E$57))=0,"",INDEX('Licences'!$D$4:$D$503,_calc!$E$57))&amp;". ")&amp;IF(LEN(IF(LEN(INDEX('Licences'!$C$4:$C$503,_calc!$E$57))=0,"",INDEX('Licences'!$C$4:$C$503,_calc!$E$57)))=0,"","Issuer: "&amp;IF(LEN(INDEX('Licences'!$C$4:$C$503,_calc!$E$57))=0,"",INDEX('Licences'!$C$4:$C$503,_calc!$E$57))&amp;". ")&amp;IF(LEN(IF(LEN(INDEX('Licences'!$E$4:$E$503,_calc!$E$57))=0,"",INDEX('Licences'!$E$4:$E$503,_calc!$E$57)))=0,"","Site: "&amp;IF(LEN(INDEX('Licences'!$E$4:$E$503,_calc!$E$57))=0,"",INDEX('Licences'!$E$4:$E$503,_calc!$E$57))&amp;". ")&amp;IF(LEN(IF(LEN(INDEX('Licences'!$F$4:$F$503,_calc!$E$57))=0,"",INDEX('Licences'!$F$4:$F$503,_calc!$E$57)))=0,"","Owner: "&amp;IF(LEN(INDEX('Licences'!$F$4:$F$503,_calc!$E$57))=0,"",INDEX('Licences'!$F$4:$F$503,_calc!$E$57))&amp;". ")&amp;IF(LEN(IF(LEN(INDEX('Licences'!$R$4:$R$503,_calc!$E$57))=0,"",INDEX('Licences'!$R$4:$R$503,_calc!$E$57)))=0,"",IF(LEN(INDEX('Licences'!$R$4:$R$503,_calc!$E$57))=0,"",INDEX('Licences'!$R$4:$R$503,_calc!$E$57)))))</f>
        <v/>
      </c>
      <c r="G55" s="44">
        <f>IF(_calc!$E$57="","",IF(LEN(INDEX('Licences'!$Q$4:$Q$503,_calc!$E$57))=0,"",INDEX('Licences'!$Q$4:$Q$503,_calc!$E$57)))</f>
        <v/>
      </c>
      <c r="H55" s="44">
        <f>IF(_calc!$E$57="","",IF(LEN(INDEX('Licences'!$O$4:$O$503,_calc!$E$57))=0,"",INDEX('Licences'!$O$4:$O$503,_calc!$E$57)))</f>
        <v/>
      </c>
      <c r="I55" s="44">
        <f>IF(_calc!$E$57="","",IF(LEN(INDEX('Licences'!$P$4:$P$503,_calc!$E$57))=0,"",INDEX('Licences'!$P$4:$P$503,_calc!$E$57)))</f>
        <v/>
      </c>
      <c r="K55" s="44">
        <f>IF(_calc!$E$57="","",IF(LEN(INDEX('Licences'!$G$4:$G$503,_calc!$E$57))=0,"",INDEX('Licences'!$G$4:$G$503,_calc!$E$57)))</f>
        <v/>
      </c>
    </row>
    <row r="56">
      <c r="A56" s="44">
        <f>IF(_calc!$E$58="","",IF(LEN(INDEX('Licences'!$A$4:$A$503,_calc!$E$58))=0,"",INDEX('Licences'!$A$4:$A$503,_calc!$E$58)))</f>
        <v/>
      </c>
      <c r="B56" s="44">
        <f>IF(_calc!$E$58="","",IF(ISNUMBER(INDEX('Licences'!$J$4:$J$503,_calc!$E$58)),TEXT(INDEX('Licences'!$J$4:$J$503,_calc!$E$58),"yyyy-mm-dd"),""))</f>
        <v/>
      </c>
      <c r="C56" s="44">
        <f>IF(_calc!$E$58="","",IF(LEN(INDEX('Licences'!$B$4:$B$503,_calc!$E$58))=0,"",INDEX('Licences'!$B$4:$B$503,_calc!$E$58)))</f>
        <v/>
      </c>
      <c r="D56" s="44">
        <f>IF(_calc!$E$58="","",IF(ISNUMBER(INDEX('Licences'!$I$4:$I$503,_calc!$E$58)),TEXT(INDEX('Licences'!$I$4:$I$503,_calc!$E$58),"yyyy-mm-dd"),""))</f>
        <v/>
      </c>
      <c r="E56" s="44">
        <f>IF(_calc!$E$58="","",IF(LEN(INDEX('Licences'!$H$4:$H$503,_calc!$E$58))=0,"",INDEX('Licences'!$H$4:$H$503,_calc!$E$58)))</f>
        <v/>
      </c>
      <c r="F56" s="44">
        <f>IF(_calc!$E$58="","",TRIM(IF(LEN(IF(LEN(INDEX('Licences'!$D$4:$D$503,_calc!$E$58))=0,"",INDEX('Licences'!$D$4:$D$503,_calc!$E$58)))=0,"","Ref: "&amp;IF(LEN(INDEX('Licences'!$D$4:$D$503,_calc!$E$58))=0,"",INDEX('Licences'!$D$4:$D$503,_calc!$E$58))&amp;". ")&amp;IF(LEN(IF(LEN(INDEX('Licences'!$C$4:$C$503,_calc!$E$58))=0,"",INDEX('Licences'!$C$4:$C$503,_calc!$E$58)))=0,"","Issuer: "&amp;IF(LEN(INDEX('Licences'!$C$4:$C$503,_calc!$E$58))=0,"",INDEX('Licences'!$C$4:$C$503,_calc!$E$58))&amp;". ")&amp;IF(LEN(IF(LEN(INDEX('Licences'!$E$4:$E$503,_calc!$E$58))=0,"",INDEX('Licences'!$E$4:$E$503,_calc!$E$58)))=0,"","Site: "&amp;IF(LEN(INDEX('Licences'!$E$4:$E$503,_calc!$E$58))=0,"",INDEX('Licences'!$E$4:$E$503,_calc!$E$58))&amp;". ")&amp;IF(LEN(IF(LEN(INDEX('Licences'!$F$4:$F$503,_calc!$E$58))=0,"",INDEX('Licences'!$F$4:$F$503,_calc!$E$58)))=0,"","Owner: "&amp;IF(LEN(INDEX('Licences'!$F$4:$F$503,_calc!$E$58))=0,"",INDEX('Licences'!$F$4:$F$503,_calc!$E$58))&amp;". ")&amp;IF(LEN(IF(LEN(INDEX('Licences'!$R$4:$R$503,_calc!$E$58))=0,"",INDEX('Licences'!$R$4:$R$503,_calc!$E$58)))=0,"",IF(LEN(INDEX('Licences'!$R$4:$R$503,_calc!$E$58))=0,"",INDEX('Licences'!$R$4:$R$503,_calc!$E$58)))))</f>
        <v/>
      </c>
      <c r="G56" s="44">
        <f>IF(_calc!$E$58="","",IF(LEN(INDEX('Licences'!$Q$4:$Q$503,_calc!$E$58))=0,"",INDEX('Licences'!$Q$4:$Q$503,_calc!$E$58)))</f>
        <v/>
      </c>
      <c r="H56" s="44">
        <f>IF(_calc!$E$58="","",IF(LEN(INDEX('Licences'!$O$4:$O$503,_calc!$E$58))=0,"",INDEX('Licences'!$O$4:$O$503,_calc!$E$58)))</f>
        <v/>
      </c>
      <c r="I56" s="44">
        <f>IF(_calc!$E$58="","",IF(LEN(INDEX('Licences'!$P$4:$P$503,_calc!$E$58))=0,"",INDEX('Licences'!$P$4:$P$503,_calc!$E$58)))</f>
        <v/>
      </c>
      <c r="K56" s="44">
        <f>IF(_calc!$E$58="","",IF(LEN(INDEX('Licences'!$G$4:$G$503,_calc!$E$58))=0,"",INDEX('Licences'!$G$4:$G$503,_calc!$E$58)))</f>
        <v/>
      </c>
    </row>
    <row r="57">
      <c r="A57" s="44">
        <f>IF(_calc!$E$59="","",IF(LEN(INDEX('Licences'!$A$4:$A$503,_calc!$E$59))=0,"",INDEX('Licences'!$A$4:$A$503,_calc!$E$59)))</f>
        <v/>
      </c>
      <c r="B57" s="44">
        <f>IF(_calc!$E$59="","",IF(ISNUMBER(INDEX('Licences'!$J$4:$J$503,_calc!$E$59)),TEXT(INDEX('Licences'!$J$4:$J$503,_calc!$E$59),"yyyy-mm-dd"),""))</f>
        <v/>
      </c>
      <c r="C57" s="44">
        <f>IF(_calc!$E$59="","",IF(LEN(INDEX('Licences'!$B$4:$B$503,_calc!$E$59))=0,"",INDEX('Licences'!$B$4:$B$503,_calc!$E$59)))</f>
        <v/>
      </c>
      <c r="D57" s="44">
        <f>IF(_calc!$E$59="","",IF(ISNUMBER(INDEX('Licences'!$I$4:$I$503,_calc!$E$59)),TEXT(INDEX('Licences'!$I$4:$I$503,_calc!$E$59),"yyyy-mm-dd"),""))</f>
        <v/>
      </c>
      <c r="E57" s="44">
        <f>IF(_calc!$E$59="","",IF(LEN(INDEX('Licences'!$H$4:$H$503,_calc!$E$59))=0,"",INDEX('Licences'!$H$4:$H$503,_calc!$E$59)))</f>
        <v/>
      </c>
      <c r="F57" s="44">
        <f>IF(_calc!$E$59="","",TRIM(IF(LEN(IF(LEN(INDEX('Licences'!$D$4:$D$503,_calc!$E$59))=0,"",INDEX('Licences'!$D$4:$D$503,_calc!$E$59)))=0,"","Ref: "&amp;IF(LEN(INDEX('Licences'!$D$4:$D$503,_calc!$E$59))=0,"",INDEX('Licences'!$D$4:$D$503,_calc!$E$59))&amp;". ")&amp;IF(LEN(IF(LEN(INDEX('Licences'!$C$4:$C$503,_calc!$E$59))=0,"",INDEX('Licences'!$C$4:$C$503,_calc!$E$59)))=0,"","Issuer: "&amp;IF(LEN(INDEX('Licences'!$C$4:$C$503,_calc!$E$59))=0,"",INDEX('Licences'!$C$4:$C$503,_calc!$E$59))&amp;". ")&amp;IF(LEN(IF(LEN(INDEX('Licences'!$E$4:$E$503,_calc!$E$59))=0,"",INDEX('Licences'!$E$4:$E$503,_calc!$E$59)))=0,"","Site: "&amp;IF(LEN(INDEX('Licences'!$E$4:$E$503,_calc!$E$59))=0,"",INDEX('Licences'!$E$4:$E$503,_calc!$E$59))&amp;". ")&amp;IF(LEN(IF(LEN(INDEX('Licences'!$F$4:$F$503,_calc!$E$59))=0,"",INDEX('Licences'!$F$4:$F$503,_calc!$E$59)))=0,"","Owner: "&amp;IF(LEN(INDEX('Licences'!$F$4:$F$503,_calc!$E$59))=0,"",INDEX('Licences'!$F$4:$F$503,_calc!$E$59))&amp;". ")&amp;IF(LEN(IF(LEN(INDEX('Licences'!$R$4:$R$503,_calc!$E$59))=0,"",INDEX('Licences'!$R$4:$R$503,_calc!$E$59)))=0,"",IF(LEN(INDEX('Licences'!$R$4:$R$503,_calc!$E$59))=0,"",INDEX('Licences'!$R$4:$R$503,_calc!$E$59)))))</f>
        <v/>
      </c>
      <c r="G57" s="44">
        <f>IF(_calc!$E$59="","",IF(LEN(INDEX('Licences'!$Q$4:$Q$503,_calc!$E$59))=0,"",INDEX('Licences'!$Q$4:$Q$503,_calc!$E$59)))</f>
        <v/>
      </c>
      <c r="H57" s="44">
        <f>IF(_calc!$E$59="","",IF(LEN(INDEX('Licences'!$O$4:$O$503,_calc!$E$59))=0,"",INDEX('Licences'!$O$4:$O$503,_calc!$E$59)))</f>
        <v/>
      </c>
      <c r="I57" s="44">
        <f>IF(_calc!$E$59="","",IF(LEN(INDEX('Licences'!$P$4:$P$503,_calc!$E$59))=0,"",INDEX('Licences'!$P$4:$P$503,_calc!$E$59)))</f>
        <v/>
      </c>
      <c r="K57" s="44">
        <f>IF(_calc!$E$59="","",IF(LEN(INDEX('Licences'!$G$4:$G$503,_calc!$E$59))=0,"",INDEX('Licences'!$G$4:$G$503,_calc!$E$59)))</f>
        <v/>
      </c>
    </row>
    <row r="58">
      <c r="A58" s="44">
        <f>IF(_calc!$E$60="","",IF(LEN(INDEX('Licences'!$A$4:$A$503,_calc!$E$60))=0,"",INDEX('Licences'!$A$4:$A$503,_calc!$E$60)))</f>
        <v/>
      </c>
      <c r="B58" s="44">
        <f>IF(_calc!$E$60="","",IF(ISNUMBER(INDEX('Licences'!$J$4:$J$503,_calc!$E$60)),TEXT(INDEX('Licences'!$J$4:$J$503,_calc!$E$60),"yyyy-mm-dd"),""))</f>
        <v/>
      </c>
      <c r="C58" s="44">
        <f>IF(_calc!$E$60="","",IF(LEN(INDEX('Licences'!$B$4:$B$503,_calc!$E$60))=0,"",INDEX('Licences'!$B$4:$B$503,_calc!$E$60)))</f>
        <v/>
      </c>
      <c r="D58" s="44">
        <f>IF(_calc!$E$60="","",IF(ISNUMBER(INDEX('Licences'!$I$4:$I$503,_calc!$E$60)),TEXT(INDEX('Licences'!$I$4:$I$503,_calc!$E$60),"yyyy-mm-dd"),""))</f>
        <v/>
      </c>
      <c r="E58" s="44">
        <f>IF(_calc!$E$60="","",IF(LEN(INDEX('Licences'!$H$4:$H$503,_calc!$E$60))=0,"",INDEX('Licences'!$H$4:$H$503,_calc!$E$60)))</f>
        <v/>
      </c>
      <c r="F58" s="44">
        <f>IF(_calc!$E$60="","",TRIM(IF(LEN(IF(LEN(INDEX('Licences'!$D$4:$D$503,_calc!$E$60))=0,"",INDEX('Licences'!$D$4:$D$503,_calc!$E$60)))=0,"","Ref: "&amp;IF(LEN(INDEX('Licences'!$D$4:$D$503,_calc!$E$60))=0,"",INDEX('Licences'!$D$4:$D$503,_calc!$E$60))&amp;". ")&amp;IF(LEN(IF(LEN(INDEX('Licences'!$C$4:$C$503,_calc!$E$60))=0,"",INDEX('Licences'!$C$4:$C$503,_calc!$E$60)))=0,"","Issuer: "&amp;IF(LEN(INDEX('Licences'!$C$4:$C$503,_calc!$E$60))=0,"",INDEX('Licences'!$C$4:$C$503,_calc!$E$60))&amp;". ")&amp;IF(LEN(IF(LEN(INDEX('Licences'!$E$4:$E$503,_calc!$E$60))=0,"",INDEX('Licences'!$E$4:$E$503,_calc!$E$60)))=0,"","Site: "&amp;IF(LEN(INDEX('Licences'!$E$4:$E$503,_calc!$E$60))=0,"",INDEX('Licences'!$E$4:$E$503,_calc!$E$60))&amp;". ")&amp;IF(LEN(IF(LEN(INDEX('Licences'!$F$4:$F$503,_calc!$E$60))=0,"",INDEX('Licences'!$F$4:$F$503,_calc!$E$60)))=0,"","Owner: "&amp;IF(LEN(INDEX('Licences'!$F$4:$F$503,_calc!$E$60))=0,"",INDEX('Licences'!$F$4:$F$503,_calc!$E$60))&amp;". ")&amp;IF(LEN(IF(LEN(INDEX('Licences'!$R$4:$R$503,_calc!$E$60))=0,"",INDEX('Licences'!$R$4:$R$503,_calc!$E$60)))=0,"",IF(LEN(INDEX('Licences'!$R$4:$R$503,_calc!$E$60))=0,"",INDEX('Licences'!$R$4:$R$503,_calc!$E$60)))))</f>
        <v/>
      </c>
      <c r="G58" s="44">
        <f>IF(_calc!$E$60="","",IF(LEN(INDEX('Licences'!$Q$4:$Q$503,_calc!$E$60))=0,"",INDEX('Licences'!$Q$4:$Q$503,_calc!$E$60)))</f>
        <v/>
      </c>
      <c r="H58" s="44">
        <f>IF(_calc!$E$60="","",IF(LEN(INDEX('Licences'!$O$4:$O$503,_calc!$E$60))=0,"",INDEX('Licences'!$O$4:$O$503,_calc!$E$60)))</f>
        <v/>
      </c>
      <c r="I58" s="44">
        <f>IF(_calc!$E$60="","",IF(LEN(INDEX('Licences'!$P$4:$P$503,_calc!$E$60))=0,"",INDEX('Licences'!$P$4:$P$503,_calc!$E$60)))</f>
        <v/>
      </c>
      <c r="K58" s="44">
        <f>IF(_calc!$E$60="","",IF(LEN(INDEX('Licences'!$G$4:$G$503,_calc!$E$60))=0,"",INDEX('Licences'!$G$4:$G$503,_calc!$E$60)))</f>
        <v/>
      </c>
    </row>
    <row r="59">
      <c r="A59" s="44">
        <f>IF(_calc!$E$61="","",IF(LEN(INDEX('Licences'!$A$4:$A$503,_calc!$E$61))=0,"",INDEX('Licences'!$A$4:$A$503,_calc!$E$61)))</f>
        <v/>
      </c>
      <c r="B59" s="44">
        <f>IF(_calc!$E$61="","",IF(ISNUMBER(INDEX('Licences'!$J$4:$J$503,_calc!$E$61)),TEXT(INDEX('Licences'!$J$4:$J$503,_calc!$E$61),"yyyy-mm-dd"),""))</f>
        <v/>
      </c>
      <c r="C59" s="44">
        <f>IF(_calc!$E$61="","",IF(LEN(INDEX('Licences'!$B$4:$B$503,_calc!$E$61))=0,"",INDEX('Licences'!$B$4:$B$503,_calc!$E$61)))</f>
        <v/>
      </c>
      <c r="D59" s="44">
        <f>IF(_calc!$E$61="","",IF(ISNUMBER(INDEX('Licences'!$I$4:$I$503,_calc!$E$61)),TEXT(INDEX('Licences'!$I$4:$I$503,_calc!$E$61),"yyyy-mm-dd"),""))</f>
        <v/>
      </c>
      <c r="E59" s="44">
        <f>IF(_calc!$E$61="","",IF(LEN(INDEX('Licences'!$H$4:$H$503,_calc!$E$61))=0,"",INDEX('Licences'!$H$4:$H$503,_calc!$E$61)))</f>
        <v/>
      </c>
      <c r="F59" s="44">
        <f>IF(_calc!$E$61="","",TRIM(IF(LEN(IF(LEN(INDEX('Licences'!$D$4:$D$503,_calc!$E$61))=0,"",INDEX('Licences'!$D$4:$D$503,_calc!$E$61)))=0,"","Ref: "&amp;IF(LEN(INDEX('Licences'!$D$4:$D$503,_calc!$E$61))=0,"",INDEX('Licences'!$D$4:$D$503,_calc!$E$61))&amp;". ")&amp;IF(LEN(IF(LEN(INDEX('Licences'!$C$4:$C$503,_calc!$E$61))=0,"",INDEX('Licences'!$C$4:$C$503,_calc!$E$61)))=0,"","Issuer: "&amp;IF(LEN(INDEX('Licences'!$C$4:$C$503,_calc!$E$61))=0,"",INDEX('Licences'!$C$4:$C$503,_calc!$E$61))&amp;". ")&amp;IF(LEN(IF(LEN(INDEX('Licences'!$E$4:$E$503,_calc!$E$61))=0,"",INDEX('Licences'!$E$4:$E$503,_calc!$E$61)))=0,"","Site: "&amp;IF(LEN(INDEX('Licences'!$E$4:$E$503,_calc!$E$61))=0,"",INDEX('Licences'!$E$4:$E$503,_calc!$E$61))&amp;". ")&amp;IF(LEN(IF(LEN(INDEX('Licences'!$F$4:$F$503,_calc!$E$61))=0,"",INDEX('Licences'!$F$4:$F$503,_calc!$E$61)))=0,"","Owner: "&amp;IF(LEN(INDEX('Licences'!$F$4:$F$503,_calc!$E$61))=0,"",INDEX('Licences'!$F$4:$F$503,_calc!$E$61))&amp;". ")&amp;IF(LEN(IF(LEN(INDEX('Licences'!$R$4:$R$503,_calc!$E$61))=0,"",INDEX('Licences'!$R$4:$R$503,_calc!$E$61)))=0,"",IF(LEN(INDEX('Licences'!$R$4:$R$503,_calc!$E$61))=0,"",INDEX('Licences'!$R$4:$R$503,_calc!$E$61)))))</f>
        <v/>
      </c>
      <c r="G59" s="44">
        <f>IF(_calc!$E$61="","",IF(LEN(INDEX('Licences'!$Q$4:$Q$503,_calc!$E$61))=0,"",INDEX('Licences'!$Q$4:$Q$503,_calc!$E$61)))</f>
        <v/>
      </c>
      <c r="H59" s="44">
        <f>IF(_calc!$E$61="","",IF(LEN(INDEX('Licences'!$O$4:$O$503,_calc!$E$61))=0,"",INDEX('Licences'!$O$4:$O$503,_calc!$E$61)))</f>
        <v/>
      </c>
      <c r="I59" s="44">
        <f>IF(_calc!$E$61="","",IF(LEN(INDEX('Licences'!$P$4:$P$503,_calc!$E$61))=0,"",INDEX('Licences'!$P$4:$P$503,_calc!$E$61)))</f>
        <v/>
      </c>
      <c r="K59" s="44">
        <f>IF(_calc!$E$61="","",IF(LEN(INDEX('Licences'!$G$4:$G$503,_calc!$E$61))=0,"",INDEX('Licences'!$G$4:$G$503,_calc!$E$61)))</f>
        <v/>
      </c>
    </row>
    <row r="60">
      <c r="A60" s="44">
        <f>IF(_calc!$E$62="","",IF(LEN(INDEX('Licences'!$A$4:$A$503,_calc!$E$62))=0,"",INDEX('Licences'!$A$4:$A$503,_calc!$E$62)))</f>
        <v/>
      </c>
      <c r="B60" s="44">
        <f>IF(_calc!$E$62="","",IF(ISNUMBER(INDEX('Licences'!$J$4:$J$503,_calc!$E$62)),TEXT(INDEX('Licences'!$J$4:$J$503,_calc!$E$62),"yyyy-mm-dd"),""))</f>
        <v/>
      </c>
      <c r="C60" s="44">
        <f>IF(_calc!$E$62="","",IF(LEN(INDEX('Licences'!$B$4:$B$503,_calc!$E$62))=0,"",INDEX('Licences'!$B$4:$B$503,_calc!$E$62)))</f>
        <v/>
      </c>
      <c r="D60" s="44">
        <f>IF(_calc!$E$62="","",IF(ISNUMBER(INDEX('Licences'!$I$4:$I$503,_calc!$E$62)),TEXT(INDEX('Licences'!$I$4:$I$503,_calc!$E$62),"yyyy-mm-dd"),""))</f>
        <v/>
      </c>
      <c r="E60" s="44">
        <f>IF(_calc!$E$62="","",IF(LEN(INDEX('Licences'!$H$4:$H$503,_calc!$E$62))=0,"",INDEX('Licences'!$H$4:$H$503,_calc!$E$62)))</f>
        <v/>
      </c>
      <c r="F60" s="44">
        <f>IF(_calc!$E$62="","",TRIM(IF(LEN(IF(LEN(INDEX('Licences'!$D$4:$D$503,_calc!$E$62))=0,"",INDEX('Licences'!$D$4:$D$503,_calc!$E$62)))=0,"","Ref: "&amp;IF(LEN(INDEX('Licences'!$D$4:$D$503,_calc!$E$62))=0,"",INDEX('Licences'!$D$4:$D$503,_calc!$E$62))&amp;". ")&amp;IF(LEN(IF(LEN(INDEX('Licences'!$C$4:$C$503,_calc!$E$62))=0,"",INDEX('Licences'!$C$4:$C$503,_calc!$E$62)))=0,"","Issuer: "&amp;IF(LEN(INDEX('Licences'!$C$4:$C$503,_calc!$E$62))=0,"",INDEX('Licences'!$C$4:$C$503,_calc!$E$62))&amp;". ")&amp;IF(LEN(IF(LEN(INDEX('Licences'!$E$4:$E$503,_calc!$E$62))=0,"",INDEX('Licences'!$E$4:$E$503,_calc!$E$62)))=0,"","Site: "&amp;IF(LEN(INDEX('Licences'!$E$4:$E$503,_calc!$E$62))=0,"",INDEX('Licences'!$E$4:$E$503,_calc!$E$62))&amp;". ")&amp;IF(LEN(IF(LEN(INDEX('Licences'!$F$4:$F$503,_calc!$E$62))=0,"",INDEX('Licences'!$F$4:$F$503,_calc!$E$62)))=0,"","Owner: "&amp;IF(LEN(INDEX('Licences'!$F$4:$F$503,_calc!$E$62))=0,"",INDEX('Licences'!$F$4:$F$503,_calc!$E$62))&amp;". ")&amp;IF(LEN(IF(LEN(INDEX('Licences'!$R$4:$R$503,_calc!$E$62))=0,"",INDEX('Licences'!$R$4:$R$503,_calc!$E$62)))=0,"",IF(LEN(INDEX('Licences'!$R$4:$R$503,_calc!$E$62))=0,"",INDEX('Licences'!$R$4:$R$503,_calc!$E$62)))))</f>
        <v/>
      </c>
      <c r="G60" s="44">
        <f>IF(_calc!$E$62="","",IF(LEN(INDEX('Licences'!$Q$4:$Q$503,_calc!$E$62))=0,"",INDEX('Licences'!$Q$4:$Q$503,_calc!$E$62)))</f>
        <v/>
      </c>
      <c r="H60" s="44">
        <f>IF(_calc!$E$62="","",IF(LEN(INDEX('Licences'!$O$4:$O$503,_calc!$E$62))=0,"",INDEX('Licences'!$O$4:$O$503,_calc!$E$62)))</f>
        <v/>
      </c>
      <c r="I60" s="44">
        <f>IF(_calc!$E$62="","",IF(LEN(INDEX('Licences'!$P$4:$P$503,_calc!$E$62))=0,"",INDEX('Licences'!$P$4:$P$503,_calc!$E$62)))</f>
        <v/>
      </c>
      <c r="K60" s="44">
        <f>IF(_calc!$E$62="","",IF(LEN(INDEX('Licences'!$G$4:$G$503,_calc!$E$62))=0,"",INDEX('Licences'!$G$4:$G$503,_calc!$E$62)))</f>
        <v/>
      </c>
    </row>
    <row r="61">
      <c r="A61" s="44">
        <f>IF(_calc!$E$63="","",IF(LEN(INDEX('Licences'!$A$4:$A$503,_calc!$E$63))=0,"",INDEX('Licences'!$A$4:$A$503,_calc!$E$63)))</f>
        <v/>
      </c>
      <c r="B61" s="44">
        <f>IF(_calc!$E$63="","",IF(ISNUMBER(INDEX('Licences'!$J$4:$J$503,_calc!$E$63)),TEXT(INDEX('Licences'!$J$4:$J$503,_calc!$E$63),"yyyy-mm-dd"),""))</f>
        <v/>
      </c>
      <c r="C61" s="44">
        <f>IF(_calc!$E$63="","",IF(LEN(INDEX('Licences'!$B$4:$B$503,_calc!$E$63))=0,"",INDEX('Licences'!$B$4:$B$503,_calc!$E$63)))</f>
        <v/>
      </c>
      <c r="D61" s="44">
        <f>IF(_calc!$E$63="","",IF(ISNUMBER(INDEX('Licences'!$I$4:$I$503,_calc!$E$63)),TEXT(INDEX('Licences'!$I$4:$I$503,_calc!$E$63),"yyyy-mm-dd"),""))</f>
        <v/>
      </c>
      <c r="E61" s="44">
        <f>IF(_calc!$E$63="","",IF(LEN(INDEX('Licences'!$H$4:$H$503,_calc!$E$63))=0,"",INDEX('Licences'!$H$4:$H$503,_calc!$E$63)))</f>
        <v/>
      </c>
      <c r="F61" s="44">
        <f>IF(_calc!$E$63="","",TRIM(IF(LEN(IF(LEN(INDEX('Licences'!$D$4:$D$503,_calc!$E$63))=0,"",INDEX('Licences'!$D$4:$D$503,_calc!$E$63)))=0,"","Ref: "&amp;IF(LEN(INDEX('Licences'!$D$4:$D$503,_calc!$E$63))=0,"",INDEX('Licences'!$D$4:$D$503,_calc!$E$63))&amp;". ")&amp;IF(LEN(IF(LEN(INDEX('Licences'!$C$4:$C$503,_calc!$E$63))=0,"",INDEX('Licences'!$C$4:$C$503,_calc!$E$63)))=0,"","Issuer: "&amp;IF(LEN(INDEX('Licences'!$C$4:$C$503,_calc!$E$63))=0,"",INDEX('Licences'!$C$4:$C$503,_calc!$E$63))&amp;". ")&amp;IF(LEN(IF(LEN(INDEX('Licences'!$E$4:$E$503,_calc!$E$63))=0,"",INDEX('Licences'!$E$4:$E$503,_calc!$E$63)))=0,"","Site: "&amp;IF(LEN(INDEX('Licences'!$E$4:$E$503,_calc!$E$63))=0,"",INDEX('Licences'!$E$4:$E$503,_calc!$E$63))&amp;". ")&amp;IF(LEN(IF(LEN(INDEX('Licences'!$F$4:$F$503,_calc!$E$63))=0,"",INDEX('Licences'!$F$4:$F$503,_calc!$E$63)))=0,"","Owner: "&amp;IF(LEN(INDEX('Licences'!$F$4:$F$503,_calc!$E$63))=0,"",INDEX('Licences'!$F$4:$F$503,_calc!$E$63))&amp;". ")&amp;IF(LEN(IF(LEN(INDEX('Licences'!$R$4:$R$503,_calc!$E$63))=0,"",INDEX('Licences'!$R$4:$R$503,_calc!$E$63)))=0,"",IF(LEN(INDEX('Licences'!$R$4:$R$503,_calc!$E$63))=0,"",INDEX('Licences'!$R$4:$R$503,_calc!$E$63)))))</f>
        <v/>
      </c>
      <c r="G61" s="44">
        <f>IF(_calc!$E$63="","",IF(LEN(INDEX('Licences'!$Q$4:$Q$503,_calc!$E$63))=0,"",INDEX('Licences'!$Q$4:$Q$503,_calc!$E$63)))</f>
        <v/>
      </c>
      <c r="H61" s="44">
        <f>IF(_calc!$E$63="","",IF(LEN(INDEX('Licences'!$O$4:$O$503,_calc!$E$63))=0,"",INDEX('Licences'!$O$4:$O$503,_calc!$E$63)))</f>
        <v/>
      </c>
      <c r="I61" s="44">
        <f>IF(_calc!$E$63="","",IF(LEN(INDEX('Licences'!$P$4:$P$503,_calc!$E$63))=0,"",INDEX('Licences'!$P$4:$P$503,_calc!$E$63)))</f>
        <v/>
      </c>
      <c r="K61" s="44">
        <f>IF(_calc!$E$63="","",IF(LEN(INDEX('Licences'!$G$4:$G$503,_calc!$E$63))=0,"",INDEX('Licences'!$G$4:$G$503,_calc!$E$63)))</f>
        <v/>
      </c>
    </row>
    <row r="62">
      <c r="A62" s="44">
        <f>IF(_calc!$E$64="","",IF(LEN(INDEX('Licences'!$A$4:$A$503,_calc!$E$64))=0,"",INDEX('Licences'!$A$4:$A$503,_calc!$E$64)))</f>
        <v/>
      </c>
      <c r="B62" s="44">
        <f>IF(_calc!$E$64="","",IF(ISNUMBER(INDEX('Licences'!$J$4:$J$503,_calc!$E$64)),TEXT(INDEX('Licences'!$J$4:$J$503,_calc!$E$64),"yyyy-mm-dd"),""))</f>
        <v/>
      </c>
      <c r="C62" s="44">
        <f>IF(_calc!$E$64="","",IF(LEN(INDEX('Licences'!$B$4:$B$503,_calc!$E$64))=0,"",INDEX('Licences'!$B$4:$B$503,_calc!$E$64)))</f>
        <v/>
      </c>
      <c r="D62" s="44">
        <f>IF(_calc!$E$64="","",IF(ISNUMBER(INDEX('Licences'!$I$4:$I$503,_calc!$E$64)),TEXT(INDEX('Licences'!$I$4:$I$503,_calc!$E$64),"yyyy-mm-dd"),""))</f>
        <v/>
      </c>
      <c r="E62" s="44">
        <f>IF(_calc!$E$64="","",IF(LEN(INDEX('Licences'!$H$4:$H$503,_calc!$E$64))=0,"",INDEX('Licences'!$H$4:$H$503,_calc!$E$64)))</f>
        <v/>
      </c>
      <c r="F62" s="44">
        <f>IF(_calc!$E$64="","",TRIM(IF(LEN(IF(LEN(INDEX('Licences'!$D$4:$D$503,_calc!$E$64))=0,"",INDEX('Licences'!$D$4:$D$503,_calc!$E$64)))=0,"","Ref: "&amp;IF(LEN(INDEX('Licences'!$D$4:$D$503,_calc!$E$64))=0,"",INDEX('Licences'!$D$4:$D$503,_calc!$E$64))&amp;". ")&amp;IF(LEN(IF(LEN(INDEX('Licences'!$C$4:$C$503,_calc!$E$64))=0,"",INDEX('Licences'!$C$4:$C$503,_calc!$E$64)))=0,"","Issuer: "&amp;IF(LEN(INDEX('Licences'!$C$4:$C$503,_calc!$E$64))=0,"",INDEX('Licences'!$C$4:$C$503,_calc!$E$64))&amp;". ")&amp;IF(LEN(IF(LEN(INDEX('Licences'!$E$4:$E$503,_calc!$E$64))=0,"",INDEX('Licences'!$E$4:$E$503,_calc!$E$64)))=0,"","Site: "&amp;IF(LEN(INDEX('Licences'!$E$4:$E$503,_calc!$E$64))=0,"",INDEX('Licences'!$E$4:$E$503,_calc!$E$64))&amp;". ")&amp;IF(LEN(IF(LEN(INDEX('Licences'!$F$4:$F$503,_calc!$E$64))=0,"",INDEX('Licences'!$F$4:$F$503,_calc!$E$64)))=0,"","Owner: "&amp;IF(LEN(INDEX('Licences'!$F$4:$F$503,_calc!$E$64))=0,"",INDEX('Licences'!$F$4:$F$503,_calc!$E$64))&amp;". ")&amp;IF(LEN(IF(LEN(INDEX('Licences'!$R$4:$R$503,_calc!$E$64))=0,"",INDEX('Licences'!$R$4:$R$503,_calc!$E$64)))=0,"",IF(LEN(INDEX('Licences'!$R$4:$R$503,_calc!$E$64))=0,"",INDEX('Licences'!$R$4:$R$503,_calc!$E$64)))))</f>
        <v/>
      </c>
      <c r="G62" s="44">
        <f>IF(_calc!$E$64="","",IF(LEN(INDEX('Licences'!$Q$4:$Q$503,_calc!$E$64))=0,"",INDEX('Licences'!$Q$4:$Q$503,_calc!$E$64)))</f>
        <v/>
      </c>
      <c r="H62" s="44">
        <f>IF(_calc!$E$64="","",IF(LEN(INDEX('Licences'!$O$4:$O$503,_calc!$E$64))=0,"",INDEX('Licences'!$O$4:$O$503,_calc!$E$64)))</f>
        <v/>
      </c>
      <c r="I62" s="44">
        <f>IF(_calc!$E$64="","",IF(LEN(INDEX('Licences'!$P$4:$P$503,_calc!$E$64))=0,"",INDEX('Licences'!$P$4:$P$503,_calc!$E$64)))</f>
        <v/>
      </c>
      <c r="K62" s="44">
        <f>IF(_calc!$E$64="","",IF(LEN(INDEX('Licences'!$G$4:$G$503,_calc!$E$64))=0,"",INDEX('Licences'!$G$4:$G$503,_calc!$E$64)))</f>
        <v/>
      </c>
    </row>
    <row r="63">
      <c r="A63" s="44">
        <f>IF(_calc!$E$65="","",IF(LEN(INDEX('Licences'!$A$4:$A$503,_calc!$E$65))=0,"",INDEX('Licences'!$A$4:$A$503,_calc!$E$65)))</f>
        <v/>
      </c>
      <c r="B63" s="44">
        <f>IF(_calc!$E$65="","",IF(ISNUMBER(INDEX('Licences'!$J$4:$J$503,_calc!$E$65)),TEXT(INDEX('Licences'!$J$4:$J$503,_calc!$E$65),"yyyy-mm-dd"),""))</f>
        <v/>
      </c>
      <c r="C63" s="44">
        <f>IF(_calc!$E$65="","",IF(LEN(INDEX('Licences'!$B$4:$B$503,_calc!$E$65))=0,"",INDEX('Licences'!$B$4:$B$503,_calc!$E$65)))</f>
        <v/>
      </c>
      <c r="D63" s="44">
        <f>IF(_calc!$E$65="","",IF(ISNUMBER(INDEX('Licences'!$I$4:$I$503,_calc!$E$65)),TEXT(INDEX('Licences'!$I$4:$I$503,_calc!$E$65),"yyyy-mm-dd"),""))</f>
        <v/>
      </c>
      <c r="E63" s="44">
        <f>IF(_calc!$E$65="","",IF(LEN(INDEX('Licences'!$H$4:$H$503,_calc!$E$65))=0,"",INDEX('Licences'!$H$4:$H$503,_calc!$E$65)))</f>
        <v/>
      </c>
      <c r="F63" s="44">
        <f>IF(_calc!$E$65="","",TRIM(IF(LEN(IF(LEN(INDEX('Licences'!$D$4:$D$503,_calc!$E$65))=0,"",INDEX('Licences'!$D$4:$D$503,_calc!$E$65)))=0,"","Ref: "&amp;IF(LEN(INDEX('Licences'!$D$4:$D$503,_calc!$E$65))=0,"",INDEX('Licences'!$D$4:$D$503,_calc!$E$65))&amp;". ")&amp;IF(LEN(IF(LEN(INDEX('Licences'!$C$4:$C$503,_calc!$E$65))=0,"",INDEX('Licences'!$C$4:$C$503,_calc!$E$65)))=0,"","Issuer: "&amp;IF(LEN(INDEX('Licences'!$C$4:$C$503,_calc!$E$65))=0,"",INDEX('Licences'!$C$4:$C$503,_calc!$E$65))&amp;". ")&amp;IF(LEN(IF(LEN(INDEX('Licences'!$E$4:$E$503,_calc!$E$65))=0,"",INDEX('Licences'!$E$4:$E$503,_calc!$E$65)))=0,"","Site: "&amp;IF(LEN(INDEX('Licences'!$E$4:$E$503,_calc!$E$65))=0,"",INDEX('Licences'!$E$4:$E$503,_calc!$E$65))&amp;". ")&amp;IF(LEN(IF(LEN(INDEX('Licences'!$F$4:$F$503,_calc!$E$65))=0,"",INDEX('Licences'!$F$4:$F$503,_calc!$E$65)))=0,"","Owner: "&amp;IF(LEN(INDEX('Licences'!$F$4:$F$503,_calc!$E$65))=0,"",INDEX('Licences'!$F$4:$F$503,_calc!$E$65))&amp;". ")&amp;IF(LEN(IF(LEN(INDEX('Licences'!$R$4:$R$503,_calc!$E$65))=0,"",INDEX('Licences'!$R$4:$R$503,_calc!$E$65)))=0,"",IF(LEN(INDEX('Licences'!$R$4:$R$503,_calc!$E$65))=0,"",INDEX('Licences'!$R$4:$R$503,_calc!$E$65)))))</f>
        <v/>
      </c>
      <c r="G63" s="44">
        <f>IF(_calc!$E$65="","",IF(LEN(INDEX('Licences'!$Q$4:$Q$503,_calc!$E$65))=0,"",INDEX('Licences'!$Q$4:$Q$503,_calc!$E$65)))</f>
        <v/>
      </c>
      <c r="H63" s="44">
        <f>IF(_calc!$E$65="","",IF(LEN(INDEX('Licences'!$O$4:$O$503,_calc!$E$65))=0,"",INDEX('Licences'!$O$4:$O$503,_calc!$E$65)))</f>
        <v/>
      </c>
      <c r="I63" s="44">
        <f>IF(_calc!$E$65="","",IF(LEN(INDEX('Licences'!$P$4:$P$503,_calc!$E$65))=0,"",INDEX('Licences'!$P$4:$P$503,_calc!$E$65)))</f>
        <v/>
      </c>
      <c r="K63" s="44">
        <f>IF(_calc!$E$65="","",IF(LEN(INDEX('Licences'!$G$4:$G$503,_calc!$E$65))=0,"",INDEX('Licences'!$G$4:$G$503,_calc!$E$65)))</f>
        <v/>
      </c>
    </row>
    <row r="64">
      <c r="A64" s="44">
        <f>IF(_calc!$E$66="","",IF(LEN(INDEX('Licences'!$A$4:$A$503,_calc!$E$66))=0,"",INDEX('Licences'!$A$4:$A$503,_calc!$E$66)))</f>
        <v/>
      </c>
      <c r="B64" s="44">
        <f>IF(_calc!$E$66="","",IF(ISNUMBER(INDEX('Licences'!$J$4:$J$503,_calc!$E$66)),TEXT(INDEX('Licences'!$J$4:$J$503,_calc!$E$66),"yyyy-mm-dd"),""))</f>
        <v/>
      </c>
      <c r="C64" s="44">
        <f>IF(_calc!$E$66="","",IF(LEN(INDEX('Licences'!$B$4:$B$503,_calc!$E$66))=0,"",INDEX('Licences'!$B$4:$B$503,_calc!$E$66)))</f>
        <v/>
      </c>
      <c r="D64" s="44">
        <f>IF(_calc!$E$66="","",IF(ISNUMBER(INDEX('Licences'!$I$4:$I$503,_calc!$E$66)),TEXT(INDEX('Licences'!$I$4:$I$503,_calc!$E$66),"yyyy-mm-dd"),""))</f>
        <v/>
      </c>
      <c r="E64" s="44">
        <f>IF(_calc!$E$66="","",IF(LEN(INDEX('Licences'!$H$4:$H$503,_calc!$E$66))=0,"",INDEX('Licences'!$H$4:$H$503,_calc!$E$66)))</f>
        <v/>
      </c>
      <c r="F64" s="44">
        <f>IF(_calc!$E$66="","",TRIM(IF(LEN(IF(LEN(INDEX('Licences'!$D$4:$D$503,_calc!$E$66))=0,"",INDEX('Licences'!$D$4:$D$503,_calc!$E$66)))=0,"","Ref: "&amp;IF(LEN(INDEX('Licences'!$D$4:$D$503,_calc!$E$66))=0,"",INDEX('Licences'!$D$4:$D$503,_calc!$E$66))&amp;". ")&amp;IF(LEN(IF(LEN(INDEX('Licences'!$C$4:$C$503,_calc!$E$66))=0,"",INDEX('Licences'!$C$4:$C$503,_calc!$E$66)))=0,"","Issuer: "&amp;IF(LEN(INDEX('Licences'!$C$4:$C$503,_calc!$E$66))=0,"",INDEX('Licences'!$C$4:$C$503,_calc!$E$66))&amp;". ")&amp;IF(LEN(IF(LEN(INDEX('Licences'!$E$4:$E$503,_calc!$E$66))=0,"",INDEX('Licences'!$E$4:$E$503,_calc!$E$66)))=0,"","Site: "&amp;IF(LEN(INDEX('Licences'!$E$4:$E$503,_calc!$E$66))=0,"",INDEX('Licences'!$E$4:$E$503,_calc!$E$66))&amp;". ")&amp;IF(LEN(IF(LEN(INDEX('Licences'!$F$4:$F$503,_calc!$E$66))=0,"",INDEX('Licences'!$F$4:$F$503,_calc!$E$66)))=0,"","Owner: "&amp;IF(LEN(INDEX('Licences'!$F$4:$F$503,_calc!$E$66))=0,"",INDEX('Licences'!$F$4:$F$503,_calc!$E$66))&amp;". ")&amp;IF(LEN(IF(LEN(INDEX('Licences'!$R$4:$R$503,_calc!$E$66))=0,"",INDEX('Licences'!$R$4:$R$503,_calc!$E$66)))=0,"",IF(LEN(INDEX('Licences'!$R$4:$R$503,_calc!$E$66))=0,"",INDEX('Licences'!$R$4:$R$503,_calc!$E$66)))))</f>
        <v/>
      </c>
      <c r="G64" s="44">
        <f>IF(_calc!$E$66="","",IF(LEN(INDEX('Licences'!$Q$4:$Q$503,_calc!$E$66))=0,"",INDEX('Licences'!$Q$4:$Q$503,_calc!$E$66)))</f>
        <v/>
      </c>
      <c r="H64" s="44">
        <f>IF(_calc!$E$66="","",IF(LEN(INDEX('Licences'!$O$4:$O$503,_calc!$E$66))=0,"",INDEX('Licences'!$O$4:$O$503,_calc!$E$66)))</f>
        <v/>
      </c>
      <c r="I64" s="44">
        <f>IF(_calc!$E$66="","",IF(LEN(INDEX('Licences'!$P$4:$P$503,_calc!$E$66))=0,"",INDEX('Licences'!$P$4:$P$503,_calc!$E$66)))</f>
        <v/>
      </c>
      <c r="K64" s="44">
        <f>IF(_calc!$E$66="","",IF(LEN(INDEX('Licences'!$G$4:$G$503,_calc!$E$66))=0,"",INDEX('Licences'!$G$4:$G$503,_calc!$E$66)))</f>
        <v/>
      </c>
    </row>
    <row r="65">
      <c r="A65" s="44">
        <f>IF(_calc!$E$67="","",IF(LEN(INDEX('Licences'!$A$4:$A$503,_calc!$E$67))=0,"",INDEX('Licences'!$A$4:$A$503,_calc!$E$67)))</f>
        <v/>
      </c>
      <c r="B65" s="44">
        <f>IF(_calc!$E$67="","",IF(ISNUMBER(INDEX('Licences'!$J$4:$J$503,_calc!$E$67)),TEXT(INDEX('Licences'!$J$4:$J$503,_calc!$E$67),"yyyy-mm-dd"),""))</f>
        <v/>
      </c>
      <c r="C65" s="44">
        <f>IF(_calc!$E$67="","",IF(LEN(INDEX('Licences'!$B$4:$B$503,_calc!$E$67))=0,"",INDEX('Licences'!$B$4:$B$503,_calc!$E$67)))</f>
        <v/>
      </c>
      <c r="D65" s="44">
        <f>IF(_calc!$E$67="","",IF(ISNUMBER(INDEX('Licences'!$I$4:$I$503,_calc!$E$67)),TEXT(INDEX('Licences'!$I$4:$I$503,_calc!$E$67),"yyyy-mm-dd"),""))</f>
        <v/>
      </c>
      <c r="E65" s="44">
        <f>IF(_calc!$E$67="","",IF(LEN(INDEX('Licences'!$H$4:$H$503,_calc!$E$67))=0,"",INDEX('Licences'!$H$4:$H$503,_calc!$E$67)))</f>
        <v/>
      </c>
      <c r="F65" s="44">
        <f>IF(_calc!$E$67="","",TRIM(IF(LEN(IF(LEN(INDEX('Licences'!$D$4:$D$503,_calc!$E$67))=0,"",INDEX('Licences'!$D$4:$D$503,_calc!$E$67)))=0,"","Ref: "&amp;IF(LEN(INDEX('Licences'!$D$4:$D$503,_calc!$E$67))=0,"",INDEX('Licences'!$D$4:$D$503,_calc!$E$67))&amp;". ")&amp;IF(LEN(IF(LEN(INDEX('Licences'!$C$4:$C$503,_calc!$E$67))=0,"",INDEX('Licences'!$C$4:$C$503,_calc!$E$67)))=0,"","Issuer: "&amp;IF(LEN(INDEX('Licences'!$C$4:$C$503,_calc!$E$67))=0,"",INDEX('Licences'!$C$4:$C$503,_calc!$E$67))&amp;". ")&amp;IF(LEN(IF(LEN(INDEX('Licences'!$E$4:$E$503,_calc!$E$67))=0,"",INDEX('Licences'!$E$4:$E$503,_calc!$E$67)))=0,"","Site: "&amp;IF(LEN(INDEX('Licences'!$E$4:$E$503,_calc!$E$67))=0,"",INDEX('Licences'!$E$4:$E$503,_calc!$E$67))&amp;". ")&amp;IF(LEN(IF(LEN(INDEX('Licences'!$F$4:$F$503,_calc!$E$67))=0,"",INDEX('Licences'!$F$4:$F$503,_calc!$E$67)))=0,"","Owner: "&amp;IF(LEN(INDEX('Licences'!$F$4:$F$503,_calc!$E$67))=0,"",INDEX('Licences'!$F$4:$F$503,_calc!$E$67))&amp;". ")&amp;IF(LEN(IF(LEN(INDEX('Licences'!$R$4:$R$503,_calc!$E$67))=0,"",INDEX('Licences'!$R$4:$R$503,_calc!$E$67)))=0,"",IF(LEN(INDEX('Licences'!$R$4:$R$503,_calc!$E$67))=0,"",INDEX('Licences'!$R$4:$R$503,_calc!$E$67)))))</f>
        <v/>
      </c>
      <c r="G65" s="44">
        <f>IF(_calc!$E$67="","",IF(LEN(INDEX('Licences'!$Q$4:$Q$503,_calc!$E$67))=0,"",INDEX('Licences'!$Q$4:$Q$503,_calc!$E$67)))</f>
        <v/>
      </c>
      <c r="H65" s="44">
        <f>IF(_calc!$E$67="","",IF(LEN(INDEX('Licences'!$O$4:$O$503,_calc!$E$67))=0,"",INDEX('Licences'!$O$4:$O$503,_calc!$E$67)))</f>
        <v/>
      </c>
      <c r="I65" s="44">
        <f>IF(_calc!$E$67="","",IF(LEN(INDEX('Licences'!$P$4:$P$503,_calc!$E$67))=0,"",INDEX('Licences'!$P$4:$P$503,_calc!$E$67)))</f>
        <v/>
      </c>
      <c r="K65" s="44">
        <f>IF(_calc!$E$67="","",IF(LEN(INDEX('Licences'!$G$4:$G$503,_calc!$E$67))=0,"",INDEX('Licences'!$G$4:$G$503,_calc!$E$67)))</f>
        <v/>
      </c>
    </row>
    <row r="66">
      <c r="A66" s="44">
        <f>IF(_calc!$E$68="","",IF(LEN(INDEX('Licences'!$A$4:$A$503,_calc!$E$68))=0,"",INDEX('Licences'!$A$4:$A$503,_calc!$E$68)))</f>
        <v/>
      </c>
      <c r="B66" s="44">
        <f>IF(_calc!$E$68="","",IF(ISNUMBER(INDEX('Licences'!$J$4:$J$503,_calc!$E$68)),TEXT(INDEX('Licences'!$J$4:$J$503,_calc!$E$68),"yyyy-mm-dd"),""))</f>
        <v/>
      </c>
      <c r="C66" s="44">
        <f>IF(_calc!$E$68="","",IF(LEN(INDEX('Licences'!$B$4:$B$503,_calc!$E$68))=0,"",INDEX('Licences'!$B$4:$B$503,_calc!$E$68)))</f>
        <v/>
      </c>
      <c r="D66" s="44">
        <f>IF(_calc!$E$68="","",IF(ISNUMBER(INDEX('Licences'!$I$4:$I$503,_calc!$E$68)),TEXT(INDEX('Licences'!$I$4:$I$503,_calc!$E$68),"yyyy-mm-dd"),""))</f>
        <v/>
      </c>
      <c r="E66" s="44">
        <f>IF(_calc!$E$68="","",IF(LEN(INDEX('Licences'!$H$4:$H$503,_calc!$E$68))=0,"",INDEX('Licences'!$H$4:$H$503,_calc!$E$68)))</f>
        <v/>
      </c>
      <c r="F66" s="44">
        <f>IF(_calc!$E$68="","",TRIM(IF(LEN(IF(LEN(INDEX('Licences'!$D$4:$D$503,_calc!$E$68))=0,"",INDEX('Licences'!$D$4:$D$503,_calc!$E$68)))=0,"","Ref: "&amp;IF(LEN(INDEX('Licences'!$D$4:$D$503,_calc!$E$68))=0,"",INDEX('Licences'!$D$4:$D$503,_calc!$E$68))&amp;". ")&amp;IF(LEN(IF(LEN(INDEX('Licences'!$C$4:$C$503,_calc!$E$68))=0,"",INDEX('Licences'!$C$4:$C$503,_calc!$E$68)))=0,"","Issuer: "&amp;IF(LEN(INDEX('Licences'!$C$4:$C$503,_calc!$E$68))=0,"",INDEX('Licences'!$C$4:$C$503,_calc!$E$68))&amp;". ")&amp;IF(LEN(IF(LEN(INDEX('Licences'!$E$4:$E$503,_calc!$E$68))=0,"",INDEX('Licences'!$E$4:$E$503,_calc!$E$68)))=0,"","Site: "&amp;IF(LEN(INDEX('Licences'!$E$4:$E$503,_calc!$E$68))=0,"",INDEX('Licences'!$E$4:$E$503,_calc!$E$68))&amp;". ")&amp;IF(LEN(IF(LEN(INDEX('Licences'!$F$4:$F$503,_calc!$E$68))=0,"",INDEX('Licences'!$F$4:$F$503,_calc!$E$68)))=0,"","Owner: "&amp;IF(LEN(INDEX('Licences'!$F$4:$F$503,_calc!$E$68))=0,"",INDEX('Licences'!$F$4:$F$503,_calc!$E$68))&amp;". ")&amp;IF(LEN(IF(LEN(INDEX('Licences'!$R$4:$R$503,_calc!$E$68))=0,"",INDEX('Licences'!$R$4:$R$503,_calc!$E$68)))=0,"",IF(LEN(INDEX('Licences'!$R$4:$R$503,_calc!$E$68))=0,"",INDEX('Licences'!$R$4:$R$503,_calc!$E$68)))))</f>
        <v/>
      </c>
      <c r="G66" s="44">
        <f>IF(_calc!$E$68="","",IF(LEN(INDEX('Licences'!$Q$4:$Q$503,_calc!$E$68))=0,"",INDEX('Licences'!$Q$4:$Q$503,_calc!$E$68)))</f>
        <v/>
      </c>
      <c r="H66" s="44">
        <f>IF(_calc!$E$68="","",IF(LEN(INDEX('Licences'!$O$4:$O$503,_calc!$E$68))=0,"",INDEX('Licences'!$O$4:$O$503,_calc!$E$68)))</f>
        <v/>
      </c>
      <c r="I66" s="44">
        <f>IF(_calc!$E$68="","",IF(LEN(INDEX('Licences'!$P$4:$P$503,_calc!$E$68))=0,"",INDEX('Licences'!$P$4:$P$503,_calc!$E$68)))</f>
        <v/>
      </c>
      <c r="K66" s="44">
        <f>IF(_calc!$E$68="","",IF(LEN(INDEX('Licences'!$G$4:$G$503,_calc!$E$68))=0,"",INDEX('Licences'!$G$4:$G$503,_calc!$E$68)))</f>
        <v/>
      </c>
    </row>
    <row r="67">
      <c r="A67" s="44">
        <f>IF(_calc!$E$69="","",IF(LEN(INDEX('Licences'!$A$4:$A$503,_calc!$E$69))=0,"",INDEX('Licences'!$A$4:$A$503,_calc!$E$69)))</f>
        <v/>
      </c>
      <c r="B67" s="44">
        <f>IF(_calc!$E$69="","",IF(ISNUMBER(INDEX('Licences'!$J$4:$J$503,_calc!$E$69)),TEXT(INDEX('Licences'!$J$4:$J$503,_calc!$E$69),"yyyy-mm-dd"),""))</f>
        <v/>
      </c>
      <c r="C67" s="44">
        <f>IF(_calc!$E$69="","",IF(LEN(INDEX('Licences'!$B$4:$B$503,_calc!$E$69))=0,"",INDEX('Licences'!$B$4:$B$503,_calc!$E$69)))</f>
        <v/>
      </c>
      <c r="D67" s="44">
        <f>IF(_calc!$E$69="","",IF(ISNUMBER(INDEX('Licences'!$I$4:$I$503,_calc!$E$69)),TEXT(INDEX('Licences'!$I$4:$I$503,_calc!$E$69),"yyyy-mm-dd"),""))</f>
        <v/>
      </c>
      <c r="E67" s="44">
        <f>IF(_calc!$E$69="","",IF(LEN(INDEX('Licences'!$H$4:$H$503,_calc!$E$69))=0,"",INDEX('Licences'!$H$4:$H$503,_calc!$E$69)))</f>
        <v/>
      </c>
      <c r="F67" s="44">
        <f>IF(_calc!$E$69="","",TRIM(IF(LEN(IF(LEN(INDEX('Licences'!$D$4:$D$503,_calc!$E$69))=0,"",INDEX('Licences'!$D$4:$D$503,_calc!$E$69)))=0,"","Ref: "&amp;IF(LEN(INDEX('Licences'!$D$4:$D$503,_calc!$E$69))=0,"",INDEX('Licences'!$D$4:$D$503,_calc!$E$69))&amp;". ")&amp;IF(LEN(IF(LEN(INDEX('Licences'!$C$4:$C$503,_calc!$E$69))=0,"",INDEX('Licences'!$C$4:$C$503,_calc!$E$69)))=0,"","Issuer: "&amp;IF(LEN(INDEX('Licences'!$C$4:$C$503,_calc!$E$69))=0,"",INDEX('Licences'!$C$4:$C$503,_calc!$E$69))&amp;". ")&amp;IF(LEN(IF(LEN(INDEX('Licences'!$E$4:$E$503,_calc!$E$69))=0,"",INDEX('Licences'!$E$4:$E$503,_calc!$E$69)))=0,"","Site: "&amp;IF(LEN(INDEX('Licences'!$E$4:$E$503,_calc!$E$69))=0,"",INDEX('Licences'!$E$4:$E$503,_calc!$E$69))&amp;". ")&amp;IF(LEN(IF(LEN(INDEX('Licences'!$F$4:$F$503,_calc!$E$69))=0,"",INDEX('Licences'!$F$4:$F$503,_calc!$E$69)))=0,"","Owner: "&amp;IF(LEN(INDEX('Licences'!$F$4:$F$503,_calc!$E$69))=0,"",INDEX('Licences'!$F$4:$F$503,_calc!$E$69))&amp;". ")&amp;IF(LEN(IF(LEN(INDEX('Licences'!$R$4:$R$503,_calc!$E$69))=0,"",INDEX('Licences'!$R$4:$R$503,_calc!$E$69)))=0,"",IF(LEN(INDEX('Licences'!$R$4:$R$503,_calc!$E$69))=0,"",INDEX('Licences'!$R$4:$R$503,_calc!$E$69)))))</f>
        <v/>
      </c>
      <c r="G67" s="44">
        <f>IF(_calc!$E$69="","",IF(LEN(INDEX('Licences'!$Q$4:$Q$503,_calc!$E$69))=0,"",INDEX('Licences'!$Q$4:$Q$503,_calc!$E$69)))</f>
        <v/>
      </c>
      <c r="H67" s="44">
        <f>IF(_calc!$E$69="","",IF(LEN(INDEX('Licences'!$O$4:$O$503,_calc!$E$69))=0,"",INDEX('Licences'!$O$4:$O$503,_calc!$E$69)))</f>
        <v/>
      </c>
      <c r="I67" s="44">
        <f>IF(_calc!$E$69="","",IF(LEN(INDEX('Licences'!$P$4:$P$503,_calc!$E$69))=0,"",INDEX('Licences'!$P$4:$P$503,_calc!$E$69)))</f>
        <v/>
      </c>
      <c r="K67" s="44">
        <f>IF(_calc!$E$69="","",IF(LEN(INDEX('Licences'!$G$4:$G$503,_calc!$E$69))=0,"",INDEX('Licences'!$G$4:$G$503,_calc!$E$69)))</f>
        <v/>
      </c>
    </row>
    <row r="68">
      <c r="A68" s="44">
        <f>IF(_calc!$E$70="","",IF(LEN(INDEX('Licences'!$A$4:$A$503,_calc!$E$70))=0,"",INDEX('Licences'!$A$4:$A$503,_calc!$E$70)))</f>
        <v/>
      </c>
      <c r="B68" s="44">
        <f>IF(_calc!$E$70="","",IF(ISNUMBER(INDEX('Licences'!$J$4:$J$503,_calc!$E$70)),TEXT(INDEX('Licences'!$J$4:$J$503,_calc!$E$70),"yyyy-mm-dd"),""))</f>
        <v/>
      </c>
      <c r="C68" s="44">
        <f>IF(_calc!$E$70="","",IF(LEN(INDEX('Licences'!$B$4:$B$503,_calc!$E$70))=0,"",INDEX('Licences'!$B$4:$B$503,_calc!$E$70)))</f>
        <v/>
      </c>
      <c r="D68" s="44">
        <f>IF(_calc!$E$70="","",IF(ISNUMBER(INDEX('Licences'!$I$4:$I$503,_calc!$E$70)),TEXT(INDEX('Licences'!$I$4:$I$503,_calc!$E$70),"yyyy-mm-dd"),""))</f>
        <v/>
      </c>
      <c r="E68" s="44">
        <f>IF(_calc!$E$70="","",IF(LEN(INDEX('Licences'!$H$4:$H$503,_calc!$E$70))=0,"",INDEX('Licences'!$H$4:$H$503,_calc!$E$70)))</f>
        <v/>
      </c>
      <c r="F68" s="44">
        <f>IF(_calc!$E$70="","",TRIM(IF(LEN(IF(LEN(INDEX('Licences'!$D$4:$D$503,_calc!$E$70))=0,"",INDEX('Licences'!$D$4:$D$503,_calc!$E$70)))=0,"","Ref: "&amp;IF(LEN(INDEX('Licences'!$D$4:$D$503,_calc!$E$70))=0,"",INDEX('Licences'!$D$4:$D$503,_calc!$E$70))&amp;". ")&amp;IF(LEN(IF(LEN(INDEX('Licences'!$C$4:$C$503,_calc!$E$70))=0,"",INDEX('Licences'!$C$4:$C$503,_calc!$E$70)))=0,"","Issuer: "&amp;IF(LEN(INDEX('Licences'!$C$4:$C$503,_calc!$E$70))=0,"",INDEX('Licences'!$C$4:$C$503,_calc!$E$70))&amp;". ")&amp;IF(LEN(IF(LEN(INDEX('Licences'!$E$4:$E$503,_calc!$E$70))=0,"",INDEX('Licences'!$E$4:$E$503,_calc!$E$70)))=0,"","Site: "&amp;IF(LEN(INDEX('Licences'!$E$4:$E$503,_calc!$E$70))=0,"",INDEX('Licences'!$E$4:$E$503,_calc!$E$70))&amp;". ")&amp;IF(LEN(IF(LEN(INDEX('Licences'!$F$4:$F$503,_calc!$E$70))=0,"",INDEX('Licences'!$F$4:$F$503,_calc!$E$70)))=0,"","Owner: "&amp;IF(LEN(INDEX('Licences'!$F$4:$F$503,_calc!$E$70))=0,"",INDEX('Licences'!$F$4:$F$503,_calc!$E$70))&amp;". ")&amp;IF(LEN(IF(LEN(INDEX('Licences'!$R$4:$R$503,_calc!$E$70))=0,"",INDEX('Licences'!$R$4:$R$503,_calc!$E$70)))=0,"",IF(LEN(INDEX('Licences'!$R$4:$R$503,_calc!$E$70))=0,"",INDEX('Licences'!$R$4:$R$503,_calc!$E$70)))))</f>
        <v/>
      </c>
      <c r="G68" s="44">
        <f>IF(_calc!$E$70="","",IF(LEN(INDEX('Licences'!$Q$4:$Q$503,_calc!$E$70))=0,"",INDEX('Licences'!$Q$4:$Q$503,_calc!$E$70)))</f>
        <v/>
      </c>
      <c r="H68" s="44">
        <f>IF(_calc!$E$70="","",IF(LEN(INDEX('Licences'!$O$4:$O$503,_calc!$E$70))=0,"",INDEX('Licences'!$O$4:$O$503,_calc!$E$70)))</f>
        <v/>
      </c>
      <c r="I68" s="44">
        <f>IF(_calc!$E$70="","",IF(LEN(INDEX('Licences'!$P$4:$P$503,_calc!$E$70))=0,"",INDEX('Licences'!$P$4:$P$503,_calc!$E$70)))</f>
        <v/>
      </c>
      <c r="K68" s="44">
        <f>IF(_calc!$E$70="","",IF(LEN(INDEX('Licences'!$G$4:$G$503,_calc!$E$70))=0,"",INDEX('Licences'!$G$4:$G$503,_calc!$E$70)))</f>
        <v/>
      </c>
    </row>
    <row r="69">
      <c r="A69" s="44">
        <f>IF(_calc!$E$71="","",IF(LEN(INDEX('Licences'!$A$4:$A$503,_calc!$E$71))=0,"",INDEX('Licences'!$A$4:$A$503,_calc!$E$71)))</f>
        <v/>
      </c>
      <c r="B69" s="44">
        <f>IF(_calc!$E$71="","",IF(ISNUMBER(INDEX('Licences'!$J$4:$J$503,_calc!$E$71)),TEXT(INDEX('Licences'!$J$4:$J$503,_calc!$E$71),"yyyy-mm-dd"),""))</f>
        <v/>
      </c>
      <c r="C69" s="44">
        <f>IF(_calc!$E$71="","",IF(LEN(INDEX('Licences'!$B$4:$B$503,_calc!$E$71))=0,"",INDEX('Licences'!$B$4:$B$503,_calc!$E$71)))</f>
        <v/>
      </c>
      <c r="D69" s="44">
        <f>IF(_calc!$E$71="","",IF(ISNUMBER(INDEX('Licences'!$I$4:$I$503,_calc!$E$71)),TEXT(INDEX('Licences'!$I$4:$I$503,_calc!$E$71),"yyyy-mm-dd"),""))</f>
        <v/>
      </c>
      <c r="E69" s="44">
        <f>IF(_calc!$E$71="","",IF(LEN(INDEX('Licences'!$H$4:$H$503,_calc!$E$71))=0,"",INDEX('Licences'!$H$4:$H$503,_calc!$E$71)))</f>
        <v/>
      </c>
      <c r="F69" s="44">
        <f>IF(_calc!$E$71="","",TRIM(IF(LEN(IF(LEN(INDEX('Licences'!$D$4:$D$503,_calc!$E$71))=0,"",INDEX('Licences'!$D$4:$D$503,_calc!$E$71)))=0,"","Ref: "&amp;IF(LEN(INDEX('Licences'!$D$4:$D$503,_calc!$E$71))=0,"",INDEX('Licences'!$D$4:$D$503,_calc!$E$71))&amp;". ")&amp;IF(LEN(IF(LEN(INDEX('Licences'!$C$4:$C$503,_calc!$E$71))=0,"",INDEX('Licences'!$C$4:$C$503,_calc!$E$71)))=0,"","Issuer: "&amp;IF(LEN(INDEX('Licences'!$C$4:$C$503,_calc!$E$71))=0,"",INDEX('Licences'!$C$4:$C$503,_calc!$E$71))&amp;". ")&amp;IF(LEN(IF(LEN(INDEX('Licences'!$E$4:$E$503,_calc!$E$71))=0,"",INDEX('Licences'!$E$4:$E$503,_calc!$E$71)))=0,"","Site: "&amp;IF(LEN(INDEX('Licences'!$E$4:$E$503,_calc!$E$71))=0,"",INDEX('Licences'!$E$4:$E$503,_calc!$E$71))&amp;". ")&amp;IF(LEN(IF(LEN(INDEX('Licences'!$F$4:$F$503,_calc!$E$71))=0,"",INDEX('Licences'!$F$4:$F$503,_calc!$E$71)))=0,"","Owner: "&amp;IF(LEN(INDEX('Licences'!$F$4:$F$503,_calc!$E$71))=0,"",INDEX('Licences'!$F$4:$F$503,_calc!$E$71))&amp;". ")&amp;IF(LEN(IF(LEN(INDEX('Licences'!$R$4:$R$503,_calc!$E$71))=0,"",INDEX('Licences'!$R$4:$R$503,_calc!$E$71)))=0,"",IF(LEN(INDEX('Licences'!$R$4:$R$503,_calc!$E$71))=0,"",INDEX('Licences'!$R$4:$R$503,_calc!$E$71)))))</f>
        <v/>
      </c>
      <c r="G69" s="44">
        <f>IF(_calc!$E$71="","",IF(LEN(INDEX('Licences'!$Q$4:$Q$503,_calc!$E$71))=0,"",INDEX('Licences'!$Q$4:$Q$503,_calc!$E$71)))</f>
        <v/>
      </c>
      <c r="H69" s="44">
        <f>IF(_calc!$E$71="","",IF(LEN(INDEX('Licences'!$O$4:$O$503,_calc!$E$71))=0,"",INDEX('Licences'!$O$4:$O$503,_calc!$E$71)))</f>
        <v/>
      </c>
      <c r="I69" s="44">
        <f>IF(_calc!$E$71="","",IF(LEN(INDEX('Licences'!$P$4:$P$503,_calc!$E$71))=0,"",INDEX('Licences'!$P$4:$P$503,_calc!$E$71)))</f>
        <v/>
      </c>
      <c r="K69" s="44">
        <f>IF(_calc!$E$71="","",IF(LEN(INDEX('Licences'!$G$4:$G$503,_calc!$E$71))=0,"",INDEX('Licences'!$G$4:$G$503,_calc!$E$71)))</f>
        <v/>
      </c>
    </row>
    <row r="70">
      <c r="A70" s="44">
        <f>IF(_calc!$E$72="","",IF(LEN(INDEX('Licences'!$A$4:$A$503,_calc!$E$72))=0,"",INDEX('Licences'!$A$4:$A$503,_calc!$E$72)))</f>
        <v/>
      </c>
      <c r="B70" s="44">
        <f>IF(_calc!$E$72="","",IF(ISNUMBER(INDEX('Licences'!$J$4:$J$503,_calc!$E$72)),TEXT(INDEX('Licences'!$J$4:$J$503,_calc!$E$72),"yyyy-mm-dd"),""))</f>
        <v/>
      </c>
      <c r="C70" s="44">
        <f>IF(_calc!$E$72="","",IF(LEN(INDEX('Licences'!$B$4:$B$503,_calc!$E$72))=0,"",INDEX('Licences'!$B$4:$B$503,_calc!$E$72)))</f>
        <v/>
      </c>
      <c r="D70" s="44">
        <f>IF(_calc!$E$72="","",IF(ISNUMBER(INDEX('Licences'!$I$4:$I$503,_calc!$E$72)),TEXT(INDEX('Licences'!$I$4:$I$503,_calc!$E$72),"yyyy-mm-dd"),""))</f>
        <v/>
      </c>
      <c r="E70" s="44">
        <f>IF(_calc!$E$72="","",IF(LEN(INDEX('Licences'!$H$4:$H$503,_calc!$E$72))=0,"",INDEX('Licences'!$H$4:$H$503,_calc!$E$72)))</f>
        <v/>
      </c>
      <c r="F70" s="44">
        <f>IF(_calc!$E$72="","",TRIM(IF(LEN(IF(LEN(INDEX('Licences'!$D$4:$D$503,_calc!$E$72))=0,"",INDEX('Licences'!$D$4:$D$503,_calc!$E$72)))=0,"","Ref: "&amp;IF(LEN(INDEX('Licences'!$D$4:$D$503,_calc!$E$72))=0,"",INDEX('Licences'!$D$4:$D$503,_calc!$E$72))&amp;". ")&amp;IF(LEN(IF(LEN(INDEX('Licences'!$C$4:$C$503,_calc!$E$72))=0,"",INDEX('Licences'!$C$4:$C$503,_calc!$E$72)))=0,"","Issuer: "&amp;IF(LEN(INDEX('Licences'!$C$4:$C$503,_calc!$E$72))=0,"",INDEX('Licences'!$C$4:$C$503,_calc!$E$72))&amp;". ")&amp;IF(LEN(IF(LEN(INDEX('Licences'!$E$4:$E$503,_calc!$E$72))=0,"",INDEX('Licences'!$E$4:$E$503,_calc!$E$72)))=0,"","Site: "&amp;IF(LEN(INDEX('Licences'!$E$4:$E$503,_calc!$E$72))=0,"",INDEX('Licences'!$E$4:$E$503,_calc!$E$72))&amp;". ")&amp;IF(LEN(IF(LEN(INDEX('Licences'!$F$4:$F$503,_calc!$E$72))=0,"",INDEX('Licences'!$F$4:$F$503,_calc!$E$72)))=0,"","Owner: "&amp;IF(LEN(INDEX('Licences'!$F$4:$F$503,_calc!$E$72))=0,"",INDEX('Licences'!$F$4:$F$503,_calc!$E$72))&amp;". ")&amp;IF(LEN(IF(LEN(INDEX('Licences'!$R$4:$R$503,_calc!$E$72))=0,"",INDEX('Licences'!$R$4:$R$503,_calc!$E$72)))=0,"",IF(LEN(INDEX('Licences'!$R$4:$R$503,_calc!$E$72))=0,"",INDEX('Licences'!$R$4:$R$503,_calc!$E$72)))))</f>
        <v/>
      </c>
      <c r="G70" s="44">
        <f>IF(_calc!$E$72="","",IF(LEN(INDEX('Licences'!$Q$4:$Q$503,_calc!$E$72))=0,"",INDEX('Licences'!$Q$4:$Q$503,_calc!$E$72)))</f>
        <v/>
      </c>
      <c r="H70" s="44">
        <f>IF(_calc!$E$72="","",IF(LEN(INDEX('Licences'!$O$4:$O$503,_calc!$E$72))=0,"",INDEX('Licences'!$O$4:$O$503,_calc!$E$72)))</f>
        <v/>
      </c>
      <c r="I70" s="44">
        <f>IF(_calc!$E$72="","",IF(LEN(INDEX('Licences'!$P$4:$P$503,_calc!$E$72))=0,"",INDEX('Licences'!$P$4:$P$503,_calc!$E$72)))</f>
        <v/>
      </c>
      <c r="K70" s="44">
        <f>IF(_calc!$E$72="","",IF(LEN(INDEX('Licences'!$G$4:$G$503,_calc!$E$72))=0,"",INDEX('Licences'!$G$4:$G$503,_calc!$E$72)))</f>
        <v/>
      </c>
    </row>
    <row r="71">
      <c r="A71" s="44">
        <f>IF(_calc!$E$73="","",IF(LEN(INDEX('Licences'!$A$4:$A$503,_calc!$E$73))=0,"",INDEX('Licences'!$A$4:$A$503,_calc!$E$73)))</f>
        <v/>
      </c>
      <c r="B71" s="44">
        <f>IF(_calc!$E$73="","",IF(ISNUMBER(INDEX('Licences'!$J$4:$J$503,_calc!$E$73)),TEXT(INDEX('Licences'!$J$4:$J$503,_calc!$E$73),"yyyy-mm-dd"),""))</f>
        <v/>
      </c>
      <c r="C71" s="44">
        <f>IF(_calc!$E$73="","",IF(LEN(INDEX('Licences'!$B$4:$B$503,_calc!$E$73))=0,"",INDEX('Licences'!$B$4:$B$503,_calc!$E$73)))</f>
        <v/>
      </c>
      <c r="D71" s="44">
        <f>IF(_calc!$E$73="","",IF(ISNUMBER(INDEX('Licences'!$I$4:$I$503,_calc!$E$73)),TEXT(INDEX('Licences'!$I$4:$I$503,_calc!$E$73),"yyyy-mm-dd"),""))</f>
        <v/>
      </c>
      <c r="E71" s="44">
        <f>IF(_calc!$E$73="","",IF(LEN(INDEX('Licences'!$H$4:$H$503,_calc!$E$73))=0,"",INDEX('Licences'!$H$4:$H$503,_calc!$E$73)))</f>
        <v/>
      </c>
      <c r="F71" s="44">
        <f>IF(_calc!$E$73="","",TRIM(IF(LEN(IF(LEN(INDEX('Licences'!$D$4:$D$503,_calc!$E$73))=0,"",INDEX('Licences'!$D$4:$D$503,_calc!$E$73)))=0,"","Ref: "&amp;IF(LEN(INDEX('Licences'!$D$4:$D$503,_calc!$E$73))=0,"",INDEX('Licences'!$D$4:$D$503,_calc!$E$73))&amp;". ")&amp;IF(LEN(IF(LEN(INDEX('Licences'!$C$4:$C$503,_calc!$E$73))=0,"",INDEX('Licences'!$C$4:$C$503,_calc!$E$73)))=0,"","Issuer: "&amp;IF(LEN(INDEX('Licences'!$C$4:$C$503,_calc!$E$73))=0,"",INDEX('Licences'!$C$4:$C$503,_calc!$E$73))&amp;". ")&amp;IF(LEN(IF(LEN(INDEX('Licences'!$E$4:$E$503,_calc!$E$73))=0,"",INDEX('Licences'!$E$4:$E$503,_calc!$E$73)))=0,"","Site: "&amp;IF(LEN(INDEX('Licences'!$E$4:$E$503,_calc!$E$73))=0,"",INDEX('Licences'!$E$4:$E$503,_calc!$E$73))&amp;". ")&amp;IF(LEN(IF(LEN(INDEX('Licences'!$F$4:$F$503,_calc!$E$73))=0,"",INDEX('Licences'!$F$4:$F$503,_calc!$E$73)))=0,"","Owner: "&amp;IF(LEN(INDEX('Licences'!$F$4:$F$503,_calc!$E$73))=0,"",INDEX('Licences'!$F$4:$F$503,_calc!$E$73))&amp;". ")&amp;IF(LEN(IF(LEN(INDEX('Licences'!$R$4:$R$503,_calc!$E$73))=0,"",INDEX('Licences'!$R$4:$R$503,_calc!$E$73)))=0,"",IF(LEN(INDEX('Licences'!$R$4:$R$503,_calc!$E$73))=0,"",INDEX('Licences'!$R$4:$R$503,_calc!$E$73)))))</f>
        <v/>
      </c>
      <c r="G71" s="44">
        <f>IF(_calc!$E$73="","",IF(LEN(INDEX('Licences'!$Q$4:$Q$503,_calc!$E$73))=0,"",INDEX('Licences'!$Q$4:$Q$503,_calc!$E$73)))</f>
        <v/>
      </c>
      <c r="H71" s="44">
        <f>IF(_calc!$E$73="","",IF(LEN(INDEX('Licences'!$O$4:$O$503,_calc!$E$73))=0,"",INDEX('Licences'!$O$4:$O$503,_calc!$E$73)))</f>
        <v/>
      </c>
      <c r="I71" s="44">
        <f>IF(_calc!$E$73="","",IF(LEN(INDEX('Licences'!$P$4:$P$503,_calc!$E$73))=0,"",INDEX('Licences'!$P$4:$P$503,_calc!$E$73)))</f>
        <v/>
      </c>
      <c r="K71" s="44">
        <f>IF(_calc!$E$73="","",IF(LEN(INDEX('Licences'!$G$4:$G$503,_calc!$E$73))=0,"",INDEX('Licences'!$G$4:$G$503,_calc!$E$73)))</f>
        <v/>
      </c>
    </row>
    <row r="72">
      <c r="A72" s="44">
        <f>IF(_calc!$E$74="","",IF(LEN(INDEX('Licences'!$A$4:$A$503,_calc!$E$74))=0,"",INDEX('Licences'!$A$4:$A$503,_calc!$E$74)))</f>
        <v/>
      </c>
      <c r="B72" s="44">
        <f>IF(_calc!$E$74="","",IF(ISNUMBER(INDEX('Licences'!$J$4:$J$503,_calc!$E$74)),TEXT(INDEX('Licences'!$J$4:$J$503,_calc!$E$74),"yyyy-mm-dd"),""))</f>
        <v/>
      </c>
      <c r="C72" s="44">
        <f>IF(_calc!$E$74="","",IF(LEN(INDEX('Licences'!$B$4:$B$503,_calc!$E$74))=0,"",INDEX('Licences'!$B$4:$B$503,_calc!$E$74)))</f>
        <v/>
      </c>
      <c r="D72" s="44">
        <f>IF(_calc!$E$74="","",IF(ISNUMBER(INDEX('Licences'!$I$4:$I$503,_calc!$E$74)),TEXT(INDEX('Licences'!$I$4:$I$503,_calc!$E$74),"yyyy-mm-dd"),""))</f>
        <v/>
      </c>
      <c r="E72" s="44">
        <f>IF(_calc!$E$74="","",IF(LEN(INDEX('Licences'!$H$4:$H$503,_calc!$E$74))=0,"",INDEX('Licences'!$H$4:$H$503,_calc!$E$74)))</f>
        <v/>
      </c>
      <c r="F72" s="44">
        <f>IF(_calc!$E$74="","",TRIM(IF(LEN(IF(LEN(INDEX('Licences'!$D$4:$D$503,_calc!$E$74))=0,"",INDEX('Licences'!$D$4:$D$503,_calc!$E$74)))=0,"","Ref: "&amp;IF(LEN(INDEX('Licences'!$D$4:$D$503,_calc!$E$74))=0,"",INDEX('Licences'!$D$4:$D$503,_calc!$E$74))&amp;". ")&amp;IF(LEN(IF(LEN(INDEX('Licences'!$C$4:$C$503,_calc!$E$74))=0,"",INDEX('Licences'!$C$4:$C$503,_calc!$E$74)))=0,"","Issuer: "&amp;IF(LEN(INDEX('Licences'!$C$4:$C$503,_calc!$E$74))=0,"",INDEX('Licences'!$C$4:$C$503,_calc!$E$74))&amp;". ")&amp;IF(LEN(IF(LEN(INDEX('Licences'!$E$4:$E$503,_calc!$E$74))=0,"",INDEX('Licences'!$E$4:$E$503,_calc!$E$74)))=0,"","Site: "&amp;IF(LEN(INDEX('Licences'!$E$4:$E$503,_calc!$E$74))=0,"",INDEX('Licences'!$E$4:$E$503,_calc!$E$74))&amp;". ")&amp;IF(LEN(IF(LEN(INDEX('Licences'!$F$4:$F$503,_calc!$E$74))=0,"",INDEX('Licences'!$F$4:$F$503,_calc!$E$74)))=0,"","Owner: "&amp;IF(LEN(INDEX('Licences'!$F$4:$F$503,_calc!$E$74))=0,"",INDEX('Licences'!$F$4:$F$503,_calc!$E$74))&amp;". ")&amp;IF(LEN(IF(LEN(INDEX('Licences'!$R$4:$R$503,_calc!$E$74))=0,"",INDEX('Licences'!$R$4:$R$503,_calc!$E$74)))=0,"",IF(LEN(INDEX('Licences'!$R$4:$R$503,_calc!$E$74))=0,"",INDEX('Licences'!$R$4:$R$503,_calc!$E$74)))))</f>
        <v/>
      </c>
      <c r="G72" s="44">
        <f>IF(_calc!$E$74="","",IF(LEN(INDEX('Licences'!$Q$4:$Q$503,_calc!$E$74))=0,"",INDEX('Licences'!$Q$4:$Q$503,_calc!$E$74)))</f>
        <v/>
      </c>
      <c r="H72" s="44">
        <f>IF(_calc!$E$74="","",IF(LEN(INDEX('Licences'!$O$4:$O$503,_calc!$E$74))=0,"",INDEX('Licences'!$O$4:$O$503,_calc!$E$74)))</f>
        <v/>
      </c>
      <c r="I72" s="44">
        <f>IF(_calc!$E$74="","",IF(LEN(INDEX('Licences'!$P$4:$P$503,_calc!$E$74))=0,"",INDEX('Licences'!$P$4:$P$503,_calc!$E$74)))</f>
        <v/>
      </c>
      <c r="K72" s="44">
        <f>IF(_calc!$E$74="","",IF(LEN(INDEX('Licences'!$G$4:$G$503,_calc!$E$74))=0,"",INDEX('Licences'!$G$4:$G$503,_calc!$E$74)))</f>
        <v/>
      </c>
    </row>
    <row r="73">
      <c r="A73" s="44">
        <f>IF(_calc!$E$75="","",IF(LEN(INDEX('Licences'!$A$4:$A$503,_calc!$E$75))=0,"",INDEX('Licences'!$A$4:$A$503,_calc!$E$75)))</f>
        <v/>
      </c>
      <c r="B73" s="44">
        <f>IF(_calc!$E$75="","",IF(ISNUMBER(INDEX('Licences'!$J$4:$J$503,_calc!$E$75)),TEXT(INDEX('Licences'!$J$4:$J$503,_calc!$E$75),"yyyy-mm-dd"),""))</f>
        <v/>
      </c>
      <c r="C73" s="44">
        <f>IF(_calc!$E$75="","",IF(LEN(INDEX('Licences'!$B$4:$B$503,_calc!$E$75))=0,"",INDEX('Licences'!$B$4:$B$503,_calc!$E$75)))</f>
        <v/>
      </c>
      <c r="D73" s="44">
        <f>IF(_calc!$E$75="","",IF(ISNUMBER(INDEX('Licences'!$I$4:$I$503,_calc!$E$75)),TEXT(INDEX('Licences'!$I$4:$I$503,_calc!$E$75),"yyyy-mm-dd"),""))</f>
        <v/>
      </c>
      <c r="E73" s="44">
        <f>IF(_calc!$E$75="","",IF(LEN(INDEX('Licences'!$H$4:$H$503,_calc!$E$75))=0,"",INDEX('Licences'!$H$4:$H$503,_calc!$E$75)))</f>
        <v/>
      </c>
      <c r="F73" s="44">
        <f>IF(_calc!$E$75="","",TRIM(IF(LEN(IF(LEN(INDEX('Licences'!$D$4:$D$503,_calc!$E$75))=0,"",INDEX('Licences'!$D$4:$D$503,_calc!$E$75)))=0,"","Ref: "&amp;IF(LEN(INDEX('Licences'!$D$4:$D$503,_calc!$E$75))=0,"",INDEX('Licences'!$D$4:$D$503,_calc!$E$75))&amp;". ")&amp;IF(LEN(IF(LEN(INDEX('Licences'!$C$4:$C$503,_calc!$E$75))=0,"",INDEX('Licences'!$C$4:$C$503,_calc!$E$75)))=0,"","Issuer: "&amp;IF(LEN(INDEX('Licences'!$C$4:$C$503,_calc!$E$75))=0,"",INDEX('Licences'!$C$4:$C$503,_calc!$E$75))&amp;". ")&amp;IF(LEN(IF(LEN(INDEX('Licences'!$E$4:$E$503,_calc!$E$75))=0,"",INDEX('Licences'!$E$4:$E$503,_calc!$E$75)))=0,"","Site: "&amp;IF(LEN(INDEX('Licences'!$E$4:$E$503,_calc!$E$75))=0,"",INDEX('Licences'!$E$4:$E$503,_calc!$E$75))&amp;". ")&amp;IF(LEN(IF(LEN(INDEX('Licences'!$F$4:$F$503,_calc!$E$75))=0,"",INDEX('Licences'!$F$4:$F$503,_calc!$E$75)))=0,"","Owner: "&amp;IF(LEN(INDEX('Licences'!$F$4:$F$503,_calc!$E$75))=0,"",INDEX('Licences'!$F$4:$F$503,_calc!$E$75))&amp;". ")&amp;IF(LEN(IF(LEN(INDEX('Licences'!$R$4:$R$503,_calc!$E$75))=0,"",INDEX('Licences'!$R$4:$R$503,_calc!$E$75)))=0,"",IF(LEN(INDEX('Licences'!$R$4:$R$503,_calc!$E$75))=0,"",INDEX('Licences'!$R$4:$R$503,_calc!$E$75)))))</f>
        <v/>
      </c>
      <c r="G73" s="44">
        <f>IF(_calc!$E$75="","",IF(LEN(INDEX('Licences'!$Q$4:$Q$503,_calc!$E$75))=0,"",INDEX('Licences'!$Q$4:$Q$503,_calc!$E$75)))</f>
        <v/>
      </c>
      <c r="H73" s="44">
        <f>IF(_calc!$E$75="","",IF(LEN(INDEX('Licences'!$O$4:$O$503,_calc!$E$75))=0,"",INDEX('Licences'!$O$4:$O$503,_calc!$E$75)))</f>
        <v/>
      </c>
      <c r="I73" s="44">
        <f>IF(_calc!$E$75="","",IF(LEN(INDEX('Licences'!$P$4:$P$503,_calc!$E$75))=0,"",INDEX('Licences'!$P$4:$P$503,_calc!$E$75)))</f>
        <v/>
      </c>
      <c r="K73" s="44">
        <f>IF(_calc!$E$75="","",IF(LEN(INDEX('Licences'!$G$4:$G$503,_calc!$E$75))=0,"",INDEX('Licences'!$G$4:$G$503,_calc!$E$75)))</f>
        <v/>
      </c>
    </row>
    <row r="74">
      <c r="A74" s="44">
        <f>IF(_calc!$E$76="","",IF(LEN(INDEX('Licences'!$A$4:$A$503,_calc!$E$76))=0,"",INDEX('Licences'!$A$4:$A$503,_calc!$E$76)))</f>
        <v/>
      </c>
      <c r="B74" s="44">
        <f>IF(_calc!$E$76="","",IF(ISNUMBER(INDEX('Licences'!$J$4:$J$503,_calc!$E$76)),TEXT(INDEX('Licences'!$J$4:$J$503,_calc!$E$76),"yyyy-mm-dd"),""))</f>
        <v/>
      </c>
      <c r="C74" s="44">
        <f>IF(_calc!$E$76="","",IF(LEN(INDEX('Licences'!$B$4:$B$503,_calc!$E$76))=0,"",INDEX('Licences'!$B$4:$B$503,_calc!$E$76)))</f>
        <v/>
      </c>
      <c r="D74" s="44">
        <f>IF(_calc!$E$76="","",IF(ISNUMBER(INDEX('Licences'!$I$4:$I$503,_calc!$E$76)),TEXT(INDEX('Licences'!$I$4:$I$503,_calc!$E$76),"yyyy-mm-dd"),""))</f>
        <v/>
      </c>
      <c r="E74" s="44">
        <f>IF(_calc!$E$76="","",IF(LEN(INDEX('Licences'!$H$4:$H$503,_calc!$E$76))=0,"",INDEX('Licences'!$H$4:$H$503,_calc!$E$76)))</f>
        <v/>
      </c>
      <c r="F74" s="44">
        <f>IF(_calc!$E$76="","",TRIM(IF(LEN(IF(LEN(INDEX('Licences'!$D$4:$D$503,_calc!$E$76))=0,"",INDEX('Licences'!$D$4:$D$503,_calc!$E$76)))=0,"","Ref: "&amp;IF(LEN(INDEX('Licences'!$D$4:$D$503,_calc!$E$76))=0,"",INDEX('Licences'!$D$4:$D$503,_calc!$E$76))&amp;". ")&amp;IF(LEN(IF(LEN(INDEX('Licences'!$C$4:$C$503,_calc!$E$76))=0,"",INDEX('Licences'!$C$4:$C$503,_calc!$E$76)))=0,"","Issuer: "&amp;IF(LEN(INDEX('Licences'!$C$4:$C$503,_calc!$E$76))=0,"",INDEX('Licences'!$C$4:$C$503,_calc!$E$76))&amp;". ")&amp;IF(LEN(IF(LEN(INDEX('Licences'!$E$4:$E$503,_calc!$E$76))=0,"",INDEX('Licences'!$E$4:$E$503,_calc!$E$76)))=0,"","Site: "&amp;IF(LEN(INDEX('Licences'!$E$4:$E$503,_calc!$E$76))=0,"",INDEX('Licences'!$E$4:$E$503,_calc!$E$76))&amp;". ")&amp;IF(LEN(IF(LEN(INDEX('Licences'!$F$4:$F$503,_calc!$E$76))=0,"",INDEX('Licences'!$F$4:$F$503,_calc!$E$76)))=0,"","Owner: "&amp;IF(LEN(INDEX('Licences'!$F$4:$F$503,_calc!$E$76))=0,"",INDEX('Licences'!$F$4:$F$503,_calc!$E$76))&amp;". ")&amp;IF(LEN(IF(LEN(INDEX('Licences'!$R$4:$R$503,_calc!$E$76))=0,"",INDEX('Licences'!$R$4:$R$503,_calc!$E$76)))=0,"",IF(LEN(INDEX('Licences'!$R$4:$R$503,_calc!$E$76))=0,"",INDEX('Licences'!$R$4:$R$503,_calc!$E$76)))))</f>
        <v/>
      </c>
      <c r="G74" s="44">
        <f>IF(_calc!$E$76="","",IF(LEN(INDEX('Licences'!$Q$4:$Q$503,_calc!$E$76))=0,"",INDEX('Licences'!$Q$4:$Q$503,_calc!$E$76)))</f>
        <v/>
      </c>
      <c r="H74" s="44">
        <f>IF(_calc!$E$76="","",IF(LEN(INDEX('Licences'!$O$4:$O$503,_calc!$E$76))=0,"",INDEX('Licences'!$O$4:$O$503,_calc!$E$76)))</f>
        <v/>
      </c>
      <c r="I74" s="44">
        <f>IF(_calc!$E$76="","",IF(LEN(INDEX('Licences'!$P$4:$P$503,_calc!$E$76))=0,"",INDEX('Licences'!$P$4:$P$503,_calc!$E$76)))</f>
        <v/>
      </c>
      <c r="K74" s="44">
        <f>IF(_calc!$E$76="","",IF(LEN(INDEX('Licences'!$G$4:$G$503,_calc!$E$76))=0,"",INDEX('Licences'!$G$4:$G$503,_calc!$E$76)))</f>
        <v/>
      </c>
    </row>
    <row r="75">
      <c r="A75" s="44">
        <f>IF(_calc!$E$77="","",IF(LEN(INDEX('Licences'!$A$4:$A$503,_calc!$E$77))=0,"",INDEX('Licences'!$A$4:$A$503,_calc!$E$77)))</f>
        <v/>
      </c>
      <c r="B75" s="44">
        <f>IF(_calc!$E$77="","",IF(ISNUMBER(INDEX('Licences'!$J$4:$J$503,_calc!$E$77)),TEXT(INDEX('Licences'!$J$4:$J$503,_calc!$E$77),"yyyy-mm-dd"),""))</f>
        <v/>
      </c>
      <c r="C75" s="44">
        <f>IF(_calc!$E$77="","",IF(LEN(INDEX('Licences'!$B$4:$B$503,_calc!$E$77))=0,"",INDEX('Licences'!$B$4:$B$503,_calc!$E$77)))</f>
        <v/>
      </c>
      <c r="D75" s="44">
        <f>IF(_calc!$E$77="","",IF(ISNUMBER(INDEX('Licences'!$I$4:$I$503,_calc!$E$77)),TEXT(INDEX('Licences'!$I$4:$I$503,_calc!$E$77),"yyyy-mm-dd"),""))</f>
        <v/>
      </c>
      <c r="E75" s="44">
        <f>IF(_calc!$E$77="","",IF(LEN(INDEX('Licences'!$H$4:$H$503,_calc!$E$77))=0,"",INDEX('Licences'!$H$4:$H$503,_calc!$E$77)))</f>
        <v/>
      </c>
      <c r="F75" s="44">
        <f>IF(_calc!$E$77="","",TRIM(IF(LEN(IF(LEN(INDEX('Licences'!$D$4:$D$503,_calc!$E$77))=0,"",INDEX('Licences'!$D$4:$D$503,_calc!$E$77)))=0,"","Ref: "&amp;IF(LEN(INDEX('Licences'!$D$4:$D$503,_calc!$E$77))=0,"",INDEX('Licences'!$D$4:$D$503,_calc!$E$77))&amp;". ")&amp;IF(LEN(IF(LEN(INDEX('Licences'!$C$4:$C$503,_calc!$E$77))=0,"",INDEX('Licences'!$C$4:$C$503,_calc!$E$77)))=0,"","Issuer: "&amp;IF(LEN(INDEX('Licences'!$C$4:$C$503,_calc!$E$77))=0,"",INDEX('Licences'!$C$4:$C$503,_calc!$E$77))&amp;". ")&amp;IF(LEN(IF(LEN(INDEX('Licences'!$E$4:$E$503,_calc!$E$77))=0,"",INDEX('Licences'!$E$4:$E$503,_calc!$E$77)))=0,"","Site: "&amp;IF(LEN(INDEX('Licences'!$E$4:$E$503,_calc!$E$77))=0,"",INDEX('Licences'!$E$4:$E$503,_calc!$E$77))&amp;". ")&amp;IF(LEN(IF(LEN(INDEX('Licences'!$F$4:$F$503,_calc!$E$77))=0,"",INDEX('Licences'!$F$4:$F$503,_calc!$E$77)))=0,"","Owner: "&amp;IF(LEN(INDEX('Licences'!$F$4:$F$503,_calc!$E$77))=0,"",INDEX('Licences'!$F$4:$F$503,_calc!$E$77))&amp;". ")&amp;IF(LEN(IF(LEN(INDEX('Licences'!$R$4:$R$503,_calc!$E$77))=0,"",INDEX('Licences'!$R$4:$R$503,_calc!$E$77)))=0,"",IF(LEN(INDEX('Licences'!$R$4:$R$503,_calc!$E$77))=0,"",INDEX('Licences'!$R$4:$R$503,_calc!$E$77)))))</f>
        <v/>
      </c>
      <c r="G75" s="44">
        <f>IF(_calc!$E$77="","",IF(LEN(INDEX('Licences'!$Q$4:$Q$503,_calc!$E$77))=0,"",INDEX('Licences'!$Q$4:$Q$503,_calc!$E$77)))</f>
        <v/>
      </c>
      <c r="H75" s="44">
        <f>IF(_calc!$E$77="","",IF(LEN(INDEX('Licences'!$O$4:$O$503,_calc!$E$77))=0,"",INDEX('Licences'!$O$4:$O$503,_calc!$E$77)))</f>
        <v/>
      </c>
      <c r="I75" s="44">
        <f>IF(_calc!$E$77="","",IF(LEN(INDEX('Licences'!$P$4:$P$503,_calc!$E$77))=0,"",INDEX('Licences'!$P$4:$P$503,_calc!$E$77)))</f>
        <v/>
      </c>
      <c r="K75" s="44">
        <f>IF(_calc!$E$77="","",IF(LEN(INDEX('Licences'!$G$4:$G$503,_calc!$E$77))=0,"",INDEX('Licences'!$G$4:$G$503,_calc!$E$77)))</f>
        <v/>
      </c>
    </row>
    <row r="76">
      <c r="A76" s="44">
        <f>IF(_calc!$E$78="","",IF(LEN(INDEX('Licences'!$A$4:$A$503,_calc!$E$78))=0,"",INDEX('Licences'!$A$4:$A$503,_calc!$E$78)))</f>
        <v/>
      </c>
      <c r="B76" s="44">
        <f>IF(_calc!$E$78="","",IF(ISNUMBER(INDEX('Licences'!$J$4:$J$503,_calc!$E$78)),TEXT(INDEX('Licences'!$J$4:$J$503,_calc!$E$78),"yyyy-mm-dd"),""))</f>
        <v/>
      </c>
      <c r="C76" s="44">
        <f>IF(_calc!$E$78="","",IF(LEN(INDEX('Licences'!$B$4:$B$503,_calc!$E$78))=0,"",INDEX('Licences'!$B$4:$B$503,_calc!$E$78)))</f>
        <v/>
      </c>
      <c r="D76" s="44">
        <f>IF(_calc!$E$78="","",IF(ISNUMBER(INDEX('Licences'!$I$4:$I$503,_calc!$E$78)),TEXT(INDEX('Licences'!$I$4:$I$503,_calc!$E$78),"yyyy-mm-dd"),""))</f>
        <v/>
      </c>
      <c r="E76" s="44">
        <f>IF(_calc!$E$78="","",IF(LEN(INDEX('Licences'!$H$4:$H$503,_calc!$E$78))=0,"",INDEX('Licences'!$H$4:$H$503,_calc!$E$78)))</f>
        <v/>
      </c>
      <c r="F76" s="44">
        <f>IF(_calc!$E$78="","",TRIM(IF(LEN(IF(LEN(INDEX('Licences'!$D$4:$D$503,_calc!$E$78))=0,"",INDEX('Licences'!$D$4:$D$503,_calc!$E$78)))=0,"","Ref: "&amp;IF(LEN(INDEX('Licences'!$D$4:$D$503,_calc!$E$78))=0,"",INDEX('Licences'!$D$4:$D$503,_calc!$E$78))&amp;". ")&amp;IF(LEN(IF(LEN(INDEX('Licences'!$C$4:$C$503,_calc!$E$78))=0,"",INDEX('Licences'!$C$4:$C$503,_calc!$E$78)))=0,"","Issuer: "&amp;IF(LEN(INDEX('Licences'!$C$4:$C$503,_calc!$E$78))=0,"",INDEX('Licences'!$C$4:$C$503,_calc!$E$78))&amp;". ")&amp;IF(LEN(IF(LEN(INDEX('Licences'!$E$4:$E$503,_calc!$E$78))=0,"",INDEX('Licences'!$E$4:$E$503,_calc!$E$78)))=0,"","Site: "&amp;IF(LEN(INDEX('Licences'!$E$4:$E$503,_calc!$E$78))=0,"",INDEX('Licences'!$E$4:$E$503,_calc!$E$78))&amp;". ")&amp;IF(LEN(IF(LEN(INDEX('Licences'!$F$4:$F$503,_calc!$E$78))=0,"",INDEX('Licences'!$F$4:$F$503,_calc!$E$78)))=0,"","Owner: "&amp;IF(LEN(INDEX('Licences'!$F$4:$F$503,_calc!$E$78))=0,"",INDEX('Licences'!$F$4:$F$503,_calc!$E$78))&amp;". ")&amp;IF(LEN(IF(LEN(INDEX('Licences'!$R$4:$R$503,_calc!$E$78))=0,"",INDEX('Licences'!$R$4:$R$503,_calc!$E$78)))=0,"",IF(LEN(INDEX('Licences'!$R$4:$R$503,_calc!$E$78))=0,"",INDEX('Licences'!$R$4:$R$503,_calc!$E$78)))))</f>
        <v/>
      </c>
      <c r="G76" s="44">
        <f>IF(_calc!$E$78="","",IF(LEN(INDEX('Licences'!$Q$4:$Q$503,_calc!$E$78))=0,"",INDEX('Licences'!$Q$4:$Q$503,_calc!$E$78)))</f>
        <v/>
      </c>
      <c r="H76" s="44">
        <f>IF(_calc!$E$78="","",IF(LEN(INDEX('Licences'!$O$4:$O$503,_calc!$E$78))=0,"",INDEX('Licences'!$O$4:$O$503,_calc!$E$78)))</f>
        <v/>
      </c>
      <c r="I76" s="44">
        <f>IF(_calc!$E$78="","",IF(LEN(INDEX('Licences'!$P$4:$P$503,_calc!$E$78))=0,"",INDEX('Licences'!$P$4:$P$503,_calc!$E$78)))</f>
        <v/>
      </c>
      <c r="K76" s="44">
        <f>IF(_calc!$E$78="","",IF(LEN(INDEX('Licences'!$G$4:$G$503,_calc!$E$78))=0,"",INDEX('Licences'!$G$4:$G$503,_calc!$E$78)))</f>
        <v/>
      </c>
    </row>
    <row r="77">
      <c r="A77" s="44">
        <f>IF(_calc!$E$79="","",IF(LEN(INDEX('Licences'!$A$4:$A$503,_calc!$E$79))=0,"",INDEX('Licences'!$A$4:$A$503,_calc!$E$79)))</f>
        <v/>
      </c>
      <c r="B77" s="44">
        <f>IF(_calc!$E$79="","",IF(ISNUMBER(INDEX('Licences'!$J$4:$J$503,_calc!$E$79)),TEXT(INDEX('Licences'!$J$4:$J$503,_calc!$E$79),"yyyy-mm-dd"),""))</f>
        <v/>
      </c>
      <c r="C77" s="44">
        <f>IF(_calc!$E$79="","",IF(LEN(INDEX('Licences'!$B$4:$B$503,_calc!$E$79))=0,"",INDEX('Licences'!$B$4:$B$503,_calc!$E$79)))</f>
        <v/>
      </c>
      <c r="D77" s="44">
        <f>IF(_calc!$E$79="","",IF(ISNUMBER(INDEX('Licences'!$I$4:$I$503,_calc!$E$79)),TEXT(INDEX('Licences'!$I$4:$I$503,_calc!$E$79),"yyyy-mm-dd"),""))</f>
        <v/>
      </c>
      <c r="E77" s="44">
        <f>IF(_calc!$E$79="","",IF(LEN(INDEX('Licences'!$H$4:$H$503,_calc!$E$79))=0,"",INDEX('Licences'!$H$4:$H$503,_calc!$E$79)))</f>
        <v/>
      </c>
      <c r="F77" s="44">
        <f>IF(_calc!$E$79="","",TRIM(IF(LEN(IF(LEN(INDEX('Licences'!$D$4:$D$503,_calc!$E$79))=0,"",INDEX('Licences'!$D$4:$D$503,_calc!$E$79)))=0,"","Ref: "&amp;IF(LEN(INDEX('Licences'!$D$4:$D$503,_calc!$E$79))=0,"",INDEX('Licences'!$D$4:$D$503,_calc!$E$79))&amp;". ")&amp;IF(LEN(IF(LEN(INDEX('Licences'!$C$4:$C$503,_calc!$E$79))=0,"",INDEX('Licences'!$C$4:$C$503,_calc!$E$79)))=0,"","Issuer: "&amp;IF(LEN(INDEX('Licences'!$C$4:$C$503,_calc!$E$79))=0,"",INDEX('Licences'!$C$4:$C$503,_calc!$E$79))&amp;". ")&amp;IF(LEN(IF(LEN(INDEX('Licences'!$E$4:$E$503,_calc!$E$79))=0,"",INDEX('Licences'!$E$4:$E$503,_calc!$E$79)))=0,"","Site: "&amp;IF(LEN(INDEX('Licences'!$E$4:$E$503,_calc!$E$79))=0,"",INDEX('Licences'!$E$4:$E$503,_calc!$E$79))&amp;". ")&amp;IF(LEN(IF(LEN(INDEX('Licences'!$F$4:$F$503,_calc!$E$79))=0,"",INDEX('Licences'!$F$4:$F$503,_calc!$E$79)))=0,"","Owner: "&amp;IF(LEN(INDEX('Licences'!$F$4:$F$503,_calc!$E$79))=0,"",INDEX('Licences'!$F$4:$F$503,_calc!$E$79))&amp;". ")&amp;IF(LEN(IF(LEN(INDEX('Licences'!$R$4:$R$503,_calc!$E$79))=0,"",INDEX('Licences'!$R$4:$R$503,_calc!$E$79)))=0,"",IF(LEN(INDEX('Licences'!$R$4:$R$503,_calc!$E$79))=0,"",INDEX('Licences'!$R$4:$R$503,_calc!$E$79)))))</f>
        <v/>
      </c>
      <c r="G77" s="44">
        <f>IF(_calc!$E$79="","",IF(LEN(INDEX('Licences'!$Q$4:$Q$503,_calc!$E$79))=0,"",INDEX('Licences'!$Q$4:$Q$503,_calc!$E$79)))</f>
        <v/>
      </c>
      <c r="H77" s="44">
        <f>IF(_calc!$E$79="","",IF(LEN(INDEX('Licences'!$O$4:$O$503,_calc!$E$79))=0,"",INDEX('Licences'!$O$4:$O$503,_calc!$E$79)))</f>
        <v/>
      </c>
      <c r="I77" s="44">
        <f>IF(_calc!$E$79="","",IF(LEN(INDEX('Licences'!$P$4:$P$503,_calc!$E$79))=0,"",INDEX('Licences'!$P$4:$P$503,_calc!$E$79)))</f>
        <v/>
      </c>
      <c r="K77" s="44">
        <f>IF(_calc!$E$79="","",IF(LEN(INDEX('Licences'!$G$4:$G$503,_calc!$E$79))=0,"",INDEX('Licences'!$G$4:$G$503,_calc!$E$79)))</f>
        <v/>
      </c>
    </row>
    <row r="78">
      <c r="A78" s="44">
        <f>IF(_calc!$E$80="","",IF(LEN(INDEX('Licences'!$A$4:$A$503,_calc!$E$80))=0,"",INDEX('Licences'!$A$4:$A$503,_calc!$E$80)))</f>
        <v/>
      </c>
      <c r="B78" s="44">
        <f>IF(_calc!$E$80="","",IF(ISNUMBER(INDEX('Licences'!$J$4:$J$503,_calc!$E$80)),TEXT(INDEX('Licences'!$J$4:$J$503,_calc!$E$80),"yyyy-mm-dd"),""))</f>
        <v/>
      </c>
      <c r="C78" s="44">
        <f>IF(_calc!$E$80="","",IF(LEN(INDEX('Licences'!$B$4:$B$503,_calc!$E$80))=0,"",INDEX('Licences'!$B$4:$B$503,_calc!$E$80)))</f>
        <v/>
      </c>
      <c r="D78" s="44">
        <f>IF(_calc!$E$80="","",IF(ISNUMBER(INDEX('Licences'!$I$4:$I$503,_calc!$E$80)),TEXT(INDEX('Licences'!$I$4:$I$503,_calc!$E$80),"yyyy-mm-dd"),""))</f>
        <v/>
      </c>
      <c r="E78" s="44">
        <f>IF(_calc!$E$80="","",IF(LEN(INDEX('Licences'!$H$4:$H$503,_calc!$E$80))=0,"",INDEX('Licences'!$H$4:$H$503,_calc!$E$80)))</f>
        <v/>
      </c>
      <c r="F78" s="44">
        <f>IF(_calc!$E$80="","",TRIM(IF(LEN(IF(LEN(INDEX('Licences'!$D$4:$D$503,_calc!$E$80))=0,"",INDEX('Licences'!$D$4:$D$503,_calc!$E$80)))=0,"","Ref: "&amp;IF(LEN(INDEX('Licences'!$D$4:$D$503,_calc!$E$80))=0,"",INDEX('Licences'!$D$4:$D$503,_calc!$E$80))&amp;". ")&amp;IF(LEN(IF(LEN(INDEX('Licences'!$C$4:$C$503,_calc!$E$80))=0,"",INDEX('Licences'!$C$4:$C$503,_calc!$E$80)))=0,"","Issuer: "&amp;IF(LEN(INDEX('Licences'!$C$4:$C$503,_calc!$E$80))=0,"",INDEX('Licences'!$C$4:$C$503,_calc!$E$80))&amp;". ")&amp;IF(LEN(IF(LEN(INDEX('Licences'!$E$4:$E$503,_calc!$E$80))=0,"",INDEX('Licences'!$E$4:$E$503,_calc!$E$80)))=0,"","Site: "&amp;IF(LEN(INDEX('Licences'!$E$4:$E$503,_calc!$E$80))=0,"",INDEX('Licences'!$E$4:$E$503,_calc!$E$80))&amp;". ")&amp;IF(LEN(IF(LEN(INDEX('Licences'!$F$4:$F$503,_calc!$E$80))=0,"",INDEX('Licences'!$F$4:$F$503,_calc!$E$80)))=0,"","Owner: "&amp;IF(LEN(INDEX('Licences'!$F$4:$F$503,_calc!$E$80))=0,"",INDEX('Licences'!$F$4:$F$503,_calc!$E$80))&amp;". ")&amp;IF(LEN(IF(LEN(INDEX('Licences'!$R$4:$R$503,_calc!$E$80))=0,"",INDEX('Licences'!$R$4:$R$503,_calc!$E$80)))=0,"",IF(LEN(INDEX('Licences'!$R$4:$R$503,_calc!$E$80))=0,"",INDEX('Licences'!$R$4:$R$503,_calc!$E$80)))))</f>
        <v/>
      </c>
      <c r="G78" s="44">
        <f>IF(_calc!$E$80="","",IF(LEN(INDEX('Licences'!$Q$4:$Q$503,_calc!$E$80))=0,"",INDEX('Licences'!$Q$4:$Q$503,_calc!$E$80)))</f>
        <v/>
      </c>
      <c r="H78" s="44">
        <f>IF(_calc!$E$80="","",IF(LEN(INDEX('Licences'!$O$4:$O$503,_calc!$E$80))=0,"",INDEX('Licences'!$O$4:$O$503,_calc!$E$80)))</f>
        <v/>
      </c>
      <c r="I78" s="44">
        <f>IF(_calc!$E$80="","",IF(LEN(INDEX('Licences'!$P$4:$P$503,_calc!$E$80))=0,"",INDEX('Licences'!$P$4:$P$503,_calc!$E$80)))</f>
        <v/>
      </c>
      <c r="K78" s="44">
        <f>IF(_calc!$E$80="","",IF(LEN(INDEX('Licences'!$G$4:$G$503,_calc!$E$80))=0,"",INDEX('Licences'!$G$4:$G$503,_calc!$E$80)))</f>
        <v/>
      </c>
    </row>
    <row r="79">
      <c r="A79" s="44">
        <f>IF(_calc!$E$81="","",IF(LEN(INDEX('Licences'!$A$4:$A$503,_calc!$E$81))=0,"",INDEX('Licences'!$A$4:$A$503,_calc!$E$81)))</f>
        <v/>
      </c>
      <c r="B79" s="44">
        <f>IF(_calc!$E$81="","",IF(ISNUMBER(INDEX('Licences'!$J$4:$J$503,_calc!$E$81)),TEXT(INDEX('Licences'!$J$4:$J$503,_calc!$E$81),"yyyy-mm-dd"),""))</f>
        <v/>
      </c>
      <c r="C79" s="44">
        <f>IF(_calc!$E$81="","",IF(LEN(INDEX('Licences'!$B$4:$B$503,_calc!$E$81))=0,"",INDEX('Licences'!$B$4:$B$503,_calc!$E$81)))</f>
        <v/>
      </c>
      <c r="D79" s="44">
        <f>IF(_calc!$E$81="","",IF(ISNUMBER(INDEX('Licences'!$I$4:$I$503,_calc!$E$81)),TEXT(INDEX('Licences'!$I$4:$I$503,_calc!$E$81),"yyyy-mm-dd"),""))</f>
        <v/>
      </c>
      <c r="E79" s="44">
        <f>IF(_calc!$E$81="","",IF(LEN(INDEX('Licences'!$H$4:$H$503,_calc!$E$81))=0,"",INDEX('Licences'!$H$4:$H$503,_calc!$E$81)))</f>
        <v/>
      </c>
      <c r="F79" s="44">
        <f>IF(_calc!$E$81="","",TRIM(IF(LEN(IF(LEN(INDEX('Licences'!$D$4:$D$503,_calc!$E$81))=0,"",INDEX('Licences'!$D$4:$D$503,_calc!$E$81)))=0,"","Ref: "&amp;IF(LEN(INDEX('Licences'!$D$4:$D$503,_calc!$E$81))=0,"",INDEX('Licences'!$D$4:$D$503,_calc!$E$81))&amp;". ")&amp;IF(LEN(IF(LEN(INDEX('Licences'!$C$4:$C$503,_calc!$E$81))=0,"",INDEX('Licences'!$C$4:$C$503,_calc!$E$81)))=0,"","Issuer: "&amp;IF(LEN(INDEX('Licences'!$C$4:$C$503,_calc!$E$81))=0,"",INDEX('Licences'!$C$4:$C$503,_calc!$E$81))&amp;". ")&amp;IF(LEN(IF(LEN(INDEX('Licences'!$E$4:$E$503,_calc!$E$81))=0,"",INDEX('Licences'!$E$4:$E$503,_calc!$E$81)))=0,"","Site: "&amp;IF(LEN(INDEX('Licences'!$E$4:$E$503,_calc!$E$81))=0,"",INDEX('Licences'!$E$4:$E$503,_calc!$E$81))&amp;". ")&amp;IF(LEN(IF(LEN(INDEX('Licences'!$F$4:$F$503,_calc!$E$81))=0,"",INDEX('Licences'!$F$4:$F$503,_calc!$E$81)))=0,"","Owner: "&amp;IF(LEN(INDEX('Licences'!$F$4:$F$503,_calc!$E$81))=0,"",INDEX('Licences'!$F$4:$F$503,_calc!$E$81))&amp;". ")&amp;IF(LEN(IF(LEN(INDEX('Licences'!$R$4:$R$503,_calc!$E$81))=0,"",INDEX('Licences'!$R$4:$R$503,_calc!$E$81)))=0,"",IF(LEN(INDEX('Licences'!$R$4:$R$503,_calc!$E$81))=0,"",INDEX('Licences'!$R$4:$R$503,_calc!$E$81)))))</f>
        <v/>
      </c>
      <c r="G79" s="44">
        <f>IF(_calc!$E$81="","",IF(LEN(INDEX('Licences'!$Q$4:$Q$503,_calc!$E$81))=0,"",INDEX('Licences'!$Q$4:$Q$503,_calc!$E$81)))</f>
        <v/>
      </c>
      <c r="H79" s="44">
        <f>IF(_calc!$E$81="","",IF(LEN(INDEX('Licences'!$O$4:$O$503,_calc!$E$81))=0,"",INDEX('Licences'!$O$4:$O$503,_calc!$E$81)))</f>
        <v/>
      </c>
      <c r="I79" s="44">
        <f>IF(_calc!$E$81="","",IF(LEN(INDEX('Licences'!$P$4:$P$503,_calc!$E$81))=0,"",INDEX('Licences'!$P$4:$P$503,_calc!$E$81)))</f>
        <v/>
      </c>
      <c r="K79" s="44">
        <f>IF(_calc!$E$81="","",IF(LEN(INDEX('Licences'!$G$4:$G$503,_calc!$E$81))=0,"",INDEX('Licences'!$G$4:$G$503,_calc!$E$81)))</f>
        <v/>
      </c>
    </row>
    <row r="80">
      <c r="A80" s="44">
        <f>IF(_calc!$E$82="","",IF(LEN(INDEX('Licences'!$A$4:$A$503,_calc!$E$82))=0,"",INDEX('Licences'!$A$4:$A$503,_calc!$E$82)))</f>
        <v/>
      </c>
      <c r="B80" s="44">
        <f>IF(_calc!$E$82="","",IF(ISNUMBER(INDEX('Licences'!$J$4:$J$503,_calc!$E$82)),TEXT(INDEX('Licences'!$J$4:$J$503,_calc!$E$82),"yyyy-mm-dd"),""))</f>
        <v/>
      </c>
      <c r="C80" s="44">
        <f>IF(_calc!$E$82="","",IF(LEN(INDEX('Licences'!$B$4:$B$503,_calc!$E$82))=0,"",INDEX('Licences'!$B$4:$B$503,_calc!$E$82)))</f>
        <v/>
      </c>
      <c r="D80" s="44">
        <f>IF(_calc!$E$82="","",IF(ISNUMBER(INDEX('Licences'!$I$4:$I$503,_calc!$E$82)),TEXT(INDEX('Licences'!$I$4:$I$503,_calc!$E$82),"yyyy-mm-dd"),""))</f>
        <v/>
      </c>
      <c r="E80" s="44">
        <f>IF(_calc!$E$82="","",IF(LEN(INDEX('Licences'!$H$4:$H$503,_calc!$E$82))=0,"",INDEX('Licences'!$H$4:$H$503,_calc!$E$82)))</f>
        <v/>
      </c>
      <c r="F80" s="44">
        <f>IF(_calc!$E$82="","",TRIM(IF(LEN(IF(LEN(INDEX('Licences'!$D$4:$D$503,_calc!$E$82))=0,"",INDEX('Licences'!$D$4:$D$503,_calc!$E$82)))=0,"","Ref: "&amp;IF(LEN(INDEX('Licences'!$D$4:$D$503,_calc!$E$82))=0,"",INDEX('Licences'!$D$4:$D$503,_calc!$E$82))&amp;". ")&amp;IF(LEN(IF(LEN(INDEX('Licences'!$C$4:$C$503,_calc!$E$82))=0,"",INDEX('Licences'!$C$4:$C$503,_calc!$E$82)))=0,"","Issuer: "&amp;IF(LEN(INDEX('Licences'!$C$4:$C$503,_calc!$E$82))=0,"",INDEX('Licences'!$C$4:$C$503,_calc!$E$82))&amp;". ")&amp;IF(LEN(IF(LEN(INDEX('Licences'!$E$4:$E$503,_calc!$E$82))=0,"",INDEX('Licences'!$E$4:$E$503,_calc!$E$82)))=0,"","Site: "&amp;IF(LEN(INDEX('Licences'!$E$4:$E$503,_calc!$E$82))=0,"",INDEX('Licences'!$E$4:$E$503,_calc!$E$82))&amp;". ")&amp;IF(LEN(IF(LEN(INDEX('Licences'!$F$4:$F$503,_calc!$E$82))=0,"",INDEX('Licences'!$F$4:$F$503,_calc!$E$82)))=0,"","Owner: "&amp;IF(LEN(INDEX('Licences'!$F$4:$F$503,_calc!$E$82))=0,"",INDEX('Licences'!$F$4:$F$503,_calc!$E$82))&amp;". ")&amp;IF(LEN(IF(LEN(INDEX('Licences'!$R$4:$R$503,_calc!$E$82))=0,"",INDEX('Licences'!$R$4:$R$503,_calc!$E$82)))=0,"",IF(LEN(INDEX('Licences'!$R$4:$R$503,_calc!$E$82))=0,"",INDEX('Licences'!$R$4:$R$503,_calc!$E$82)))))</f>
        <v/>
      </c>
      <c r="G80" s="44">
        <f>IF(_calc!$E$82="","",IF(LEN(INDEX('Licences'!$Q$4:$Q$503,_calc!$E$82))=0,"",INDEX('Licences'!$Q$4:$Q$503,_calc!$E$82)))</f>
        <v/>
      </c>
      <c r="H80" s="44">
        <f>IF(_calc!$E$82="","",IF(LEN(INDEX('Licences'!$O$4:$O$503,_calc!$E$82))=0,"",INDEX('Licences'!$O$4:$O$503,_calc!$E$82)))</f>
        <v/>
      </c>
      <c r="I80" s="44">
        <f>IF(_calc!$E$82="","",IF(LEN(INDEX('Licences'!$P$4:$P$503,_calc!$E$82))=0,"",INDEX('Licences'!$P$4:$P$503,_calc!$E$82)))</f>
        <v/>
      </c>
      <c r="K80" s="44">
        <f>IF(_calc!$E$82="","",IF(LEN(INDEX('Licences'!$G$4:$G$503,_calc!$E$82))=0,"",INDEX('Licences'!$G$4:$G$503,_calc!$E$82)))</f>
        <v/>
      </c>
    </row>
    <row r="81">
      <c r="A81" s="44">
        <f>IF(_calc!$E$83="","",IF(LEN(INDEX('Licences'!$A$4:$A$503,_calc!$E$83))=0,"",INDEX('Licences'!$A$4:$A$503,_calc!$E$83)))</f>
        <v/>
      </c>
      <c r="B81" s="44">
        <f>IF(_calc!$E$83="","",IF(ISNUMBER(INDEX('Licences'!$J$4:$J$503,_calc!$E$83)),TEXT(INDEX('Licences'!$J$4:$J$503,_calc!$E$83),"yyyy-mm-dd"),""))</f>
        <v/>
      </c>
      <c r="C81" s="44">
        <f>IF(_calc!$E$83="","",IF(LEN(INDEX('Licences'!$B$4:$B$503,_calc!$E$83))=0,"",INDEX('Licences'!$B$4:$B$503,_calc!$E$83)))</f>
        <v/>
      </c>
      <c r="D81" s="44">
        <f>IF(_calc!$E$83="","",IF(ISNUMBER(INDEX('Licences'!$I$4:$I$503,_calc!$E$83)),TEXT(INDEX('Licences'!$I$4:$I$503,_calc!$E$83),"yyyy-mm-dd"),""))</f>
        <v/>
      </c>
      <c r="E81" s="44">
        <f>IF(_calc!$E$83="","",IF(LEN(INDEX('Licences'!$H$4:$H$503,_calc!$E$83))=0,"",INDEX('Licences'!$H$4:$H$503,_calc!$E$83)))</f>
        <v/>
      </c>
      <c r="F81" s="44">
        <f>IF(_calc!$E$83="","",TRIM(IF(LEN(IF(LEN(INDEX('Licences'!$D$4:$D$503,_calc!$E$83))=0,"",INDEX('Licences'!$D$4:$D$503,_calc!$E$83)))=0,"","Ref: "&amp;IF(LEN(INDEX('Licences'!$D$4:$D$503,_calc!$E$83))=0,"",INDEX('Licences'!$D$4:$D$503,_calc!$E$83))&amp;". ")&amp;IF(LEN(IF(LEN(INDEX('Licences'!$C$4:$C$503,_calc!$E$83))=0,"",INDEX('Licences'!$C$4:$C$503,_calc!$E$83)))=0,"","Issuer: "&amp;IF(LEN(INDEX('Licences'!$C$4:$C$503,_calc!$E$83))=0,"",INDEX('Licences'!$C$4:$C$503,_calc!$E$83))&amp;". ")&amp;IF(LEN(IF(LEN(INDEX('Licences'!$E$4:$E$503,_calc!$E$83))=0,"",INDEX('Licences'!$E$4:$E$503,_calc!$E$83)))=0,"","Site: "&amp;IF(LEN(INDEX('Licences'!$E$4:$E$503,_calc!$E$83))=0,"",INDEX('Licences'!$E$4:$E$503,_calc!$E$83))&amp;". ")&amp;IF(LEN(IF(LEN(INDEX('Licences'!$F$4:$F$503,_calc!$E$83))=0,"",INDEX('Licences'!$F$4:$F$503,_calc!$E$83)))=0,"","Owner: "&amp;IF(LEN(INDEX('Licences'!$F$4:$F$503,_calc!$E$83))=0,"",INDEX('Licences'!$F$4:$F$503,_calc!$E$83))&amp;". ")&amp;IF(LEN(IF(LEN(INDEX('Licences'!$R$4:$R$503,_calc!$E$83))=0,"",INDEX('Licences'!$R$4:$R$503,_calc!$E$83)))=0,"",IF(LEN(INDEX('Licences'!$R$4:$R$503,_calc!$E$83))=0,"",INDEX('Licences'!$R$4:$R$503,_calc!$E$83)))))</f>
        <v/>
      </c>
      <c r="G81" s="44">
        <f>IF(_calc!$E$83="","",IF(LEN(INDEX('Licences'!$Q$4:$Q$503,_calc!$E$83))=0,"",INDEX('Licences'!$Q$4:$Q$503,_calc!$E$83)))</f>
        <v/>
      </c>
      <c r="H81" s="44">
        <f>IF(_calc!$E$83="","",IF(LEN(INDEX('Licences'!$O$4:$O$503,_calc!$E$83))=0,"",INDEX('Licences'!$O$4:$O$503,_calc!$E$83)))</f>
        <v/>
      </c>
      <c r="I81" s="44">
        <f>IF(_calc!$E$83="","",IF(LEN(INDEX('Licences'!$P$4:$P$503,_calc!$E$83))=0,"",INDEX('Licences'!$P$4:$P$503,_calc!$E$83)))</f>
        <v/>
      </c>
      <c r="K81" s="44">
        <f>IF(_calc!$E$83="","",IF(LEN(INDEX('Licences'!$G$4:$G$503,_calc!$E$83))=0,"",INDEX('Licences'!$G$4:$G$503,_calc!$E$83)))</f>
        <v/>
      </c>
    </row>
    <row r="82">
      <c r="A82" s="44">
        <f>IF(_calc!$E$84="","",IF(LEN(INDEX('Licences'!$A$4:$A$503,_calc!$E$84))=0,"",INDEX('Licences'!$A$4:$A$503,_calc!$E$84)))</f>
        <v/>
      </c>
      <c r="B82" s="44">
        <f>IF(_calc!$E$84="","",IF(ISNUMBER(INDEX('Licences'!$J$4:$J$503,_calc!$E$84)),TEXT(INDEX('Licences'!$J$4:$J$503,_calc!$E$84),"yyyy-mm-dd"),""))</f>
        <v/>
      </c>
      <c r="C82" s="44">
        <f>IF(_calc!$E$84="","",IF(LEN(INDEX('Licences'!$B$4:$B$503,_calc!$E$84))=0,"",INDEX('Licences'!$B$4:$B$503,_calc!$E$84)))</f>
        <v/>
      </c>
      <c r="D82" s="44">
        <f>IF(_calc!$E$84="","",IF(ISNUMBER(INDEX('Licences'!$I$4:$I$503,_calc!$E$84)),TEXT(INDEX('Licences'!$I$4:$I$503,_calc!$E$84),"yyyy-mm-dd"),""))</f>
        <v/>
      </c>
      <c r="E82" s="44">
        <f>IF(_calc!$E$84="","",IF(LEN(INDEX('Licences'!$H$4:$H$503,_calc!$E$84))=0,"",INDEX('Licences'!$H$4:$H$503,_calc!$E$84)))</f>
        <v/>
      </c>
      <c r="F82" s="44">
        <f>IF(_calc!$E$84="","",TRIM(IF(LEN(IF(LEN(INDEX('Licences'!$D$4:$D$503,_calc!$E$84))=0,"",INDEX('Licences'!$D$4:$D$503,_calc!$E$84)))=0,"","Ref: "&amp;IF(LEN(INDEX('Licences'!$D$4:$D$503,_calc!$E$84))=0,"",INDEX('Licences'!$D$4:$D$503,_calc!$E$84))&amp;". ")&amp;IF(LEN(IF(LEN(INDEX('Licences'!$C$4:$C$503,_calc!$E$84))=0,"",INDEX('Licences'!$C$4:$C$503,_calc!$E$84)))=0,"","Issuer: "&amp;IF(LEN(INDEX('Licences'!$C$4:$C$503,_calc!$E$84))=0,"",INDEX('Licences'!$C$4:$C$503,_calc!$E$84))&amp;". ")&amp;IF(LEN(IF(LEN(INDEX('Licences'!$E$4:$E$503,_calc!$E$84))=0,"",INDEX('Licences'!$E$4:$E$503,_calc!$E$84)))=0,"","Site: "&amp;IF(LEN(INDEX('Licences'!$E$4:$E$503,_calc!$E$84))=0,"",INDEX('Licences'!$E$4:$E$503,_calc!$E$84))&amp;". ")&amp;IF(LEN(IF(LEN(INDEX('Licences'!$F$4:$F$503,_calc!$E$84))=0,"",INDEX('Licences'!$F$4:$F$503,_calc!$E$84)))=0,"","Owner: "&amp;IF(LEN(INDEX('Licences'!$F$4:$F$503,_calc!$E$84))=0,"",INDEX('Licences'!$F$4:$F$503,_calc!$E$84))&amp;". ")&amp;IF(LEN(IF(LEN(INDEX('Licences'!$R$4:$R$503,_calc!$E$84))=0,"",INDEX('Licences'!$R$4:$R$503,_calc!$E$84)))=0,"",IF(LEN(INDEX('Licences'!$R$4:$R$503,_calc!$E$84))=0,"",INDEX('Licences'!$R$4:$R$503,_calc!$E$84)))))</f>
        <v/>
      </c>
      <c r="G82" s="44">
        <f>IF(_calc!$E$84="","",IF(LEN(INDEX('Licences'!$Q$4:$Q$503,_calc!$E$84))=0,"",INDEX('Licences'!$Q$4:$Q$503,_calc!$E$84)))</f>
        <v/>
      </c>
      <c r="H82" s="44">
        <f>IF(_calc!$E$84="","",IF(LEN(INDEX('Licences'!$O$4:$O$503,_calc!$E$84))=0,"",INDEX('Licences'!$O$4:$O$503,_calc!$E$84)))</f>
        <v/>
      </c>
      <c r="I82" s="44">
        <f>IF(_calc!$E$84="","",IF(LEN(INDEX('Licences'!$P$4:$P$503,_calc!$E$84))=0,"",INDEX('Licences'!$P$4:$P$503,_calc!$E$84)))</f>
        <v/>
      </c>
      <c r="K82" s="44">
        <f>IF(_calc!$E$84="","",IF(LEN(INDEX('Licences'!$G$4:$G$503,_calc!$E$84))=0,"",INDEX('Licences'!$G$4:$G$503,_calc!$E$84)))</f>
        <v/>
      </c>
    </row>
    <row r="83">
      <c r="A83" s="44">
        <f>IF(_calc!$E$85="","",IF(LEN(INDEX('Licences'!$A$4:$A$503,_calc!$E$85))=0,"",INDEX('Licences'!$A$4:$A$503,_calc!$E$85)))</f>
        <v/>
      </c>
      <c r="B83" s="44">
        <f>IF(_calc!$E$85="","",IF(ISNUMBER(INDEX('Licences'!$J$4:$J$503,_calc!$E$85)),TEXT(INDEX('Licences'!$J$4:$J$503,_calc!$E$85),"yyyy-mm-dd"),""))</f>
        <v/>
      </c>
      <c r="C83" s="44">
        <f>IF(_calc!$E$85="","",IF(LEN(INDEX('Licences'!$B$4:$B$503,_calc!$E$85))=0,"",INDEX('Licences'!$B$4:$B$503,_calc!$E$85)))</f>
        <v/>
      </c>
      <c r="D83" s="44">
        <f>IF(_calc!$E$85="","",IF(ISNUMBER(INDEX('Licences'!$I$4:$I$503,_calc!$E$85)),TEXT(INDEX('Licences'!$I$4:$I$503,_calc!$E$85),"yyyy-mm-dd"),""))</f>
        <v/>
      </c>
      <c r="E83" s="44">
        <f>IF(_calc!$E$85="","",IF(LEN(INDEX('Licences'!$H$4:$H$503,_calc!$E$85))=0,"",INDEX('Licences'!$H$4:$H$503,_calc!$E$85)))</f>
        <v/>
      </c>
      <c r="F83" s="44">
        <f>IF(_calc!$E$85="","",TRIM(IF(LEN(IF(LEN(INDEX('Licences'!$D$4:$D$503,_calc!$E$85))=0,"",INDEX('Licences'!$D$4:$D$503,_calc!$E$85)))=0,"","Ref: "&amp;IF(LEN(INDEX('Licences'!$D$4:$D$503,_calc!$E$85))=0,"",INDEX('Licences'!$D$4:$D$503,_calc!$E$85))&amp;". ")&amp;IF(LEN(IF(LEN(INDEX('Licences'!$C$4:$C$503,_calc!$E$85))=0,"",INDEX('Licences'!$C$4:$C$503,_calc!$E$85)))=0,"","Issuer: "&amp;IF(LEN(INDEX('Licences'!$C$4:$C$503,_calc!$E$85))=0,"",INDEX('Licences'!$C$4:$C$503,_calc!$E$85))&amp;". ")&amp;IF(LEN(IF(LEN(INDEX('Licences'!$E$4:$E$503,_calc!$E$85))=0,"",INDEX('Licences'!$E$4:$E$503,_calc!$E$85)))=0,"","Site: "&amp;IF(LEN(INDEX('Licences'!$E$4:$E$503,_calc!$E$85))=0,"",INDEX('Licences'!$E$4:$E$503,_calc!$E$85))&amp;". ")&amp;IF(LEN(IF(LEN(INDEX('Licences'!$F$4:$F$503,_calc!$E$85))=0,"",INDEX('Licences'!$F$4:$F$503,_calc!$E$85)))=0,"","Owner: "&amp;IF(LEN(INDEX('Licences'!$F$4:$F$503,_calc!$E$85))=0,"",INDEX('Licences'!$F$4:$F$503,_calc!$E$85))&amp;". ")&amp;IF(LEN(IF(LEN(INDEX('Licences'!$R$4:$R$503,_calc!$E$85))=0,"",INDEX('Licences'!$R$4:$R$503,_calc!$E$85)))=0,"",IF(LEN(INDEX('Licences'!$R$4:$R$503,_calc!$E$85))=0,"",INDEX('Licences'!$R$4:$R$503,_calc!$E$85)))))</f>
        <v/>
      </c>
      <c r="G83" s="44">
        <f>IF(_calc!$E$85="","",IF(LEN(INDEX('Licences'!$Q$4:$Q$503,_calc!$E$85))=0,"",INDEX('Licences'!$Q$4:$Q$503,_calc!$E$85)))</f>
        <v/>
      </c>
      <c r="H83" s="44">
        <f>IF(_calc!$E$85="","",IF(LEN(INDEX('Licences'!$O$4:$O$503,_calc!$E$85))=0,"",INDEX('Licences'!$O$4:$O$503,_calc!$E$85)))</f>
        <v/>
      </c>
      <c r="I83" s="44">
        <f>IF(_calc!$E$85="","",IF(LEN(INDEX('Licences'!$P$4:$P$503,_calc!$E$85))=0,"",INDEX('Licences'!$P$4:$P$503,_calc!$E$85)))</f>
        <v/>
      </c>
      <c r="K83" s="44">
        <f>IF(_calc!$E$85="","",IF(LEN(INDEX('Licences'!$G$4:$G$503,_calc!$E$85))=0,"",INDEX('Licences'!$G$4:$G$503,_calc!$E$85)))</f>
        <v/>
      </c>
    </row>
    <row r="84">
      <c r="A84" s="44">
        <f>IF(_calc!$E$86="","",IF(LEN(INDEX('Licences'!$A$4:$A$503,_calc!$E$86))=0,"",INDEX('Licences'!$A$4:$A$503,_calc!$E$86)))</f>
        <v/>
      </c>
      <c r="B84" s="44">
        <f>IF(_calc!$E$86="","",IF(ISNUMBER(INDEX('Licences'!$J$4:$J$503,_calc!$E$86)),TEXT(INDEX('Licences'!$J$4:$J$503,_calc!$E$86),"yyyy-mm-dd"),""))</f>
        <v/>
      </c>
      <c r="C84" s="44">
        <f>IF(_calc!$E$86="","",IF(LEN(INDEX('Licences'!$B$4:$B$503,_calc!$E$86))=0,"",INDEX('Licences'!$B$4:$B$503,_calc!$E$86)))</f>
        <v/>
      </c>
      <c r="D84" s="44">
        <f>IF(_calc!$E$86="","",IF(ISNUMBER(INDEX('Licences'!$I$4:$I$503,_calc!$E$86)),TEXT(INDEX('Licences'!$I$4:$I$503,_calc!$E$86),"yyyy-mm-dd"),""))</f>
        <v/>
      </c>
      <c r="E84" s="44">
        <f>IF(_calc!$E$86="","",IF(LEN(INDEX('Licences'!$H$4:$H$503,_calc!$E$86))=0,"",INDEX('Licences'!$H$4:$H$503,_calc!$E$86)))</f>
        <v/>
      </c>
      <c r="F84" s="44">
        <f>IF(_calc!$E$86="","",TRIM(IF(LEN(IF(LEN(INDEX('Licences'!$D$4:$D$503,_calc!$E$86))=0,"",INDEX('Licences'!$D$4:$D$503,_calc!$E$86)))=0,"","Ref: "&amp;IF(LEN(INDEX('Licences'!$D$4:$D$503,_calc!$E$86))=0,"",INDEX('Licences'!$D$4:$D$503,_calc!$E$86))&amp;". ")&amp;IF(LEN(IF(LEN(INDEX('Licences'!$C$4:$C$503,_calc!$E$86))=0,"",INDEX('Licences'!$C$4:$C$503,_calc!$E$86)))=0,"","Issuer: "&amp;IF(LEN(INDEX('Licences'!$C$4:$C$503,_calc!$E$86))=0,"",INDEX('Licences'!$C$4:$C$503,_calc!$E$86))&amp;". ")&amp;IF(LEN(IF(LEN(INDEX('Licences'!$E$4:$E$503,_calc!$E$86))=0,"",INDEX('Licences'!$E$4:$E$503,_calc!$E$86)))=0,"","Site: "&amp;IF(LEN(INDEX('Licences'!$E$4:$E$503,_calc!$E$86))=0,"",INDEX('Licences'!$E$4:$E$503,_calc!$E$86))&amp;". ")&amp;IF(LEN(IF(LEN(INDEX('Licences'!$F$4:$F$503,_calc!$E$86))=0,"",INDEX('Licences'!$F$4:$F$503,_calc!$E$86)))=0,"","Owner: "&amp;IF(LEN(INDEX('Licences'!$F$4:$F$503,_calc!$E$86))=0,"",INDEX('Licences'!$F$4:$F$503,_calc!$E$86))&amp;". ")&amp;IF(LEN(IF(LEN(INDEX('Licences'!$R$4:$R$503,_calc!$E$86))=0,"",INDEX('Licences'!$R$4:$R$503,_calc!$E$86)))=0,"",IF(LEN(INDEX('Licences'!$R$4:$R$503,_calc!$E$86))=0,"",INDEX('Licences'!$R$4:$R$503,_calc!$E$86)))))</f>
        <v/>
      </c>
      <c r="G84" s="44">
        <f>IF(_calc!$E$86="","",IF(LEN(INDEX('Licences'!$Q$4:$Q$503,_calc!$E$86))=0,"",INDEX('Licences'!$Q$4:$Q$503,_calc!$E$86)))</f>
        <v/>
      </c>
      <c r="H84" s="44">
        <f>IF(_calc!$E$86="","",IF(LEN(INDEX('Licences'!$O$4:$O$503,_calc!$E$86))=0,"",INDEX('Licences'!$O$4:$O$503,_calc!$E$86)))</f>
        <v/>
      </c>
      <c r="I84" s="44">
        <f>IF(_calc!$E$86="","",IF(LEN(INDEX('Licences'!$P$4:$P$503,_calc!$E$86))=0,"",INDEX('Licences'!$P$4:$P$503,_calc!$E$86)))</f>
        <v/>
      </c>
      <c r="K84" s="44">
        <f>IF(_calc!$E$86="","",IF(LEN(INDEX('Licences'!$G$4:$G$503,_calc!$E$86))=0,"",INDEX('Licences'!$G$4:$G$503,_calc!$E$86)))</f>
        <v/>
      </c>
    </row>
    <row r="85">
      <c r="A85" s="44">
        <f>IF(_calc!$E$87="","",IF(LEN(INDEX('Licences'!$A$4:$A$503,_calc!$E$87))=0,"",INDEX('Licences'!$A$4:$A$503,_calc!$E$87)))</f>
        <v/>
      </c>
      <c r="B85" s="44">
        <f>IF(_calc!$E$87="","",IF(ISNUMBER(INDEX('Licences'!$J$4:$J$503,_calc!$E$87)),TEXT(INDEX('Licences'!$J$4:$J$503,_calc!$E$87),"yyyy-mm-dd"),""))</f>
        <v/>
      </c>
      <c r="C85" s="44">
        <f>IF(_calc!$E$87="","",IF(LEN(INDEX('Licences'!$B$4:$B$503,_calc!$E$87))=0,"",INDEX('Licences'!$B$4:$B$503,_calc!$E$87)))</f>
        <v/>
      </c>
      <c r="D85" s="44">
        <f>IF(_calc!$E$87="","",IF(ISNUMBER(INDEX('Licences'!$I$4:$I$503,_calc!$E$87)),TEXT(INDEX('Licences'!$I$4:$I$503,_calc!$E$87),"yyyy-mm-dd"),""))</f>
        <v/>
      </c>
      <c r="E85" s="44">
        <f>IF(_calc!$E$87="","",IF(LEN(INDEX('Licences'!$H$4:$H$503,_calc!$E$87))=0,"",INDEX('Licences'!$H$4:$H$503,_calc!$E$87)))</f>
        <v/>
      </c>
      <c r="F85" s="44">
        <f>IF(_calc!$E$87="","",TRIM(IF(LEN(IF(LEN(INDEX('Licences'!$D$4:$D$503,_calc!$E$87))=0,"",INDEX('Licences'!$D$4:$D$503,_calc!$E$87)))=0,"","Ref: "&amp;IF(LEN(INDEX('Licences'!$D$4:$D$503,_calc!$E$87))=0,"",INDEX('Licences'!$D$4:$D$503,_calc!$E$87))&amp;". ")&amp;IF(LEN(IF(LEN(INDEX('Licences'!$C$4:$C$503,_calc!$E$87))=0,"",INDEX('Licences'!$C$4:$C$503,_calc!$E$87)))=0,"","Issuer: "&amp;IF(LEN(INDEX('Licences'!$C$4:$C$503,_calc!$E$87))=0,"",INDEX('Licences'!$C$4:$C$503,_calc!$E$87))&amp;". ")&amp;IF(LEN(IF(LEN(INDEX('Licences'!$E$4:$E$503,_calc!$E$87))=0,"",INDEX('Licences'!$E$4:$E$503,_calc!$E$87)))=0,"","Site: "&amp;IF(LEN(INDEX('Licences'!$E$4:$E$503,_calc!$E$87))=0,"",INDEX('Licences'!$E$4:$E$503,_calc!$E$87))&amp;". ")&amp;IF(LEN(IF(LEN(INDEX('Licences'!$F$4:$F$503,_calc!$E$87))=0,"",INDEX('Licences'!$F$4:$F$503,_calc!$E$87)))=0,"","Owner: "&amp;IF(LEN(INDEX('Licences'!$F$4:$F$503,_calc!$E$87))=0,"",INDEX('Licences'!$F$4:$F$503,_calc!$E$87))&amp;". ")&amp;IF(LEN(IF(LEN(INDEX('Licences'!$R$4:$R$503,_calc!$E$87))=0,"",INDEX('Licences'!$R$4:$R$503,_calc!$E$87)))=0,"",IF(LEN(INDEX('Licences'!$R$4:$R$503,_calc!$E$87))=0,"",INDEX('Licences'!$R$4:$R$503,_calc!$E$87)))))</f>
        <v/>
      </c>
      <c r="G85" s="44">
        <f>IF(_calc!$E$87="","",IF(LEN(INDEX('Licences'!$Q$4:$Q$503,_calc!$E$87))=0,"",INDEX('Licences'!$Q$4:$Q$503,_calc!$E$87)))</f>
        <v/>
      </c>
      <c r="H85" s="44">
        <f>IF(_calc!$E$87="","",IF(LEN(INDEX('Licences'!$O$4:$O$503,_calc!$E$87))=0,"",INDEX('Licences'!$O$4:$O$503,_calc!$E$87)))</f>
        <v/>
      </c>
      <c r="I85" s="44">
        <f>IF(_calc!$E$87="","",IF(LEN(INDEX('Licences'!$P$4:$P$503,_calc!$E$87))=0,"",INDEX('Licences'!$P$4:$P$503,_calc!$E$87)))</f>
        <v/>
      </c>
      <c r="K85" s="44">
        <f>IF(_calc!$E$87="","",IF(LEN(INDEX('Licences'!$G$4:$G$503,_calc!$E$87))=0,"",INDEX('Licences'!$G$4:$G$503,_calc!$E$87)))</f>
        <v/>
      </c>
    </row>
    <row r="86">
      <c r="A86" s="44">
        <f>IF(_calc!$E$88="","",IF(LEN(INDEX('Licences'!$A$4:$A$503,_calc!$E$88))=0,"",INDEX('Licences'!$A$4:$A$503,_calc!$E$88)))</f>
        <v/>
      </c>
      <c r="B86" s="44">
        <f>IF(_calc!$E$88="","",IF(ISNUMBER(INDEX('Licences'!$J$4:$J$503,_calc!$E$88)),TEXT(INDEX('Licences'!$J$4:$J$503,_calc!$E$88),"yyyy-mm-dd"),""))</f>
        <v/>
      </c>
      <c r="C86" s="44">
        <f>IF(_calc!$E$88="","",IF(LEN(INDEX('Licences'!$B$4:$B$503,_calc!$E$88))=0,"",INDEX('Licences'!$B$4:$B$503,_calc!$E$88)))</f>
        <v/>
      </c>
      <c r="D86" s="44">
        <f>IF(_calc!$E$88="","",IF(ISNUMBER(INDEX('Licences'!$I$4:$I$503,_calc!$E$88)),TEXT(INDEX('Licences'!$I$4:$I$503,_calc!$E$88),"yyyy-mm-dd"),""))</f>
        <v/>
      </c>
      <c r="E86" s="44">
        <f>IF(_calc!$E$88="","",IF(LEN(INDEX('Licences'!$H$4:$H$503,_calc!$E$88))=0,"",INDEX('Licences'!$H$4:$H$503,_calc!$E$88)))</f>
        <v/>
      </c>
      <c r="F86" s="44">
        <f>IF(_calc!$E$88="","",TRIM(IF(LEN(IF(LEN(INDEX('Licences'!$D$4:$D$503,_calc!$E$88))=0,"",INDEX('Licences'!$D$4:$D$503,_calc!$E$88)))=0,"","Ref: "&amp;IF(LEN(INDEX('Licences'!$D$4:$D$503,_calc!$E$88))=0,"",INDEX('Licences'!$D$4:$D$503,_calc!$E$88))&amp;". ")&amp;IF(LEN(IF(LEN(INDEX('Licences'!$C$4:$C$503,_calc!$E$88))=0,"",INDEX('Licences'!$C$4:$C$503,_calc!$E$88)))=0,"","Issuer: "&amp;IF(LEN(INDEX('Licences'!$C$4:$C$503,_calc!$E$88))=0,"",INDEX('Licences'!$C$4:$C$503,_calc!$E$88))&amp;". ")&amp;IF(LEN(IF(LEN(INDEX('Licences'!$E$4:$E$503,_calc!$E$88))=0,"",INDEX('Licences'!$E$4:$E$503,_calc!$E$88)))=0,"","Site: "&amp;IF(LEN(INDEX('Licences'!$E$4:$E$503,_calc!$E$88))=0,"",INDEX('Licences'!$E$4:$E$503,_calc!$E$88))&amp;". ")&amp;IF(LEN(IF(LEN(INDEX('Licences'!$F$4:$F$503,_calc!$E$88))=0,"",INDEX('Licences'!$F$4:$F$503,_calc!$E$88)))=0,"","Owner: "&amp;IF(LEN(INDEX('Licences'!$F$4:$F$503,_calc!$E$88))=0,"",INDEX('Licences'!$F$4:$F$503,_calc!$E$88))&amp;". ")&amp;IF(LEN(IF(LEN(INDEX('Licences'!$R$4:$R$503,_calc!$E$88))=0,"",INDEX('Licences'!$R$4:$R$503,_calc!$E$88)))=0,"",IF(LEN(INDEX('Licences'!$R$4:$R$503,_calc!$E$88))=0,"",INDEX('Licences'!$R$4:$R$503,_calc!$E$88)))))</f>
        <v/>
      </c>
      <c r="G86" s="44">
        <f>IF(_calc!$E$88="","",IF(LEN(INDEX('Licences'!$Q$4:$Q$503,_calc!$E$88))=0,"",INDEX('Licences'!$Q$4:$Q$503,_calc!$E$88)))</f>
        <v/>
      </c>
      <c r="H86" s="44">
        <f>IF(_calc!$E$88="","",IF(LEN(INDEX('Licences'!$O$4:$O$503,_calc!$E$88))=0,"",INDEX('Licences'!$O$4:$O$503,_calc!$E$88)))</f>
        <v/>
      </c>
      <c r="I86" s="44">
        <f>IF(_calc!$E$88="","",IF(LEN(INDEX('Licences'!$P$4:$P$503,_calc!$E$88))=0,"",INDEX('Licences'!$P$4:$P$503,_calc!$E$88)))</f>
        <v/>
      </c>
      <c r="K86" s="44">
        <f>IF(_calc!$E$88="","",IF(LEN(INDEX('Licences'!$G$4:$G$503,_calc!$E$88))=0,"",INDEX('Licences'!$G$4:$G$503,_calc!$E$88)))</f>
        <v/>
      </c>
    </row>
    <row r="87">
      <c r="A87" s="44">
        <f>IF(_calc!$E$89="","",IF(LEN(INDEX('Licences'!$A$4:$A$503,_calc!$E$89))=0,"",INDEX('Licences'!$A$4:$A$503,_calc!$E$89)))</f>
        <v/>
      </c>
      <c r="B87" s="44">
        <f>IF(_calc!$E$89="","",IF(ISNUMBER(INDEX('Licences'!$J$4:$J$503,_calc!$E$89)),TEXT(INDEX('Licences'!$J$4:$J$503,_calc!$E$89),"yyyy-mm-dd"),""))</f>
        <v/>
      </c>
      <c r="C87" s="44">
        <f>IF(_calc!$E$89="","",IF(LEN(INDEX('Licences'!$B$4:$B$503,_calc!$E$89))=0,"",INDEX('Licences'!$B$4:$B$503,_calc!$E$89)))</f>
        <v/>
      </c>
      <c r="D87" s="44">
        <f>IF(_calc!$E$89="","",IF(ISNUMBER(INDEX('Licences'!$I$4:$I$503,_calc!$E$89)),TEXT(INDEX('Licences'!$I$4:$I$503,_calc!$E$89),"yyyy-mm-dd"),""))</f>
        <v/>
      </c>
      <c r="E87" s="44">
        <f>IF(_calc!$E$89="","",IF(LEN(INDEX('Licences'!$H$4:$H$503,_calc!$E$89))=0,"",INDEX('Licences'!$H$4:$H$503,_calc!$E$89)))</f>
        <v/>
      </c>
      <c r="F87" s="44">
        <f>IF(_calc!$E$89="","",TRIM(IF(LEN(IF(LEN(INDEX('Licences'!$D$4:$D$503,_calc!$E$89))=0,"",INDEX('Licences'!$D$4:$D$503,_calc!$E$89)))=0,"","Ref: "&amp;IF(LEN(INDEX('Licences'!$D$4:$D$503,_calc!$E$89))=0,"",INDEX('Licences'!$D$4:$D$503,_calc!$E$89))&amp;". ")&amp;IF(LEN(IF(LEN(INDEX('Licences'!$C$4:$C$503,_calc!$E$89))=0,"",INDEX('Licences'!$C$4:$C$503,_calc!$E$89)))=0,"","Issuer: "&amp;IF(LEN(INDEX('Licences'!$C$4:$C$503,_calc!$E$89))=0,"",INDEX('Licences'!$C$4:$C$503,_calc!$E$89))&amp;". ")&amp;IF(LEN(IF(LEN(INDEX('Licences'!$E$4:$E$503,_calc!$E$89))=0,"",INDEX('Licences'!$E$4:$E$503,_calc!$E$89)))=0,"","Site: "&amp;IF(LEN(INDEX('Licences'!$E$4:$E$503,_calc!$E$89))=0,"",INDEX('Licences'!$E$4:$E$503,_calc!$E$89))&amp;". ")&amp;IF(LEN(IF(LEN(INDEX('Licences'!$F$4:$F$503,_calc!$E$89))=0,"",INDEX('Licences'!$F$4:$F$503,_calc!$E$89)))=0,"","Owner: "&amp;IF(LEN(INDEX('Licences'!$F$4:$F$503,_calc!$E$89))=0,"",INDEX('Licences'!$F$4:$F$503,_calc!$E$89))&amp;". ")&amp;IF(LEN(IF(LEN(INDEX('Licences'!$R$4:$R$503,_calc!$E$89))=0,"",INDEX('Licences'!$R$4:$R$503,_calc!$E$89)))=0,"",IF(LEN(INDEX('Licences'!$R$4:$R$503,_calc!$E$89))=0,"",INDEX('Licences'!$R$4:$R$503,_calc!$E$89)))))</f>
        <v/>
      </c>
      <c r="G87" s="44">
        <f>IF(_calc!$E$89="","",IF(LEN(INDEX('Licences'!$Q$4:$Q$503,_calc!$E$89))=0,"",INDEX('Licences'!$Q$4:$Q$503,_calc!$E$89)))</f>
        <v/>
      </c>
      <c r="H87" s="44">
        <f>IF(_calc!$E$89="","",IF(LEN(INDEX('Licences'!$O$4:$O$503,_calc!$E$89))=0,"",INDEX('Licences'!$O$4:$O$503,_calc!$E$89)))</f>
        <v/>
      </c>
      <c r="I87" s="44">
        <f>IF(_calc!$E$89="","",IF(LEN(INDEX('Licences'!$P$4:$P$503,_calc!$E$89))=0,"",INDEX('Licences'!$P$4:$P$503,_calc!$E$89)))</f>
        <v/>
      </c>
      <c r="K87" s="44">
        <f>IF(_calc!$E$89="","",IF(LEN(INDEX('Licences'!$G$4:$G$503,_calc!$E$89))=0,"",INDEX('Licences'!$G$4:$G$503,_calc!$E$89)))</f>
        <v/>
      </c>
    </row>
    <row r="88">
      <c r="A88" s="44">
        <f>IF(_calc!$E$90="","",IF(LEN(INDEX('Licences'!$A$4:$A$503,_calc!$E$90))=0,"",INDEX('Licences'!$A$4:$A$503,_calc!$E$90)))</f>
        <v/>
      </c>
      <c r="B88" s="44">
        <f>IF(_calc!$E$90="","",IF(ISNUMBER(INDEX('Licences'!$J$4:$J$503,_calc!$E$90)),TEXT(INDEX('Licences'!$J$4:$J$503,_calc!$E$90),"yyyy-mm-dd"),""))</f>
        <v/>
      </c>
      <c r="C88" s="44">
        <f>IF(_calc!$E$90="","",IF(LEN(INDEX('Licences'!$B$4:$B$503,_calc!$E$90))=0,"",INDEX('Licences'!$B$4:$B$503,_calc!$E$90)))</f>
        <v/>
      </c>
      <c r="D88" s="44">
        <f>IF(_calc!$E$90="","",IF(ISNUMBER(INDEX('Licences'!$I$4:$I$503,_calc!$E$90)),TEXT(INDEX('Licences'!$I$4:$I$503,_calc!$E$90),"yyyy-mm-dd"),""))</f>
        <v/>
      </c>
      <c r="E88" s="44">
        <f>IF(_calc!$E$90="","",IF(LEN(INDEX('Licences'!$H$4:$H$503,_calc!$E$90))=0,"",INDEX('Licences'!$H$4:$H$503,_calc!$E$90)))</f>
        <v/>
      </c>
      <c r="F88" s="44">
        <f>IF(_calc!$E$90="","",TRIM(IF(LEN(IF(LEN(INDEX('Licences'!$D$4:$D$503,_calc!$E$90))=0,"",INDEX('Licences'!$D$4:$D$503,_calc!$E$90)))=0,"","Ref: "&amp;IF(LEN(INDEX('Licences'!$D$4:$D$503,_calc!$E$90))=0,"",INDEX('Licences'!$D$4:$D$503,_calc!$E$90))&amp;". ")&amp;IF(LEN(IF(LEN(INDEX('Licences'!$C$4:$C$503,_calc!$E$90))=0,"",INDEX('Licences'!$C$4:$C$503,_calc!$E$90)))=0,"","Issuer: "&amp;IF(LEN(INDEX('Licences'!$C$4:$C$503,_calc!$E$90))=0,"",INDEX('Licences'!$C$4:$C$503,_calc!$E$90))&amp;". ")&amp;IF(LEN(IF(LEN(INDEX('Licences'!$E$4:$E$503,_calc!$E$90))=0,"",INDEX('Licences'!$E$4:$E$503,_calc!$E$90)))=0,"","Site: "&amp;IF(LEN(INDEX('Licences'!$E$4:$E$503,_calc!$E$90))=0,"",INDEX('Licences'!$E$4:$E$503,_calc!$E$90))&amp;". ")&amp;IF(LEN(IF(LEN(INDEX('Licences'!$F$4:$F$503,_calc!$E$90))=0,"",INDEX('Licences'!$F$4:$F$503,_calc!$E$90)))=0,"","Owner: "&amp;IF(LEN(INDEX('Licences'!$F$4:$F$503,_calc!$E$90))=0,"",INDEX('Licences'!$F$4:$F$503,_calc!$E$90))&amp;". ")&amp;IF(LEN(IF(LEN(INDEX('Licences'!$R$4:$R$503,_calc!$E$90))=0,"",INDEX('Licences'!$R$4:$R$503,_calc!$E$90)))=0,"",IF(LEN(INDEX('Licences'!$R$4:$R$503,_calc!$E$90))=0,"",INDEX('Licences'!$R$4:$R$503,_calc!$E$90)))))</f>
        <v/>
      </c>
      <c r="G88" s="44">
        <f>IF(_calc!$E$90="","",IF(LEN(INDEX('Licences'!$Q$4:$Q$503,_calc!$E$90))=0,"",INDEX('Licences'!$Q$4:$Q$503,_calc!$E$90)))</f>
        <v/>
      </c>
      <c r="H88" s="44">
        <f>IF(_calc!$E$90="","",IF(LEN(INDEX('Licences'!$O$4:$O$503,_calc!$E$90))=0,"",INDEX('Licences'!$O$4:$O$503,_calc!$E$90)))</f>
        <v/>
      </c>
      <c r="I88" s="44">
        <f>IF(_calc!$E$90="","",IF(LEN(INDEX('Licences'!$P$4:$P$503,_calc!$E$90))=0,"",INDEX('Licences'!$P$4:$P$503,_calc!$E$90)))</f>
        <v/>
      </c>
      <c r="K88" s="44">
        <f>IF(_calc!$E$90="","",IF(LEN(INDEX('Licences'!$G$4:$G$503,_calc!$E$90))=0,"",INDEX('Licences'!$G$4:$G$503,_calc!$E$90)))</f>
        <v/>
      </c>
    </row>
    <row r="89">
      <c r="A89" s="44">
        <f>IF(_calc!$E$91="","",IF(LEN(INDEX('Licences'!$A$4:$A$503,_calc!$E$91))=0,"",INDEX('Licences'!$A$4:$A$503,_calc!$E$91)))</f>
        <v/>
      </c>
      <c r="B89" s="44">
        <f>IF(_calc!$E$91="","",IF(ISNUMBER(INDEX('Licences'!$J$4:$J$503,_calc!$E$91)),TEXT(INDEX('Licences'!$J$4:$J$503,_calc!$E$91),"yyyy-mm-dd"),""))</f>
        <v/>
      </c>
      <c r="C89" s="44">
        <f>IF(_calc!$E$91="","",IF(LEN(INDEX('Licences'!$B$4:$B$503,_calc!$E$91))=0,"",INDEX('Licences'!$B$4:$B$503,_calc!$E$91)))</f>
        <v/>
      </c>
      <c r="D89" s="44">
        <f>IF(_calc!$E$91="","",IF(ISNUMBER(INDEX('Licences'!$I$4:$I$503,_calc!$E$91)),TEXT(INDEX('Licences'!$I$4:$I$503,_calc!$E$91),"yyyy-mm-dd"),""))</f>
        <v/>
      </c>
      <c r="E89" s="44">
        <f>IF(_calc!$E$91="","",IF(LEN(INDEX('Licences'!$H$4:$H$503,_calc!$E$91))=0,"",INDEX('Licences'!$H$4:$H$503,_calc!$E$91)))</f>
        <v/>
      </c>
      <c r="F89" s="44">
        <f>IF(_calc!$E$91="","",TRIM(IF(LEN(IF(LEN(INDEX('Licences'!$D$4:$D$503,_calc!$E$91))=0,"",INDEX('Licences'!$D$4:$D$503,_calc!$E$91)))=0,"","Ref: "&amp;IF(LEN(INDEX('Licences'!$D$4:$D$503,_calc!$E$91))=0,"",INDEX('Licences'!$D$4:$D$503,_calc!$E$91))&amp;". ")&amp;IF(LEN(IF(LEN(INDEX('Licences'!$C$4:$C$503,_calc!$E$91))=0,"",INDEX('Licences'!$C$4:$C$503,_calc!$E$91)))=0,"","Issuer: "&amp;IF(LEN(INDEX('Licences'!$C$4:$C$503,_calc!$E$91))=0,"",INDEX('Licences'!$C$4:$C$503,_calc!$E$91))&amp;". ")&amp;IF(LEN(IF(LEN(INDEX('Licences'!$E$4:$E$503,_calc!$E$91))=0,"",INDEX('Licences'!$E$4:$E$503,_calc!$E$91)))=0,"","Site: "&amp;IF(LEN(INDEX('Licences'!$E$4:$E$503,_calc!$E$91))=0,"",INDEX('Licences'!$E$4:$E$503,_calc!$E$91))&amp;". ")&amp;IF(LEN(IF(LEN(INDEX('Licences'!$F$4:$F$503,_calc!$E$91))=0,"",INDEX('Licences'!$F$4:$F$503,_calc!$E$91)))=0,"","Owner: "&amp;IF(LEN(INDEX('Licences'!$F$4:$F$503,_calc!$E$91))=0,"",INDEX('Licences'!$F$4:$F$503,_calc!$E$91))&amp;". ")&amp;IF(LEN(IF(LEN(INDEX('Licences'!$R$4:$R$503,_calc!$E$91))=0,"",INDEX('Licences'!$R$4:$R$503,_calc!$E$91)))=0,"",IF(LEN(INDEX('Licences'!$R$4:$R$503,_calc!$E$91))=0,"",INDEX('Licences'!$R$4:$R$503,_calc!$E$91)))))</f>
        <v/>
      </c>
      <c r="G89" s="44">
        <f>IF(_calc!$E$91="","",IF(LEN(INDEX('Licences'!$Q$4:$Q$503,_calc!$E$91))=0,"",INDEX('Licences'!$Q$4:$Q$503,_calc!$E$91)))</f>
        <v/>
      </c>
      <c r="H89" s="44">
        <f>IF(_calc!$E$91="","",IF(LEN(INDEX('Licences'!$O$4:$O$503,_calc!$E$91))=0,"",INDEX('Licences'!$O$4:$O$503,_calc!$E$91)))</f>
        <v/>
      </c>
      <c r="I89" s="44">
        <f>IF(_calc!$E$91="","",IF(LEN(INDEX('Licences'!$P$4:$P$503,_calc!$E$91))=0,"",INDEX('Licences'!$P$4:$P$503,_calc!$E$91)))</f>
        <v/>
      </c>
      <c r="K89" s="44">
        <f>IF(_calc!$E$91="","",IF(LEN(INDEX('Licences'!$G$4:$G$503,_calc!$E$91))=0,"",INDEX('Licences'!$G$4:$G$503,_calc!$E$91)))</f>
        <v/>
      </c>
    </row>
    <row r="90">
      <c r="A90" s="44">
        <f>IF(_calc!$E$92="","",IF(LEN(INDEX('Licences'!$A$4:$A$503,_calc!$E$92))=0,"",INDEX('Licences'!$A$4:$A$503,_calc!$E$92)))</f>
        <v/>
      </c>
      <c r="B90" s="44">
        <f>IF(_calc!$E$92="","",IF(ISNUMBER(INDEX('Licences'!$J$4:$J$503,_calc!$E$92)),TEXT(INDEX('Licences'!$J$4:$J$503,_calc!$E$92),"yyyy-mm-dd"),""))</f>
        <v/>
      </c>
      <c r="C90" s="44">
        <f>IF(_calc!$E$92="","",IF(LEN(INDEX('Licences'!$B$4:$B$503,_calc!$E$92))=0,"",INDEX('Licences'!$B$4:$B$503,_calc!$E$92)))</f>
        <v/>
      </c>
      <c r="D90" s="44">
        <f>IF(_calc!$E$92="","",IF(ISNUMBER(INDEX('Licences'!$I$4:$I$503,_calc!$E$92)),TEXT(INDEX('Licences'!$I$4:$I$503,_calc!$E$92),"yyyy-mm-dd"),""))</f>
        <v/>
      </c>
      <c r="E90" s="44">
        <f>IF(_calc!$E$92="","",IF(LEN(INDEX('Licences'!$H$4:$H$503,_calc!$E$92))=0,"",INDEX('Licences'!$H$4:$H$503,_calc!$E$92)))</f>
        <v/>
      </c>
      <c r="F90" s="44">
        <f>IF(_calc!$E$92="","",TRIM(IF(LEN(IF(LEN(INDEX('Licences'!$D$4:$D$503,_calc!$E$92))=0,"",INDEX('Licences'!$D$4:$D$503,_calc!$E$92)))=0,"","Ref: "&amp;IF(LEN(INDEX('Licences'!$D$4:$D$503,_calc!$E$92))=0,"",INDEX('Licences'!$D$4:$D$503,_calc!$E$92))&amp;". ")&amp;IF(LEN(IF(LEN(INDEX('Licences'!$C$4:$C$503,_calc!$E$92))=0,"",INDEX('Licences'!$C$4:$C$503,_calc!$E$92)))=0,"","Issuer: "&amp;IF(LEN(INDEX('Licences'!$C$4:$C$503,_calc!$E$92))=0,"",INDEX('Licences'!$C$4:$C$503,_calc!$E$92))&amp;". ")&amp;IF(LEN(IF(LEN(INDEX('Licences'!$E$4:$E$503,_calc!$E$92))=0,"",INDEX('Licences'!$E$4:$E$503,_calc!$E$92)))=0,"","Site: "&amp;IF(LEN(INDEX('Licences'!$E$4:$E$503,_calc!$E$92))=0,"",INDEX('Licences'!$E$4:$E$503,_calc!$E$92))&amp;". ")&amp;IF(LEN(IF(LEN(INDEX('Licences'!$F$4:$F$503,_calc!$E$92))=0,"",INDEX('Licences'!$F$4:$F$503,_calc!$E$92)))=0,"","Owner: "&amp;IF(LEN(INDEX('Licences'!$F$4:$F$503,_calc!$E$92))=0,"",INDEX('Licences'!$F$4:$F$503,_calc!$E$92))&amp;". ")&amp;IF(LEN(IF(LEN(INDEX('Licences'!$R$4:$R$503,_calc!$E$92))=0,"",INDEX('Licences'!$R$4:$R$503,_calc!$E$92)))=0,"",IF(LEN(INDEX('Licences'!$R$4:$R$503,_calc!$E$92))=0,"",INDEX('Licences'!$R$4:$R$503,_calc!$E$92)))))</f>
        <v/>
      </c>
      <c r="G90" s="44">
        <f>IF(_calc!$E$92="","",IF(LEN(INDEX('Licences'!$Q$4:$Q$503,_calc!$E$92))=0,"",INDEX('Licences'!$Q$4:$Q$503,_calc!$E$92)))</f>
        <v/>
      </c>
      <c r="H90" s="44">
        <f>IF(_calc!$E$92="","",IF(LEN(INDEX('Licences'!$O$4:$O$503,_calc!$E$92))=0,"",INDEX('Licences'!$O$4:$O$503,_calc!$E$92)))</f>
        <v/>
      </c>
      <c r="I90" s="44">
        <f>IF(_calc!$E$92="","",IF(LEN(INDEX('Licences'!$P$4:$P$503,_calc!$E$92))=0,"",INDEX('Licences'!$P$4:$P$503,_calc!$E$92)))</f>
        <v/>
      </c>
      <c r="K90" s="44">
        <f>IF(_calc!$E$92="","",IF(LEN(INDEX('Licences'!$G$4:$G$503,_calc!$E$92))=0,"",INDEX('Licences'!$G$4:$G$503,_calc!$E$92)))</f>
        <v/>
      </c>
    </row>
    <row r="91">
      <c r="A91" s="44">
        <f>IF(_calc!$E$93="","",IF(LEN(INDEX('Licences'!$A$4:$A$503,_calc!$E$93))=0,"",INDEX('Licences'!$A$4:$A$503,_calc!$E$93)))</f>
        <v/>
      </c>
      <c r="B91" s="44">
        <f>IF(_calc!$E$93="","",IF(ISNUMBER(INDEX('Licences'!$J$4:$J$503,_calc!$E$93)),TEXT(INDEX('Licences'!$J$4:$J$503,_calc!$E$93),"yyyy-mm-dd"),""))</f>
        <v/>
      </c>
      <c r="C91" s="44">
        <f>IF(_calc!$E$93="","",IF(LEN(INDEX('Licences'!$B$4:$B$503,_calc!$E$93))=0,"",INDEX('Licences'!$B$4:$B$503,_calc!$E$93)))</f>
        <v/>
      </c>
      <c r="D91" s="44">
        <f>IF(_calc!$E$93="","",IF(ISNUMBER(INDEX('Licences'!$I$4:$I$503,_calc!$E$93)),TEXT(INDEX('Licences'!$I$4:$I$503,_calc!$E$93),"yyyy-mm-dd"),""))</f>
        <v/>
      </c>
      <c r="E91" s="44">
        <f>IF(_calc!$E$93="","",IF(LEN(INDEX('Licences'!$H$4:$H$503,_calc!$E$93))=0,"",INDEX('Licences'!$H$4:$H$503,_calc!$E$93)))</f>
        <v/>
      </c>
      <c r="F91" s="44">
        <f>IF(_calc!$E$93="","",TRIM(IF(LEN(IF(LEN(INDEX('Licences'!$D$4:$D$503,_calc!$E$93))=0,"",INDEX('Licences'!$D$4:$D$503,_calc!$E$93)))=0,"","Ref: "&amp;IF(LEN(INDEX('Licences'!$D$4:$D$503,_calc!$E$93))=0,"",INDEX('Licences'!$D$4:$D$503,_calc!$E$93))&amp;". ")&amp;IF(LEN(IF(LEN(INDEX('Licences'!$C$4:$C$503,_calc!$E$93))=0,"",INDEX('Licences'!$C$4:$C$503,_calc!$E$93)))=0,"","Issuer: "&amp;IF(LEN(INDEX('Licences'!$C$4:$C$503,_calc!$E$93))=0,"",INDEX('Licences'!$C$4:$C$503,_calc!$E$93))&amp;". ")&amp;IF(LEN(IF(LEN(INDEX('Licences'!$E$4:$E$503,_calc!$E$93))=0,"",INDEX('Licences'!$E$4:$E$503,_calc!$E$93)))=0,"","Site: "&amp;IF(LEN(INDEX('Licences'!$E$4:$E$503,_calc!$E$93))=0,"",INDEX('Licences'!$E$4:$E$503,_calc!$E$93))&amp;". ")&amp;IF(LEN(IF(LEN(INDEX('Licences'!$F$4:$F$503,_calc!$E$93))=0,"",INDEX('Licences'!$F$4:$F$503,_calc!$E$93)))=0,"","Owner: "&amp;IF(LEN(INDEX('Licences'!$F$4:$F$503,_calc!$E$93))=0,"",INDEX('Licences'!$F$4:$F$503,_calc!$E$93))&amp;". ")&amp;IF(LEN(IF(LEN(INDEX('Licences'!$R$4:$R$503,_calc!$E$93))=0,"",INDEX('Licences'!$R$4:$R$503,_calc!$E$93)))=0,"",IF(LEN(INDEX('Licences'!$R$4:$R$503,_calc!$E$93))=0,"",INDEX('Licences'!$R$4:$R$503,_calc!$E$93)))))</f>
        <v/>
      </c>
      <c r="G91" s="44">
        <f>IF(_calc!$E$93="","",IF(LEN(INDEX('Licences'!$Q$4:$Q$503,_calc!$E$93))=0,"",INDEX('Licences'!$Q$4:$Q$503,_calc!$E$93)))</f>
        <v/>
      </c>
      <c r="H91" s="44">
        <f>IF(_calc!$E$93="","",IF(LEN(INDEX('Licences'!$O$4:$O$503,_calc!$E$93))=0,"",INDEX('Licences'!$O$4:$O$503,_calc!$E$93)))</f>
        <v/>
      </c>
      <c r="I91" s="44">
        <f>IF(_calc!$E$93="","",IF(LEN(INDEX('Licences'!$P$4:$P$503,_calc!$E$93))=0,"",INDEX('Licences'!$P$4:$P$503,_calc!$E$93)))</f>
        <v/>
      </c>
      <c r="K91" s="44">
        <f>IF(_calc!$E$93="","",IF(LEN(INDEX('Licences'!$G$4:$G$503,_calc!$E$93))=0,"",INDEX('Licences'!$G$4:$G$503,_calc!$E$93)))</f>
        <v/>
      </c>
    </row>
    <row r="92">
      <c r="A92" s="44">
        <f>IF(_calc!$E$94="","",IF(LEN(INDEX('Licences'!$A$4:$A$503,_calc!$E$94))=0,"",INDEX('Licences'!$A$4:$A$503,_calc!$E$94)))</f>
        <v/>
      </c>
      <c r="B92" s="44">
        <f>IF(_calc!$E$94="","",IF(ISNUMBER(INDEX('Licences'!$J$4:$J$503,_calc!$E$94)),TEXT(INDEX('Licences'!$J$4:$J$503,_calc!$E$94),"yyyy-mm-dd"),""))</f>
        <v/>
      </c>
      <c r="C92" s="44">
        <f>IF(_calc!$E$94="","",IF(LEN(INDEX('Licences'!$B$4:$B$503,_calc!$E$94))=0,"",INDEX('Licences'!$B$4:$B$503,_calc!$E$94)))</f>
        <v/>
      </c>
      <c r="D92" s="44">
        <f>IF(_calc!$E$94="","",IF(ISNUMBER(INDEX('Licences'!$I$4:$I$503,_calc!$E$94)),TEXT(INDEX('Licences'!$I$4:$I$503,_calc!$E$94),"yyyy-mm-dd"),""))</f>
        <v/>
      </c>
      <c r="E92" s="44">
        <f>IF(_calc!$E$94="","",IF(LEN(INDEX('Licences'!$H$4:$H$503,_calc!$E$94))=0,"",INDEX('Licences'!$H$4:$H$503,_calc!$E$94)))</f>
        <v/>
      </c>
      <c r="F92" s="44">
        <f>IF(_calc!$E$94="","",TRIM(IF(LEN(IF(LEN(INDEX('Licences'!$D$4:$D$503,_calc!$E$94))=0,"",INDEX('Licences'!$D$4:$D$503,_calc!$E$94)))=0,"","Ref: "&amp;IF(LEN(INDEX('Licences'!$D$4:$D$503,_calc!$E$94))=0,"",INDEX('Licences'!$D$4:$D$503,_calc!$E$94))&amp;". ")&amp;IF(LEN(IF(LEN(INDEX('Licences'!$C$4:$C$503,_calc!$E$94))=0,"",INDEX('Licences'!$C$4:$C$503,_calc!$E$94)))=0,"","Issuer: "&amp;IF(LEN(INDEX('Licences'!$C$4:$C$503,_calc!$E$94))=0,"",INDEX('Licences'!$C$4:$C$503,_calc!$E$94))&amp;". ")&amp;IF(LEN(IF(LEN(INDEX('Licences'!$E$4:$E$503,_calc!$E$94))=0,"",INDEX('Licences'!$E$4:$E$503,_calc!$E$94)))=0,"","Site: "&amp;IF(LEN(INDEX('Licences'!$E$4:$E$503,_calc!$E$94))=0,"",INDEX('Licences'!$E$4:$E$503,_calc!$E$94))&amp;". ")&amp;IF(LEN(IF(LEN(INDEX('Licences'!$F$4:$F$503,_calc!$E$94))=0,"",INDEX('Licences'!$F$4:$F$503,_calc!$E$94)))=0,"","Owner: "&amp;IF(LEN(INDEX('Licences'!$F$4:$F$503,_calc!$E$94))=0,"",INDEX('Licences'!$F$4:$F$503,_calc!$E$94))&amp;". ")&amp;IF(LEN(IF(LEN(INDEX('Licences'!$R$4:$R$503,_calc!$E$94))=0,"",INDEX('Licences'!$R$4:$R$503,_calc!$E$94)))=0,"",IF(LEN(INDEX('Licences'!$R$4:$R$503,_calc!$E$94))=0,"",INDEX('Licences'!$R$4:$R$503,_calc!$E$94)))))</f>
        <v/>
      </c>
      <c r="G92" s="44">
        <f>IF(_calc!$E$94="","",IF(LEN(INDEX('Licences'!$Q$4:$Q$503,_calc!$E$94))=0,"",INDEX('Licences'!$Q$4:$Q$503,_calc!$E$94)))</f>
        <v/>
      </c>
      <c r="H92" s="44">
        <f>IF(_calc!$E$94="","",IF(LEN(INDEX('Licences'!$O$4:$O$503,_calc!$E$94))=0,"",INDEX('Licences'!$O$4:$O$503,_calc!$E$94)))</f>
        <v/>
      </c>
      <c r="I92" s="44">
        <f>IF(_calc!$E$94="","",IF(LEN(INDEX('Licences'!$P$4:$P$503,_calc!$E$94))=0,"",INDEX('Licences'!$P$4:$P$503,_calc!$E$94)))</f>
        <v/>
      </c>
      <c r="K92" s="44">
        <f>IF(_calc!$E$94="","",IF(LEN(INDEX('Licences'!$G$4:$G$503,_calc!$E$94))=0,"",INDEX('Licences'!$G$4:$G$503,_calc!$E$94)))</f>
        <v/>
      </c>
    </row>
    <row r="93">
      <c r="A93" s="44">
        <f>IF(_calc!$E$95="","",IF(LEN(INDEX('Licences'!$A$4:$A$503,_calc!$E$95))=0,"",INDEX('Licences'!$A$4:$A$503,_calc!$E$95)))</f>
        <v/>
      </c>
      <c r="B93" s="44">
        <f>IF(_calc!$E$95="","",IF(ISNUMBER(INDEX('Licences'!$J$4:$J$503,_calc!$E$95)),TEXT(INDEX('Licences'!$J$4:$J$503,_calc!$E$95),"yyyy-mm-dd"),""))</f>
        <v/>
      </c>
      <c r="C93" s="44">
        <f>IF(_calc!$E$95="","",IF(LEN(INDEX('Licences'!$B$4:$B$503,_calc!$E$95))=0,"",INDEX('Licences'!$B$4:$B$503,_calc!$E$95)))</f>
        <v/>
      </c>
      <c r="D93" s="44">
        <f>IF(_calc!$E$95="","",IF(ISNUMBER(INDEX('Licences'!$I$4:$I$503,_calc!$E$95)),TEXT(INDEX('Licences'!$I$4:$I$503,_calc!$E$95),"yyyy-mm-dd"),""))</f>
        <v/>
      </c>
      <c r="E93" s="44">
        <f>IF(_calc!$E$95="","",IF(LEN(INDEX('Licences'!$H$4:$H$503,_calc!$E$95))=0,"",INDEX('Licences'!$H$4:$H$503,_calc!$E$95)))</f>
        <v/>
      </c>
      <c r="F93" s="44">
        <f>IF(_calc!$E$95="","",TRIM(IF(LEN(IF(LEN(INDEX('Licences'!$D$4:$D$503,_calc!$E$95))=0,"",INDEX('Licences'!$D$4:$D$503,_calc!$E$95)))=0,"","Ref: "&amp;IF(LEN(INDEX('Licences'!$D$4:$D$503,_calc!$E$95))=0,"",INDEX('Licences'!$D$4:$D$503,_calc!$E$95))&amp;". ")&amp;IF(LEN(IF(LEN(INDEX('Licences'!$C$4:$C$503,_calc!$E$95))=0,"",INDEX('Licences'!$C$4:$C$503,_calc!$E$95)))=0,"","Issuer: "&amp;IF(LEN(INDEX('Licences'!$C$4:$C$503,_calc!$E$95))=0,"",INDEX('Licences'!$C$4:$C$503,_calc!$E$95))&amp;". ")&amp;IF(LEN(IF(LEN(INDEX('Licences'!$E$4:$E$503,_calc!$E$95))=0,"",INDEX('Licences'!$E$4:$E$503,_calc!$E$95)))=0,"","Site: "&amp;IF(LEN(INDEX('Licences'!$E$4:$E$503,_calc!$E$95))=0,"",INDEX('Licences'!$E$4:$E$503,_calc!$E$95))&amp;". ")&amp;IF(LEN(IF(LEN(INDEX('Licences'!$F$4:$F$503,_calc!$E$95))=0,"",INDEX('Licences'!$F$4:$F$503,_calc!$E$95)))=0,"","Owner: "&amp;IF(LEN(INDEX('Licences'!$F$4:$F$503,_calc!$E$95))=0,"",INDEX('Licences'!$F$4:$F$503,_calc!$E$95))&amp;". ")&amp;IF(LEN(IF(LEN(INDEX('Licences'!$R$4:$R$503,_calc!$E$95))=0,"",INDEX('Licences'!$R$4:$R$503,_calc!$E$95)))=0,"",IF(LEN(INDEX('Licences'!$R$4:$R$503,_calc!$E$95))=0,"",INDEX('Licences'!$R$4:$R$503,_calc!$E$95)))))</f>
        <v/>
      </c>
      <c r="G93" s="44">
        <f>IF(_calc!$E$95="","",IF(LEN(INDEX('Licences'!$Q$4:$Q$503,_calc!$E$95))=0,"",INDEX('Licences'!$Q$4:$Q$503,_calc!$E$95)))</f>
        <v/>
      </c>
      <c r="H93" s="44">
        <f>IF(_calc!$E$95="","",IF(LEN(INDEX('Licences'!$O$4:$O$503,_calc!$E$95))=0,"",INDEX('Licences'!$O$4:$O$503,_calc!$E$95)))</f>
        <v/>
      </c>
      <c r="I93" s="44">
        <f>IF(_calc!$E$95="","",IF(LEN(INDEX('Licences'!$P$4:$P$503,_calc!$E$95))=0,"",INDEX('Licences'!$P$4:$P$503,_calc!$E$95)))</f>
        <v/>
      </c>
      <c r="K93" s="44">
        <f>IF(_calc!$E$95="","",IF(LEN(INDEX('Licences'!$G$4:$G$503,_calc!$E$95))=0,"",INDEX('Licences'!$G$4:$G$503,_calc!$E$95)))</f>
        <v/>
      </c>
    </row>
    <row r="94">
      <c r="A94" s="44">
        <f>IF(_calc!$E$96="","",IF(LEN(INDEX('Licences'!$A$4:$A$503,_calc!$E$96))=0,"",INDEX('Licences'!$A$4:$A$503,_calc!$E$96)))</f>
        <v/>
      </c>
      <c r="B94" s="44">
        <f>IF(_calc!$E$96="","",IF(ISNUMBER(INDEX('Licences'!$J$4:$J$503,_calc!$E$96)),TEXT(INDEX('Licences'!$J$4:$J$503,_calc!$E$96),"yyyy-mm-dd"),""))</f>
        <v/>
      </c>
      <c r="C94" s="44">
        <f>IF(_calc!$E$96="","",IF(LEN(INDEX('Licences'!$B$4:$B$503,_calc!$E$96))=0,"",INDEX('Licences'!$B$4:$B$503,_calc!$E$96)))</f>
        <v/>
      </c>
      <c r="D94" s="44">
        <f>IF(_calc!$E$96="","",IF(ISNUMBER(INDEX('Licences'!$I$4:$I$503,_calc!$E$96)),TEXT(INDEX('Licences'!$I$4:$I$503,_calc!$E$96),"yyyy-mm-dd"),""))</f>
        <v/>
      </c>
      <c r="E94" s="44">
        <f>IF(_calc!$E$96="","",IF(LEN(INDEX('Licences'!$H$4:$H$503,_calc!$E$96))=0,"",INDEX('Licences'!$H$4:$H$503,_calc!$E$96)))</f>
        <v/>
      </c>
      <c r="F94" s="44">
        <f>IF(_calc!$E$96="","",TRIM(IF(LEN(IF(LEN(INDEX('Licences'!$D$4:$D$503,_calc!$E$96))=0,"",INDEX('Licences'!$D$4:$D$503,_calc!$E$96)))=0,"","Ref: "&amp;IF(LEN(INDEX('Licences'!$D$4:$D$503,_calc!$E$96))=0,"",INDEX('Licences'!$D$4:$D$503,_calc!$E$96))&amp;". ")&amp;IF(LEN(IF(LEN(INDEX('Licences'!$C$4:$C$503,_calc!$E$96))=0,"",INDEX('Licences'!$C$4:$C$503,_calc!$E$96)))=0,"","Issuer: "&amp;IF(LEN(INDEX('Licences'!$C$4:$C$503,_calc!$E$96))=0,"",INDEX('Licences'!$C$4:$C$503,_calc!$E$96))&amp;". ")&amp;IF(LEN(IF(LEN(INDEX('Licences'!$E$4:$E$503,_calc!$E$96))=0,"",INDEX('Licences'!$E$4:$E$503,_calc!$E$96)))=0,"","Site: "&amp;IF(LEN(INDEX('Licences'!$E$4:$E$503,_calc!$E$96))=0,"",INDEX('Licences'!$E$4:$E$503,_calc!$E$96))&amp;". ")&amp;IF(LEN(IF(LEN(INDEX('Licences'!$F$4:$F$503,_calc!$E$96))=0,"",INDEX('Licences'!$F$4:$F$503,_calc!$E$96)))=0,"","Owner: "&amp;IF(LEN(INDEX('Licences'!$F$4:$F$503,_calc!$E$96))=0,"",INDEX('Licences'!$F$4:$F$503,_calc!$E$96))&amp;". ")&amp;IF(LEN(IF(LEN(INDEX('Licences'!$R$4:$R$503,_calc!$E$96))=0,"",INDEX('Licences'!$R$4:$R$503,_calc!$E$96)))=0,"",IF(LEN(INDEX('Licences'!$R$4:$R$503,_calc!$E$96))=0,"",INDEX('Licences'!$R$4:$R$503,_calc!$E$96)))))</f>
        <v/>
      </c>
      <c r="G94" s="44">
        <f>IF(_calc!$E$96="","",IF(LEN(INDEX('Licences'!$Q$4:$Q$503,_calc!$E$96))=0,"",INDEX('Licences'!$Q$4:$Q$503,_calc!$E$96)))</f>
        <v/>
      </c>
      <c r="H94" s="44">
        <f>IF(_calc!$E$96="","",IF(LEN(INDEX('Licences'!$O$4:$O$503,_calc!$E$96))=0,"",INDEX('Licences'!$O$4:$O$503,_calc!$E$96)))</f>
        <v/>
      </c>
      <c r="I94" s="44">
        <f>IF(_calc!$E$96="","",IF(LEN(INDEX('Licences'!$P$4:$P$503,_calc!$E$96))=0,"",INDEX('Licences'!$P$4:$P$503,_calc!$E$96)))</f>
        <v/>
      </c>
      <c r="K94" s="44">
        <f>IF(_calc!$E$96="","",IF(LEN(INDEX('Licences'!$G$4:$G$503,_calc!$E$96))=0,"",INDEX('Licences'!$G$4:$G$503,_calc!$E$96)))</f>
        <v/>
      </c>
    </row>
    <row r="95">
      <c r="A95" s="44">
        <f>IF(_calc!$E$97="","",IF(LEN(INDEX('Licences'!$A$4:$A$503,_calc!$E$97))=0,"",INDEX('Licences'!$A$4:$A$503,_calc!$E$97)))</f>
        <v/>
      </c>
      <c r="B95" s="44">
        <f>IF(_calc!$E$97="","",IF(ISNUMBER(INDEX('Licences'!$J$4:$J$503,_calc!$E$97)),TEXT(INDEX('Licences'!$J$4:$J$503,_calc!$E$97),"yyyy-mm-dd"),""))</f>
        <v/>
      </c>
      <c r="C95" s="44">
        <f>IF(_calc!$E$97="","",IF(LEN(INDEX('Licences'!$B$4:$B$503,_calc!$E$97))=0,"",INDEX('Licences'!$B$4:$B$503,_calc!$E$97)))</f>
        <v/>
      </c>
      <c r="D95" s="44">
        <f>IF(_calc!$E$97="","",IF(ISNUMBER(INDEX('Licences'!$I$4:$I$503,_calc!$E$97)),TEXT(INDEX('Licences'!$I$4:$I$503,_calc!$E$97),"yyyy-mm-dd"),""))</f>
        <v/>
      </c>
      <c r="E95" s="44">
        <f>IF(_calc!$E$97="","",IF(LEN(INDEX('Licences'!$H$4:$H$503,_calc!$E$97))=0,"",INDEX('Licences'!$H$4:$H$503,_calc!$E$97)))</f>
        <v/>
      </c>
      <c r="F95" s="44">
        <f>IF(_calc!$E$97="","",TRIM(IF(LEN(IF(LEN(INDEX('Licences'!$D$4:$D$503,_calc!$E$97))=0,"",INDEX('Licences'!$D$4:$D$503,_calc!$E$97)))=0,"","Ref: "&amp;IF(LEN(INDEX('Licences'!$D$4:$D$503,_calc!$E$97))=0,"",INDEX('Licences'!$D$4:$D$503,_calc!$E$97))&amp;". ")&amp;IF(LEN(IF(LEN(INDEX('Licences'!$C$4:$C$503,_calc!$E$97))=0,"",INDEX('Licences'!$C$4:$C$503,_calc!$E$97)))=0,"","Issuer: "&amp;IF(LEN(INDEX('Licences'!$C$4:$C$503,_calc!$E$97))=0,"",INDEX('Licences'!$C$4:$C$503,_calc!$E$97))&amp;". ")&amp;IF(LEN(IF(LEN(INDEX('Licences'!$E$4:$E$503,_calc!$E$97))=0,"",INDEX('Licences'!$E$4:$E$503,_calc!$E$97)))=0,"","Site: "&amp;IF(LEN(INDEX('Licences'!$E$4:$E$503,_calc!$E$97))=0,"",INDEX('Licences'!$E$4:$E$503,_calc!$E$97))&amp;". ")&amp;IF(LEN(IF(LEN(INDEX('Licences'!$F$4:$F$503,_calc!$E$97))=0,"",INDEX('Licences'!$F$4:$F$503,_calc!$E$97)))=0,"","Owner: "&amp;IF(LEN(INDEX('Licences'!$F$4:$F$503,_calc!$E$97))=0,"",INDEX('Licences'!$F$4:$F$503,_calc!$E$97))&amp;". ")&amp;IF(LEN(IF(LEN(INDEX('Licences'!$R$4:$R$503,_calc!$E$97))=0,"",INDEX('Licences'!$R$4:$R$503,_calc!$E$97)))=0,"",IF(LEN(INDEX('Licences'!$R$4:$R$503,_calc!$E$97))=0,"",INDEX('Licences'!$R$4:$R$503,_calc!$E$97)))))</f>
        <v/>
      </c>
      <c r="G95" s="44">
        <f>IF(_calc!$E$97="","",IF(LEN(INDEX('Licences'!$Q$4:$Q$503,_calc!$E$97))=0,"",INDEX('Licences'!$Q$4:$Q$503,_calc!$E$97)))</f>
        <v/>
      </c>
      <c r="H95" s="44">
        <f>IF(_calc!$E$97="","",IF(LEN(INDEX('Licences'!$O$4:$O$503,_calc!$E$97))=0,"",INDEX('Licences'!$O$4:$O$503,_calc!$E$97)))</f>
        <v/>
      </c>
      <c r="I95" s="44">
        <f>IF(_calc!$E$97="","",IF(LEN(INDEX('Licences'!$P$4:$P$503,_calc!$E$97))=0,"",INDEX('Licences'!$P$4:$P$503,_calc!$E$97)))</f>
        <v/>
      </c>
      <c r="K95" s="44">
        <f>IF(_calc!$E$97="","",IF(LEN(INDEX('Licences'!$G$4:$G$503,_calc!$E$97))=0,"",INDEX('Licences'!$G$4:$G$503,_calc!$E$97)))</f>
        <v/>
      </c>
    </row>
    <row r="96">
      <c r="A96" s="44">
        <f>IF(_calc!$E$98="","",IF(LEN(INDEX('Licences'!$A$4:$A$503,_calc!$E$98))=0,"",INDEX('Licences'!$A$4:$A$503,_calc!$E$98)))</f>
        <v/>
      </c>
      <c r="B96" s="44">
        <f>IF(_calc!$E$98="","",IF(ISNUMBER(INDEX('Licences'!$J$4:$J$503,_calc!$E$98)),TEXT(INDEX('Licences'!$J$4:$J$503,_calc!$E$98),"yyyy-mm-dd"),""))</f>
        <v/>
      </c>
      <c r="C96" s="44">
        <f>IF(_calc!$E$98="","",IF(LEN(INDEX('Licences'!$B$4:$B$503,_calc!$E$98))=0,"",INDEX('Licences'!$B$4:$B$503,_calc!$E$98)))</f>
        <v/>
      </c>
      <c r="D96" s="44">
        <f>IF(_calc!$E$98="","",IF(ISNUMBER(INDEX('Licences'!$I$4:$I$503,_calc!$E$98)),TEXT(INDEX('Licences'!$I$4:$I$503,_calc!$E$98),"yyyy-mm-dd"),""))</f>
        <v/>
      </c>
      <c r="E96" s="44">
        <f>IF(_calc!$E$98="","",IF(LEN(INDEX('Licences'!$H$4:$H$503,_calc!$E$98))=0,"",INDEX('Licences'!$H$4:$H$503,_calc!$E$98)))</f>
        <v/>
      </c>
      <c r="F96" s="44">
        <f>IF(_calc!$E$98="","",TRIM(IF(LEN(IF(LEN(INDEX('Licences'!$D$4:$D$503,_calc!$E$98))=0,"",INDEX('Licences'!$D$4:$D$503,_calc!$E$98)))=0,"","Ref: "&amp;IF(LEN(INDEX('Licences'!$D$4:$D$503,_calc!$E$98))=0,"",INDEX('Licences'!$D$4:$D$503,_calc!$E$98))&amp;". ")&amp;IF(LEN(IF(LEN(INDEX('Licences'!$C$4:$C$503,_calc!$E$98))=0,"",INDEX('Licences'!$C$4:$C$503,_calc!$E$98)))=0,"","Issuer: "&amp;IF(LEN(INDEX('Licences'!$C$4:$C$503,_calc!$E$98))=0,"",INDEX('Licences'!$C$4:$C$503,_calc!$E$98))&amp;". ")&amp;IF(LEN(IF(LEN(INDEX('Licences'!$E$4:$E$503,_calc!$E$98))=0,"",INDEX('Licences'!$E$4:$E$503,_calc!$E$98)))=0,"","Site: "&amp;IF(LEN(INDEX('Licences'!$E$4:$E$503,_calc!$E$98))=0,"",INDEX('Licences'!$E$4:$E$503,_calc!$E$98))&amp;". ")&amp;IF(LEN(IF(LEN(INDEX('Licences'!$F$4:$F$503,_calc!$E$98))=0,"",INDEX('Licences'!$F$4:$F$503,_calc!$E$98)))=0,"","Owner: "&amp;IF(LEN(INDEX('Licences'!$F$4:$F$503,_calc!$E$98))=0,"",INDEX('Licences'!$F$4:$F$503,_calc!$E$98))&amp;". ")&amp;IF(LEN(IF(LEN(INDEX('Licences'!$R$4:$R$503,_calc!$E$98))=0,"",INDEX('Licences'!$R$4:$R$503,_calc!$E$98)))=0,"",IF(LEN(INDEX('Licences'!$R$4:$R$503,_calc!$E$98))=0,"",INDEX('Licences'!$R$4:$R$503,_calc!$E$98)))))</f>
        <v/>
      </c>
      <c r="G96" s="44">
        <f>IF(_calc!$E$98="","",IF(LEN(INDEX('Licences'!$Q$4:$Q$503,_calc!$E$98))=0,"",INDEX('Licences'!$Q$4:$Q$503,_calc!$E$98)))</f>
        <v/>
      </c>
      <c r="H96" s="44">
        <f>IF(_calc!$E$98="","",IF(LEN(INDEX('Licences'!$O$4:$O$503,_calc!$E$98))=0,"",INDEX('Licences'!$O$4:$O$503,_calc!$E$98)))</f>
        <v/>
      </c>
      <c r="I96" s="44">
        <f>IF(_calc!$E$98="","",IF(LEN(INDEX('Licences'!$P$4:$P$503,_calc!$E$98))=0,"",INDEX('Licences'!$P$4:$P$503,_calc!$E$98)))</f>
        <v/>
      </c>
      <c r="K96" s="44">
        <f>IF(_calc!$E$98="","",IF(LEN(INDEX('Licences'!$G$4:$G$503,_calc!$E$98))=0,"",INDEX('Licences'!$G$4:$G$503,_calc!$E$98)))</f>
        <v/>
      </c>
    </row>
    <row r="97">
      <c r="A97" s="44">
        <f>IF(_calc!$E$99="","",IF(LEN(INDEX('Licences'!$A$4:$A$503,_calc!$E$99))=0,"",INDEX('Licences'!$A$4:$A$503,_calc!$E$99)))</f>
        <v/>
      </c>
      <c r="B97" s="44">
        <f>IF(_calc!$E$99="","",IF(ISNUMBER(INDEX('Licences'!$J$4:$J$503,_calc!$E$99)),TEXT(INDEX('Licences'!$J$4:$J$503,_calc!$E$99),"yyyy-mm-dd"),""))</f>
        <v/>
      </c>
      <c r="C97" s="44">
        <f>IF(_calc!$E$99="","",IF(LEN(INDEX('Licences'!$B$4:$B$503,_calc!$E$99))=0,"",INDEX('Licences'!$B$4:$B$503,_calc!$E$99)))</f>
        <v/>
      </c>
      <c r="D97" s="44">
        <f>IF(_calc!$E$99="","",IF(ISNUMBER(INDEX('Licences'!$I$4:$I$503,_calc!$E$99)),TEXT(INDEX('Licences'!$I$4:$I$503,_calc!$E$99),"yyyy-mm-dd"),""))</f>
        <v/>
      </c>
      <c r="E97" s="44">
        <f>IF(_calc!$E$99="","",IF(LEN(INDEX('Licences'!$H$4:$H$503,_calc!$E$99))=0,"",INDEX('Licences'!$H$4:$H$503,_calc!$E$99)))</f>
        <v/>
      </c>
      <c r="F97" s="44">
        <f>IF(_calc!$E$99="","",TRIM(IF(LEN(IF(LEN(INDEX('Licences'!$D$4:$D$503,_calc!$E$99))=0,"",INDEX('Licences'!$D$4:$D$503,_calc!$E$99)))=0,"","Ref: "&amp;IF(LEN(INDEX('Licences'!$D$4:$D$503,_calc!$E$99))=0,"",INDEX('Licences'!$D$4:$D$503,_calc!$E$99))&amp;". ")&amp;IF(LEN(IF(LEN(INDEX('Licences'!$C$4:$C$503,_calc!$E$99))=0,"",INDEX('Licences'!$C$4:$C$503,_calc!$E$99)))=0,"","Issuer: "&amp;IF(LEN(INDEX('Licences'!$C$4:$C$503,_calc!$E$99))=0,"",INDEX('Licences'!$C$4:$C$503,_calc!$E$99))&amp;". ")&amp;IF(LEN(IF(LEN(INDEX('Licences'!$E$4:$E$503,_calc!$E$99))=0,"",INDEX('Licences'!$E$4:$E$503,_calc!$E$99)))=0,"","Site: "&amp;IF(LEN(INDEX('Licences'!$E$4:$E$503,_calc!$E$99))=0,"",INDEX('Licences'!$E$4:$E$503,_calc!$E$99))&amp;". ")&amp;IF(LEN(IF(LEN(INDEX('Licences'!$F$4:$F$503,_calc!$E$99))=0,"",INDEX('Licences'!$F$4:$F$503,_calc!$E$99)))=0,"","Owner: "&amp;IF(LEN(INDEX('Licences'!$F$4:$F$503,_calc!$E$99))=0,"",INDEX('Licences'!$F$4:$F$503,_calc!$E$99))&amp;". ")&amp;IF(LEN(IF(LEN(INDEX('Licences'!$R$4:$R$503,_calc!$E$99))=0,"",INDEX('Licences'!$R$4:$R$503,_calc!$E$99)))=0,"",IF(LEN(INDEX('Licences'!$R$4:$R$503,_calc!$E$99))=0,"",INDEX('Licences'!$R$4:$R$503,_calc!$E$99)))))</f>
        <v/>
      </c>
      <c r="G97" s="44">
        <f>IF(_calc!$E$99="","",IF(LEN(INDEX('Licences'!$Q$4:$Q$503,_calc!$E$99))=0,"",INDEX('Licences'!$Q$4:$Q$503,_calc!$E$99)))</f>
        <v/>
      </c>
      <c r="H97" s="44">
        <f>IF(_calc!$E$99="","",IF(LEN(INDEX('Licences'!$O$4:$O$503,_calc!$E$99))=0,"",INDEX('Licences'!$O$4:$O$503,_calc!$E$99)))</f>
        <v/>
      </c>
      <c r="I97" s="44">
        <f>IF(_calc!$E$99="","",IF(LEN(INDEX('Licences'!$P$4:$P$503,_calc!$E$99))=0,"",INDEX('Licences'!$P$4:$P$503,_calc!$E$99)))</f>
        <v/>
      </c>
      <c r="K97" s="44">
        <f>IF(_calc!$E$99="","",IF(LEN(INDEX('Licences'!$G$4:$G$503,_calc!$E$99))=0,"",INDEX('Licences'!$G$4:$G$503,_calc!$E$99)))</f>
        <v/>
      </c>
    </row>
    <row r="98">
      <c r="A98" s="44">
        <f>IF(_calc!$E$100="","",IF(LEN(INDEX('Licences'!$A$4:$A$503,_calc!$E$100))=0,"",INDEX('Licences'!$A$4:$A$503,_calc!$E$100)))</f>
        <v/>
      </c>
      <c r="B98" s="44">
        <f>IF(_calc!$E$100="","",IF(ISNUMBER(INDEX('Licences'!$J$4:$J$503,_calc!$E$100)),TEXT(INDEX('Licences'!$J$4:$J$503,_calc!$E$100),"yyyy-mm-dd"),""))</f>
        <v/>
      </c>
      <c r="C98" s="44">
        <f>IF(_calc!$E$100="","",IF(LEN(INDEX('Licences'!$B$4:$B$503,_calc!$E$100))=0,"",INDEX('Licences'!$B$4:$B$503,_calc!$E$100)))</f>
        <v/>
      </c>
      <c r="D98" s="44">
        <f>IF(_calc!$E$100="","",IF(ISNUMBER(INDEX('Licences'!$I$4:$I$503,_calc!$E$100)),TEXT(INDEX('Licences'!$I$4:$I$503,_calc!$E$100),"yyyy-mm-dd"),""))</f>
        <v/>
      </c>
      <c r="E98" s="44">
        <f>IF(_calc!$E$100="","",IF(LEN(INDEX('Licences'!$H$4:$H$503,_calc!$E$100))=0,"",INDEX('Licences'!$H$4:$H$503,_calc!$E$100)))</f>
        <v/>
      </c>
      <c r="F98" s="44">
        <f>IF(_calc!$E$100="","",TRIM(IF(LEN(IF(LEN(INDEX('Licences'!$D$4:$D$503,_calc!$E$100))=0,"",INDEX('Licences'!$D$4:$D$503,_calc!$E$100)))=0,"","Ref: "&amp;IF(LEN(INDEX('Licences'!$D$4:$D$503,_calc!$E$100))=0,"",INDEX('Licences'!$D$4:$D$503,_calc!$E$100))&amp;". ")&amp;IF(LEN(IF(LEN(INDEX('Licences'!$C$4:$C$503,_calc!$E$100))=0,"",INDEX('Licences'!$C$4:$C$503,_calc!$E$100)))=0,"","Issuer: "&amp;IF(LEN(INDEX('Licences'!$C$4:$C$503,_calc!$E$100))=0,"",INDEX('Licences'!$C$4:$C$503,_calc!$E$100))&amp;". ")&amp;IF(LEN(IF(LEN(INDEX('Licences'!$E$4:$E$503,_calc!$E$100))=0,"",INDEX('Licences'!$E$4:$E$503,_calc!$E$100)))=0,"","Site: "&amp;IF(LEN(INDEX('Licences'!$E$4:$E$503,_calc!$E$100))=0,"",INDEX('Licences'!$E$4:$E$503,_calc!$E$100))&amp;". ")&amp;IF(LEN(IF(LEN(INDEX('Licences'!$F$4:$F$503,_calc!$E$100))=0,"",INDEX('Licences'!$F$4:$F$503,_calc!$E$100)))=0,"","Owner: "&amp;IF(LEN(INDEX('Licences'!$F$4:$F$503,_calc!$E$100))=0,"",INDEX('Licences'!$F$4:$F$503,_calc!$E$100))&amp;". ")&amp;IF(LEN(IF(LEN(INDEX('Licences'!$R$4:$R$503,_calc!$E$100))=0,"",INDEX('Licences'!$R$4:$R$503,_calc!$E$100)))=0,"",IF(LEN(INDEX('Licences'!$R$4:$R$503,_calc!$E$100))=0,"",INDEX('Licences'!$R$4:$R$503,_calc!$E$100)))))</f>
        <v/>
      </c>
      <c r="G98" s="44">
        <f>IF(_calc!$E$100="","",IF(LEN(INDEX('Licences'!$Q$4:$Q$503,_calc!$E$100))=0,"",INDEX('Licences'!$Q$4:$Q$503,_calc!$E$100)))</f>
        <v/>
      </c>
      <c r="H98" s="44">
        <f>IF(_calc!$E$100="","",IF(LEN(INDEX('Licences'!$O$4:$O$503,_calc!$E$100))=0,"",INDEX('Licences'!$O$4:$O$503,_calc!$E$100)))</f>
        <v/>
      </c>
      <c r="I98" s="44">
        <f>IF(_calc!$E$100="","",IF(LEN(INDEX('Licences'!$P$4:$P$503,_calc!$E$100))=0,"",INDEX('Licences'!$P$4:$P$503,_calc!$E$100)))</f>
        <v/>
      </c>
      <c r="K98" s="44">
        <f>IF(_calc!$E$100="","",IF(LEN(INDEX('Licences'!$G$4:$G$503,_calc!$E$100))=0,"",INDEX('Licences'!$G$4:$G$503,_calc!$E$100)))</f>
        <v/>
      </c>
    </row>
    <row r="99">
      <c r="A99" s="44">
        <f>IF(_calc!$E$101="","",IF(LEN(INDEX('Licences'!$A$4:$A$503,_calc!$E$101))=0,"",INDEX('Licences'!$A$4:$A$503,_calc!$E$101)))</f>
        <v/>
      </c>
      <c r="B99" s="44">
        <f>IF(_calc!$E$101="","",IF(ISNUMBER(INDEX('Licences'!$J$4:$J$503,_calc!$E$101)),TEXT(INDEX('Licences'!$J$4:$J$503,_calc!$E$101),"yyyy-mm-dd"),""))</f>
        <v/>
      </c>
      <c r="C99" s="44">
        <f>IF(_calc!$E$101="","",IF(LEN(INDEX('Licences'!$B$4:$B$503,_calc!$E$101))=0,"",INDEX('Licences'!$B$4:$B$503,_calc!$E$101)))</f>
        <v/>
      </c>
      <c r="D99" s="44">
        <f>IF(_calc!$E$101="","",IF(ISNUMBER(INDEX('Licences'!$I$4:$I$503,_calc!$E$101)),TEXT(INDEX('Licences'!$I$4:$I$503,_calc!$E$101),"yyyy-mm-dd"),""))</f>
        <v/>
      </c>
      <c r="E99" s="44">
        <f>IF(_calc!$E$101="","",IF(LEN(INDEX('Licences'!$H$4:$H$503,_calc!$E$101))=0,"",INDEX('Licences'!$H$4:$H$503,_calc!$E$101)))</f>
        <v/>
      </c>
      <c r="F99" s="44">
        <f>IF(_calc!$E$101="","",TRIM(IF(LEN(IF(LEN(INDEX('Licences'!$D$4:$D$503,_calc!$E$101))=0,"",INDEX('Licences'!$D$4:$D$503,_calc!$E$101)))=0,"","Ref: "&amp;IF(LEN(INDEX('Licences'!$D$4:$D$503,_calc!$E$101))=0,"",INDEX('Licences'!$D$4:$D$503,_calc!$E$101))&amp;". ")&amp;IF(LEN(IF(LEN(INDEX('Licences'!$C$4:$C$503,_calc!$E$101))=0,"",INDEX('Licences'!$C$4:$C$503,_calc!$E$101)))=0,"","Issuer: "&amp;IF(LEN(INDEX('Licences'!$C$4:$C$503,_calc!$E$101))=0,"",INDEX('Licences'!$C$4:$C$503,_calc!$E$101))&amp;". ")&amp;IF(LEN(IF(LEN(INDEX('Licences'!$E$4:$E$503,_calc!$E$101))=0,"",INDEX('Licences'!$E$4:$E$503,_calc!$E$101)))=0,"","Site: "&amp;IF(LEN(INDEX('Licences'!$E$4:$E$503,_calc!$E$101))=0,"",INDEX('Licences'!$E$4:$E$503,_calc!$E$101))&amp;". ")&amp;IF(LEN(IF(LEN(INDEX('Licences'!$F$4:$F$503,_calc!$E$101))=0,"",INDEX('Licences'!$F$4:$F$503,_calc!$E$101)))=0,"","Owner: "&amp;IF(LEN(INDEX('Licences'!$F$4:$F$503,_calc!$E$101))=0,"",INDEX('Licences'!$F$4:$F$503,_calc!$E$101))&amp;". ")&amp;IF(LEN(IF(LEN(INDEX('Licences'!$R$4:$R$503,_calc!$E$101))=0,"",INDEX('Licences'!$R$4:$R$503,_calc!$E$101)))=0,"",IF(LEN(INDEX('Licences'!$R$4:$R$503,_calc!$E$101))=0,"",INDEX('Licences'!$R$4:$R$503,_calc!$E$101)))))</f>
        <v/>
      </c>
      <c r="G99" s="44">
        <f>IF(_calc!$E$101="","",IF(LEN(INDEX('Licences'!$Q$4:$Q$503,_calc!$E$101))=0,"",INDEX('Licences'!$Q$4:$Q$503,_calc!$E$101)))</f>
        <v/>
      </c>
      <c r="H99" s="44">
        <f>IF(_calc!$E$101="","",IF(LEN(INDEX('Licences'!$O$4:$O$503,_calc!$E$101))=0,"",INDEX('Licences'!$O$4:$O$503,_calc!$E$101)))</f>
        <v/>
      </c>
      <c r="I99" s="44">
        <f>IF(_calc!$E$101="","",IF(LEN(INDEX('Licences'!$P$4:$P$503,_calc!$E$101))=0,"",INDEX('Licences'!$P$4:$P$503,_calc!$E$101)))</f>
        <v/>
      </c>
      <c r="K99" s="44">
        <f>IF(_calc!$E$101="","",IF(LEN(INDEX('Licences'!$G$4:$G$503,_calc!$E$101))=0,"",INDEX('Licences'!$G$4:$G$503,_calc!$E$101)))</f>
        <v/>
      </c>
    </row>
    <row r="100">
      <c r="A100" s="44">
        <f>IF(_calc!$E$102="","",IF(LEN(INDEX('Licences'!$A$4:$A$503,_calc!$E$102))=0,"",INDEX('Licences'!$A$4:$A$503,_calc!$E$102)))</f>
        <v/>
      </c>
      <c r="B100" s="44">
        <f>IF(_calc!$E$102="","",IF(ISNUMBER(INDEX('Licences'!$J$4:$J$503,_calc!$E$102)),TEXT(INDEX('Licences'!$J$4:$J$503,_calc!$E$102),"yyyy-mm-dd"),""))</f>
        <v/>
      </c>
      <c r="C100" s="44">
        <f>IF(_calc!$E$102="","",IF(LEN(INDEX('Licences'!$B$4:$B$503,_calc!$E$102))=0,"",INDEX('Licences'!$B$4:$B$503,_calc!$E$102)))</f>
        <v/>
      </c>
      <c r="D100" s="44">
        <f>IF(_calc!$E$102="","",IF(ISNUMBER(INDEX('Licences'!$I$4:$I$503,_calc!$E$102)),TEXT(INDEX('Licences'!$I$4:$I$503,_calc!$E$102),"yyyy-mm-dd"),""))</f>
        <v/>
      </c>
      <c r="E100" s="44">
        <f>IF(_calc!$E$102="","",IF(LEN(INDEX('Licences'!$H$4:$H$503,_calc!$E$102))=0,"",INDEX('Licences'!$H$4:$H$503,_calc!$E$102)))</f>
        <v/>
      </c>
      <c r="F100" s="44">
        <f>IF(_calc!$E$102="","",TRIM(IF(LEN(IF(LEN(INDEX('Licences'!$D$4:$D$503,_calc!$E$102))=0,"",INDEX('Licences'!$D$4:$D$503,_calc!$E$102)))=0,"","Ref: "&amp;IF(LEN(INDEX('Licences'!$D$4:$D$503,_calc!$E$102))=0,"",INDEX('Licences'!$D$4:$D$503,_calc!$E$102))&amp;". ")&amp;IF(LEN(IF(LEN(INDEX('Licences'!$C$4:$C$503,_calc!$E$102))=0,"",INDEX('Licences'!$C$4:$C$503,_calc!$E$102)))=0,"","Issuer: "&amp;IF(LEN(INDEX('Licences'!$C$4:$C$503,_calc!$E$102))=0,"",INDEX('Licences'!$C$4:$C$503,_calc!$E$102))&amp;". ")&amp;IF(LEN(IF(LEN(INDEX('Licences'!$E$4:$E$503,_calc!$E$102))=0,"",INDEX('Licences'!$E$4:$E$503,_calc!$E$102)))=0,"","Site: "&amp;IF(LEN(INDEX('Licences'!$E$4:$E$503,_calc!$E$102))=0,"",INDEX('Licences'!$E$4:$E$503,_calc!$E$102))&amp;". ")&amp;IF(LEN(IF(LEN(INDEX('Licences'!$F$4:$F$503,_calc!$E$102))=0,"",INDEX('Licences'!$F$4:$F$503,_calc!$E$102)))=0,"","Owner: "&amp;IF(LEN(INDEX('Licences'!$F$4:$F$503,_calc!$E$102))=0,"",INDEX('Licences'!$F$4:$F$503,_calc!$E$102))&amp;". ")&amp;IF(LEN(IF(LEN(INDEX('Licences'!$R$4:$R$503,_calc!$E$102))=0,"",INDEX('Licences'!$R$4:$R$503,_calc!$E$102)))=0,"",IF(LEN(INDEX('Licences'!$R$4:$R$503,_calc!$E$102))=0,"",INDEX('Licences'!$R$4:$R$503,_calc!$E$102)))))</f>
        <v/>
      </c>
      <c r="G100" s="44">
        <f>IF(_calc!$E$102="","",IF(LEN(INDEX('Licences'!$Q$4:$Q$503,_calc!$E$102))=0,"",INDEX('Licences'!$Q$4:$Q$503,_calc!$E$102)))</f>
        <v/>
      </c>
      <c r="H100" s="44">
        <f>IF(_calc!$E$102="","",IF(LEN(INDEX('Licences'!$O$4:$O$503,_calc!$E$102))=0,"",INDEX('Licences'!$O$4:$O$503,_calc!$E$102)))</f>
        <v/>
      </c>
      <c r="I100" s="44">
        <f>IF(_calc!$E$102="","",IF(LEN(INDEX('Licences'!$P$4:$P$503,_calc!$E$102))=0,"",INDEX('Licences'!$P$4:$P$503,_calc!$E$102)))</f>
        <v/>
      </c>
      <c r="K100" s="44">
        <f>IF(_calc!$E$102="","",IF(LEN(INDEX('Licences'!$G$4:$G$503,_calc!$E$102))=0,"",INDEX('Licences'!$G$4:$G$503,_calc!$E$102)))</f>
        <v/>
      </c>
    </row>
    <row r="101">
      <c r="A101" s="44">
        <f>IF(_calc!$E$103="","",IF(LEN(INDEX('Licences'!$A$4:$A$503,_calc!$E$103))=0,"",INDEX('Licences'!$A$4:$A$503,_calc!$E$103)))</f>
        <v/>
      </c>
      <c r="B101" s="44">
        <f>IF(_calc!$E$103="","",IF(ISNUMBER(INDEX('Licences'!$J$4:$J$503,_calc!$E$103)),TEXT(INDEX('Licences'!$J$4:$J$503,_calc!$E$103),"yyyy-mm-dd"),""))</f>
        <v/>
      </c>
      <c r="C101" s="44">
        <f>IF(_calc!$E$103="","",IF(LEN(INDEX('Licences'!$B$4:$B$503,_calc!$E$103))=0,"",INDEX('Licences'!$B$4:$B$503,_calc!$E$103)))</f>
        <v/>
      </c>
      <c r="D101" s="44">
        <f>IF(_calc!$E$103="","",IF(ISNUMBER(INDEX('Licences'!$I$4:$I$503,_calc!$E$103)),TEXT(INDEX('Licences'!$I$4:$I$503,_calc!$E$103),"yyyy-mm-dd"),""))</f>
        <v/>
      </c>
      <c r="E101" s="44">
        <f>IF(_calc!$E$103="","",IF(LEN(INDEX('Licences'!$H$4:$H$503,_calc!$E$103))=0,"",INDEX('Licences'!$H$4:$H$503,_calc!$E$103)))</f>
        <v/>
      </c>
      <c r="F101" s="44">
        <f>IF(_calc!$E$103="","",TRIM(IF(LEN(IF(LEN(INDEX('Licences'!$D$4:$D$503,_calc!$E$103))=0,"",INDEX('Licences'!$D$4:$D$503,_calc!$E$103)))=0,"","Ref: "&amp;IF(LEN(INDEX('Licences'!$D$4:$D$503,_calc!$E$103))=0,"",INDEX('Licences'!$D$4:$D$503,_calc!$E$103))&amp;". ")&amp;IF(LEN(IF(LEN(INDEX('Licences'!$C$4:$C$503,_calc!$E$103))=0,"",INDEX('Licences'!$C$4:$C$503,_calc!$E$103)))=0,"","Issuer: "&amp;IF(LEN(INDEX('Licences'!$C$4:$C$503,_calc!$E$103))=0,"",INDEX('Licences'!$C$4:$C$503,_calc!$E$103))&amp;". ")&amp;IF(LEN(IF(LEN(INDEX('Licences'!$E$4:$E$503,_calc!$E$103))=0,"",INDEX('Licences'!$E$4:$E$503,_calc!$E$103)))=0,"","Site: "&amp;IF(LEN(INDEX('Licences'!$E$4:$E$503,_calc!$E$103))=0,"",INDEX('Licences'!$E$4:$E$503,_calc!$E$103))&amp;". ")&amp;IF(LEN(IF(LEN(INDEX('Licences'!$F$4:$F$503,_calc!$E$103))=0,"",INDEX('Licences'!$F$4:$F$503,_calc!$E$103)))=0,"","Owner: "&amp;IF(LEN(INDEX('Licences'!$F$4:$F$503,_calc!$E$103))=0,"",INDEX('Licences'!$F$4:$F$503,_calc!$E$103))&amp;". ")&amp;IF(LEN(IF(LEN(INDEX('Licences'!$R$4:$R$503,_calc!$E$103))=0,"",INDEX('Licences'!$R$4:$R$503,_calc!$E$103)))=0,"",IF(LEN(INDEX('Licences'!$R$4:$R$503,_calc!$E$103))=0,"",INDEX('Licences'!$R$4:$R$503,_calc!$E$103)))))</f>
        <v/>
      </c>
      <c r="G101" s="44">
        <f>IF(_calc!$E$103="","",IF(LEN(INDEX('Licences'!$Q$4:$Q$503,_calc!$E$103))=0,"",INDEX('Licences'!$Q$4:$Q$503,_calc!$E$103)))</f>
        <v/>
      </c>
      <c r="H101" s="44">
        <f>IF(_calc!$E$103="","",IF(LEN(INDEX('Licences'!$O$4:$O$503,_calc!$E$103))=0,"",INDEX('Licences'!$O$4:$O$503,_calc!$E$103)))</f>
        <v/>
      </c>
      <c r="I101" s="44">
        <f>IF(_calc!$E$103="","",IF(LEN(INDEX('Licences'!$P$4:$P$503,_calc!$E$103))=0,"",INDEX('Licences'!$P$4:$P$503,_calc!$E$103)))</f>
        <v/>
      </c>
      <c r="K101" s="44">
        <f>IF(_calc!$E$103="","",IF(LEN(INDEX('Licences'!$G$4:$G$503,_calc!$E$103))=0,"",INDEX('Licences'!$G$4:$G$503,_calc!$E$103)))</f>
        <v/>
      </c>
    </row>
    <row r="102">
      <c r="A102" s="44">
        <f>IF(_calc!$E$104="","",IF(LEN(INDEX('Licences'!$A$4:$A$503,_calc!$E$104))=0,"",INDEX('Licences'!$A$4:$A$503,_calc!$E$104)))</f>
        <v/>
      </c>
      <c r="B102" s="44">
        <f>IF(_calc!$E$104="","",IF(ISNUMBER(INDEX('Licences'!$J$4:$J$503,_calc!$E$104)),TEXT(INDEX('Licences'!$J$4:$J$503,_calc!$E$104),"yyyy-mm-dd"),""))</f>
        <v/>
      </c>
      <c r="C102" s="44">
        <f>IF(_calc!$E$104="","",IF(LEN(INDEX('Licences'!$B$4:$B$503,_calc!$E$104))=0,"",INDEX('Licences'!$B$4:$B$503,_calc!$E$104)))</f>
        <v/>
      </c>
      <c r="D102" s="44">
        <f>IF(_calc!$E$104="","",IF(ISNUMBER(INDEX('Licences'!$I$4:$I$503,_calc!$E$104)),TEXT(INDEX('Licences'!$I$4:$I$503,_calc!$E$104),"yyyy-mm-dd"),""))</f>
        <v/>
      </c>
      <c r="E102" s="44">
        <f>IF(_calc!$E$104="","",IF(LEN(INDEX('Licences'!$H$4:$H$503,_calc!$E$104))=0,"",INDEX('Licences'!$H$4:$H$503,_calc!$E$104)))</f>
        <v/>
      </c>
      <c r="F102" s="44">
        <f>IF(_calc!$E$104="","",TRIM(IF(LEN(IF(LEN(INDEX('Licences'!$D$4:$D$503,_calc!$E$104))=0,"",INDEX('Licences'!$D$4:$D$503,_calc!$E$104)))=0,"","Ref: "&amp;IF(LEN(INDEX('Licences'!$D$4:$D$503,_calc!$E$104))=0,"",INDEX('Licences'!$D$4:$D$503,_calc!$E$104))&amp;". ")&amp;IF(LEN(IF(LEN(INDEX('Licences'!$C$4:$C$503,_calc!$E$104))=0,"",INDEX('Licences'!$C$4:$C$503,_calc!$E$104)))=0,"","Issuer: "&amp;IF(LEN(INDEX('Licences'!$C$4:$C$503,_calc!$E$104))=0,"",INDEX('Licences'!$C$4:$C$503,_calc!$E$104))&amp;". ")&amp;IF(LEN(IF(LEN(INDEX('Licences'!$E$4:$E$503,_calc!$E$104))=0,"",INDEX('Licences'!$E$4:$E$503,_calc!$E$104)))=0,"","Site: "&amp;IF(LEN(INDEX('Licences'!$E$4:$E$503,_calc!$E$104))=0,"",INDEX('Licences'!$E$4:$E$503,_calc!$E$104))&amp;". ")&amp;IF(LEN(IF(LEN(INDEX('Licences'!$F$4:$F$503,_calc!$E$104))=0,"",INDEX('Licences'!$F$4:$F$503,_calc!$E$104)))=0,"","Owner: "&amp;IF(LEN(INDEX('Licences'!$F$4:$F$503,_calc!$E$104))=0,"",INDEX('Licences'!$F$4:$F$503,_calc!$E$104))&amp;". ")&amp;IF(LEN(IF(LEN(INDEX('Licences'!$R$4:$R$503,_calc!$E$104))=0,"",INDEX('Licences'!$R$4:$R$503,_calc!$E$104)))=0,"",IF(LEN(INDEX('Licences'!$R$4:$R$503,_calc!$E$104))=0,"",INDEX('Licences'!$R$4:$R$503,_calc!$E$104)))))</f>
        <v/>
      </c>
      <c r="G102" s="44">
        <f>IF(_calc!$E$104="","",IF(LEN(INDEX('Licences'!$Q$4:$Q$503,_calc!$E$104))=0,"",INDEX('Licences'!$Q$4:$Q$503,_calc!$E$104)))</f>
        <v/>
      </c>
      <c r="H102" s="44">
        <f>IF(_calc!$E$104="","",IF(LEN(INDEX('Licences'!$O$4:$O$503,_calc!$E$104))=0,"",INDEX('Licences'!$O$4:$O$503,_calc!$E$104)))</f>
        <v/>
      </c>
      <c r="I102" s="44">
        <f>IF(_calc!$E$104="","",IF(LEN(INDEX('Licences'!$P$4:$P$503,_calc!$E$104))=0,"",INDEX('Licences'!$P$4:$P$503,_calc!$E$104)))</f>
        <v/>
      </c>
      <c r="K102" s="44">
        <f>IF(_calc!$E$104="","",IF(LEN(INDEX('Licences'!$G$4:$G$503,_calc!$E$104))=0,"",INDEX('Licences'!$G$4:$G$503,_calc!$E$104)))</f>
        <v/>
      </c>
    </row>
    <row r="103">
      <c r="A103" s="44">
        <f>IF(_calc!$E$105="","",IF(LEN(INDEX('Licences'!$A$4:$A$503,_calc!$E$105))=0,"",INDEX('Licences'!$A$4:$A$503,_calc!$E$105)))</f>
        <v/>
      </c>
      <c r="B103" s="44">
        <f>IF(_calc!$E$105="","",IF(ISNUMBER(INDEX('Licences'!$J$4:$J$503,_calc!$E$105)),TEXT(INDEX('Licences'!$J$4:$J$503,_calc!$E$105),"yyyy-mm-dd"),""))</f>
        <v/>
      </c>
      <c r="C103" s="44">
        <f>IF(_calc!$E$105="","",IF(LEN(INDEX('Licences'!$B$4:$B$503,_calc!$E$105))=0,"",INDEX('Licences'!$B$4:$B$503,_calc!$E$105)))</f>
        <v/>
      </c>
      <c r="D103" s="44">
        <f>IF(_calc!$E$105="","",IF(ISNUMBER(INDEX('Licences'!$I$4:$I$503,_calc!$E$105)),TEXT(INDEX('Licences'!$I$4:$I$503,_calc!$E$105),"yyyy-mm-dd"),""))</f>
        <v/>
      </c>
      <c r="E103" s="44">
        <f>IF(_calc!$E$105="","",IF(LEN(INDEX('Licences'!$H$4:$H$503,_calc!$E$105))=0,"",INDEX('Licences'!$H$4:$H$503,_calc!$E$105)))</f>
        <v/>
      </c>
      <c r="F103" s="44">
        <f>IF(_calc!$E$105="","",TRIM(IF(LEN(IF(LEN(INDEX('Licences'!$D$4:$D$503,_calc!$E$105))=0,"",INDEX('Licences'!$D$4:$D$503,_calc!$E$105)))=0,"","Ref: "&amp;IF(LEN(INDEX('Licences'!$D$4:$D$503,_calc!$E$105))=0,"",INDEX('Licences'!$D$4:$D$503,_calc!$E$105))&amp;". ")&amp;IF(LEN(IF(LEN(INDEX('Licences'!$C$4:$C$503,_calc!$E$105))=0,"",INDEX('Licences'!$C$4:$C$503,_calc!$E$105)))=0,"","Issuer: "&amp;IF(LEN(INDEX('Licences'!$C$4:$C$503,_calc!$E$105))=0,"",INDEX('Licences'!$C$4:$C$503,_calc!$E$105))&amp;". ")&amp;IF(LEN(IF(LEN(INDEX('Licences'!$E$4:$E$503,_calc!$E$105))=0,"",INDEX('Licences'!$E$4:$E$503,_calc!$E$105)))=0,"","Site: "&amp;IF(LEN(INDEX('Licences'!$E$4:$E$503,_calc!$E$105))=0,"",INDEX('Licences'!$E$4:$E$503,_calc!$E$105))&amp;". ")&amp;IF(LEN(IF(LEN(INDEX('Licences'!$F$4:$F$503,_calc!$E$105))=0,"",INDEX('Licences'!$F$4:$F$503,_calc!$E$105)))=0,"","Owner: "&amp;IF(LEN(INDEX('Licences'!$F$4:$F$503,_calc!$E$105))=0,"",INDEX('Licences'!$F$4:$F$503,_calc!$E$105))&amp;". ")&amp;IF(LEN(IF(LEN(INDEX('Licences'!$R$4:$R$503,_calc!$E$105))=0,"",INDEX('Licences'!$R$4:$R$503,_calc!$E$105)))=0,"",IF(LEN(INDEX('Licences'!$R$4:$R$503,_calc!$E$105))=0,"",INDEX('Licences'!$R$4:$R$503,_calc!$E$105)))))</f>
        <v/>
      </c>
      <c r="G103" s="44">
        <f>IF(_calc!$E$105="","",IF(LEN(INDEX('Licences'!$Q$4:$Q$503,_calc!$E$105))=0,"",INDEX('Licences'!$Q$4:$Q$503,_calc!$E$105)))</f>
        <v/>
      </c>
      <c r="H103" s="44">
        <f>IF(_calc!$E$105="","",IF(LEN(INDEX('Licences'!$O$4:$O$503,_calc!$E$105))=0,"",INDEX('Licences'!$O$4:$O$503,_calc!$E$105)))</f>
        <v/>
      </c>
      <c r="I103" s="44">
        <f>IF(_calc!$E$105="","",IF(LEN(INDEX('Licences'!$P$4:$P$503,_calc!$E$105))=0,"",INDEX('Licences'!$P$4:$P$503,_calc!$E$105)))</f>
        <v/>
      </c>
      <c r="K103" s="44">
        <f>IF(_calc!$E$105="","",IF(LEN(INDEX('Licences'!$G$4:$G$503,_calc!$E$105))=0,"",INDEX('Licences'!$G$4:$G$503,_calc!$E$105)))</f>
        <v/>
      </c>
    </row>
    <row r="104">
      <c r="A104" s="44">
        <f>IF(_calc!$E$106="","",IF(LEN(INDEX('Licences'!$A$4:$A$503,_calc!$E$106))=0,"",INDEX('Licences'!$A$4:$A$503,_calc!$E$106)))</f>
        <v/>
      </c>
      <c r="B104" s="44">
        <f>IF(_calc!$E$106="","",IF(ISNUMBER(INDEX('Licences'!$J$4:$J$503,_calc!$E$106)),TEXT(INDEX('Licences'!$J$4:$J$503,_calc!$E$106),"yyyy-mm-dd"),""))</f>
        <v/>
      </c>
      <c r="C104" s="44">
        <f>IF(_calc!$E$106="","",IF(LEN(INDEX('Licences'!$B$4:$B$503,_calc!$E$106))=0,"",INDEX('Licences'!$B$4:$B$503,_calc!$E$106)))</f>
        <v/>
      </c>
      <c r="D104" s="44">
        <f>IF(_calc!$E$106="","",IF(ISNUMBER(INDEX('Licences'!$I$4:$I$503,_calc!$E$106)),TEXT(INDEX('Licences'!$I$4:$I$503,_calc!$E$106),"yyyy-mm-dd"),""))</f>
        <v/>
      </c>
      <c r="E104" s="44">
        <f>IF(_calc!$E$106="","",IF(LEN(INDEX('Licences'!$H$4:$H$503,_calc!$E$106))=0,"",INDEX('Licences'!$H$4:$H$503,_calc!$E$106)))</f>
        <v/>
      </c>
      <c r="F104" s="44">
        <f>IF(_calc!$E$106="","",TRIM(IF(LEN(IF(LEN(INDEX('Licences'!$D$4:$D$503,_calc!$E$106))=0,"",INDEX('Licences'!$D$4:$D$503,_calc!$E$106)))=0,"","Ref: "&amp;IF(LEN(INDEX('Licences'!$D$4:$D$503,_calc!$E$106))=0,"",INDEX('Licences'!$D$4:$D$503,_calc!$E$106))&amp;". ")&amp;IF(LEN(IF(LEN(INDEX('Licences'!$C$4:$C$503,_calc!$E$106))=0,"",INDEX('Licences'!$C$4:$C$503,_calc!$E$106)))=0,"","Issuer: "&amp;IF(LEN(INDEX('Licences'!$C$4:$C$503,_calc!$E$106))=0,"",INDEX('Licences'!$C$4:$C$503,_calc!$E$106))&amp;". ")&amp;IF(LEN(IF(LEN(INDEX('Licences'!$E$4:$E$503,_calc!$E$106))=0,"",INDEX('Licences'!$E$4:$E$503,_calc!$E$106)))=0,"","Site: "&amp;IF(LEN(INDEX('Licences'!$E$4:$E$503,_calc!$E$106))=0,"",INDEX('Licences'!$E$4:$E$503,_calc!$E$106))&amp;". ")&amp;IF(LEN(IF(LEN(INDEX('Licences'!$F$4:$F$503,_calc!$E$106))=0,"",INDEX('Licences'!$F$4:$F$503,_calc!$E$106)))=0,"","Owner: "&amp;IF(LEN(INDEX('Licences'!$F$4:$F$503,_calc!$E$106))=0,"",INDEX('Licences'!$F$4:$F$503,_calc!$E$106))&amp;". ")&amp;IF(LEN(IF(LEN(INDEX('Licences'!$R$4:$R$503,_calc!$E$106))=0,"",INDEX('Licences'!$R$4:$R$503,_calc!$E$106)))=0,"",IF(LEN(INDEX('Licences'!$R$4:$R$503,_calc!$E$106))=0,"",INDEX('Licences'!$R$4:$R$503,_calc!$E$106)))))</f>
        <v/>
      </c>
      <c r="G104" s="44">
        <f>IF(_calc!$E$106="","",IF(LEN(INDEX('Licences'!$Q$4:$Q$503,_calc!$E$106))=0,"",INDEX('Licences'!$Q$4:$Q$503,_calc!$E$106)))</f>
        <v/>
      </c>
      <c r="H104" s="44">
        <f>IF(_calc!$E$106="","",IF(LEN(INDEX('Licences'!$O$4:$O$503,_calc!$E$106))=0,"",INDEX('Licences'!$O$4:$O$503,_calc!$E$106)))</f>
        <v/>
      </c>
      <c r="I104" s="44">
        <f>IF(_calc!$E$106="","",IF(LEN(INDEX('Licences'!$P$4:$P$503,_calc!$E$106))=0,"",INDEX('Licences'!$P$4:$P$503,_calc!$E$106)))</f>
        <v/>
      </c>
      <c r="K104" s="44">
        <f>IF(_calc!$E$106="","",IF(LEN(INDEX('Licences'!$G$4:$G$503,_calc!$E$106))=0,"",INDEX('Licences'!$G$4:$G$503,_calc!$E$106)))</f>
        <v/>
      </c>
    </row>
    <row r="105">
      <c r="A105" s="44">
        <f>IF(_calc!$E$107="","",IF(LEN(INDEX('Licences'!$A$4:$A$503,_calc!$E$107))=0,"",INDEX('Licences'!$A$4:$A$503,_calc!$E$107)))</f>
        <v/>
      </c>
      <c r="B105" s="44">
        <f>IF(_calc!$E$107="","",IF(ISNUMBER(INDEX('Licences'!$J$4:$J$503,_calc!$E$107)),TEXT(INDEX('Licences'!$J$4:$J$503,_calc!$E$107),"yyyy-mm-dd"),""))</f>
        <v/>
      </c>
      <c r="C105" s="44">
        <f>IF(_calc!$E$107="","",IF(LEN(INDEX('Licences'!$B$4:$B$503,_calc!$E$107))=0,"",INDEX('Licences'!$B$4:$B$503,_calc!$E$107)))</f>
        <v/>
      </c>
      <c r="D105" s="44">
        <f>IF(_calc!$E$107="","",IF(ISNUMBER(INDEX('Licences'!$I$4:$I$503,_calc!$E$107)),TEXT(INDEX('Licences'!$I$4:$I$503,_calc!$E$107),"yyyy-mm-dd"),""))</f>
        <v/>
      </c>
      <c r="E105" s="44">
        <f>IF(_calc!$E$107="","",IF(LEN(INDEX('Licences'!$H$4:$H$503,_calc!$E$107))=0,"",INDEX('Licences'!$H$4:$H$503,_calc!$E$107)))</f>
        <v/>
      </c>
      <c r="F105" s="44">
        <f>IF(_calc!$E$107="","",TRIM(IF(LEN(IF(LEN(INDEX('Licences'!$D$4:$D$503,_calc!$E$107))=0,"",INDEX('Licences'!$D$4:$D$503,_calc!$E$107)))=0,"","Ref: "&amp;IF(LEN(INDEX('Licences'!$D$4:$D$503,_calc!$E$107))=0,"",INDEX('Licences'!$D$4:$D$503,_calc!$E$107))&amp;". ")&amp;IF(LEN(IF(LEN(INDEX('Licences'!$C$4:$C$503,_calc!$E$107))=0,"",INDEX('Licences'!$C$4:$C$503,_calc!$E$107)))=0,"","Issuer: "&amp;IF(LEN(INDEX('Licences'!$C$4:$C$503,_calc!$E$107))=0,"",INDEX('Licences'!$C$4:$C$503,_calc!$E$107))&amp;". ")&amp;IF(LEN(IF(LEN(INDEX('Licences'!$E$4:$E$503,_calc!$E$107))=0,"",INDEX('Licences'!$E$4:$E$503,_calc!$E$107)))=0,"","Site: "&amp;IF(LEN(INDEX('Licences'!$E$4:$E$503,_calc!$E$107))=0,"",INDEX('Licences'!$E$4:$E$503,_calc!$E$107))&amp;". ")&amp;IF(LEN(IF(LEN(INDEX('Licences'!$F$4:$F$503,_calc!$E$107))=0,"",INDEX('Licences'!$F$4:$F$503,_calc!$E$107)))=0,"","Owner: "&amp;IF(LEN(INDEX('Licences'!$F$4:$F$503,_calc!$E$107))=0,"",INDEX('Licences'!$F$4:$F$503,_calc!$E$107))&amp;". ")&amp;IF(LEN(IF(LEN(INDEX('Licences'!$R$4:$R$503,_calc!$E$107))=0,"",INDEX('Licences'!$R$4:$R$503,_calc!$E$107)))=0,"",IF(LEN(INDEX('Licences'!$R$4:$R$503,_calc!$E$107))=0,"",INDEX('Licences'!$R$4:$R$503,_calc!$E$107)))))</f>
        <v/>
      </c>
      <c r="G105" s="44">
        <f>IF(_calc!$E$107="","",IF(LEN(INDEX('Licences'!$Q$4:$Q$503,_calc!$E$107))=0,"",INDEX('Licences'!$Q$4:$Q$503,_calc!$E$107)))</f>
        <v/>
      </c>
      <c r="H105" s="44">
        <f>IF(_calc!$E$107="","",IF(LEN(INDEX('Licences'!$O$4:$O$503,_calc!$E$107))=0,"",INDEX('Licences'!$O$4:$O$503,_calc!$E$107)))</f>
        <v/>
      </c>
      <c r="I105" s="44">
        <f>IF(_calc!$E$107="","",IF(LEN(INDEX('Licences'!$P$4:$P$503,_calc!$E$107))=0,"",INDEX('Licences'!$P$4:$P$503,_calc!$E$107)))</f>
        <v/>
      </c>
      <c r="K105" s="44">
        <f>IF(_calc!$E$107="","",IF(LEN(INDEX('Licences'!$G$4:$G$503,_calc!$E$107))=0,"",INDEX('Licences'!$G$4:$G$503,_calc!$E$107)))</f>
        <v/>
      </c>
    </row>
    <row r="106">
      <c r="A106" s="44">
        <f>IF(_calc!$E$108="","",IF(LEN(INDEX('Licences'!$A$4:$A$503,_calc!$E$108))=0,"",INDEX('Licences'!$A$4:$A$503,_calc!$E$108)))</f>
        <v/>
      </c>
      <c r="B106" s="44">
        <f>IF(_calc!$E$108="","",IF(ISNUMBER(INDEX('Licences'!$J$4:$J$503,_calc!$E$108)),TEXT(INDEX('Licences'!$J$4:$J$503,_calc!$E$108),"yyyy-mm-dd"),""))</f>
        <v/>
      </c>
      <c r="C106" s="44">
        <f>IF(_calc!$E$108="","",IF(LEN(INDEX('Licences'!$B$4:$B$503,_calc!$E$108))=0,"",INDEX('Licences'!$B$4:$B$503,_calc!$E$108)))</f>
        <v/>
      </c>
      <c r="D106" s="44">
        <f>IF(_calc!$E$108="","",IF(ISNUMBER(INDEX('Licences'!$I$4:$I$503,_calc!$E$108)),TEXT(INDEX('Licences'!$I$4:$I$503,_calc!$E$108),"yyyy-mm-dd"),""))</f>
        <v/>
      </c>
      <c r="E106" s="44">
        <f>IF(_calc!$E$108="","",IF(LEN(INDEX('Licences'!$H$4:$H$503,_calc!$E$108))=0,"",INDEX('Licences'!$H$4:$H$503,_calc!$E$108)))</f>
        <v/>
      </c>
      <c r="F106" s="44">
        <f>IF(_calc!$E$108="","",TRIM(IF(LEN(IF(LEN(INDEX('Licences'!$D$4:$D$503,_calc!$E$108))=0,"",INDEX('Licences'!$D$4:$D$503,_calc!$E$108)))=0,"","Ref: "&amp;IF(LEN(INDEX('Licences'!$D$4:$D$503,_calc!$E$108))=0,"",INDEX('Licences'!$D$4:$D$503,_calc!$E$108))&amp;". ")&amp;IF(LEN(IF(LEN(INDEX('Licences'!$C$4:$C$503,_calc!$E$108))=0,"",INDEX('Licences'!$C$4:$C$503,_calc!$E$108)))=0,"","Issuer: "&amp;IF(LEN(INDEX('Licences'!$C$4:$C$503,_calc!$E$108))=0,"",INDEX('Licences'!$C$4:$C$503,_calc!$E$108))&amp;". ")&amp;IF(LEN(IF(LEN(INDEX('Licences'!$E$4:$E$503,_calc!$E$108))=0,"",INDEX('Licences'!$E$4:$E$503,_calc!$E$108)))=0,"","Site: "&amp;IF(LEN(INDEX('Licences'!$E$4:$E$503,_calc!$E$108))=0,"",INDEX('Licences'!$E$4:$E$503,_calc!$E$108))&amp;". ")&amp;IF(LEN(IF(LEN(INDEX('Licences'!$F$4:$F$503,_calc!$E$108))=0,"",INDEX('Licences'!$F$4:$F$503,_calc!$E$108)))=0,"","Owner: "&amp;IF(LEN(INDEX('Licences'!$F$4:$F$503,_calc!$E$108))=0,"",INDEX('Licences'!$F$4:$F$503,_calc!$E$108))&amp;". ")&amp;IF(LEN(IF(LEN(INDEX('Licences'!$R$4:$R$503,_calc!$E$108))=0,"",INDEX('Licences'!$R$4:$R$503,_calc!$E$108)))=0,"",IF(LEN(INDEX('Licences'!$R$4:$R$503,_calc!$E$108))=0,"",INDEX('Licences'!$R$4:$R$503,_calc!$E$108)))))</f>
        <v/>
      </c>
      <c r="G106" s="44">
        <f>IF(_calc!$E$108="","",IF(LEN(INDEX('Licences'!$Q$4:$Q$503,_calc!$E$108))=0,"",INDEX('Licences'!$Q$4:$Q$503,_calc!$E$108)))</f>
        <v/>
      </c>
      <c r="H106" s="44">
        <f>IF(_calc!$E$108="","",IF(LEN(INDEX('Licences'!$O$4:$O$503,_calc!$E$108))=0,"",INDEX('Licences'!$O$4:$O$503,_calc!$E$108)))</f>
        <v/>
      </c>
      <c r="I106" s="44">
        <f>IF(_calc!$E$108="","",IF(LEN(INDEX('Licences'!$P$4:$P$503,_calc!$E$108))=0,"",INDEX('Licences'!$P$4:$P$503,_calc!$E$108)))</f>
        <v/>
      </c>
      <c r="K106" s="44">
        <f>IF(_calc!$E$108="","",IF(LEN(INDEX('Licences'!$G$4:$G$503,_calc!$E$108))=0,"",INDEX('Licences'!$G$4:$G$503,_calc!$E$108)))</f>
        <v/>
      </c>
    </row>
    <row r="107">
      <c r="A107" s="44">
        <f>IF(_calc!$E$109="","",IF(LEN(INDEX('Licences'!$A$4:$A$503,_calc!$E$109))=0,"",INDEX('Licences'!$A$4:$A$503,_calc!$E$109)))</f>
        <v/>
      </c>
      <c r="B107" s="44">
        <f>IF(_calc!$E$109="","",IF(ISNUMBER(INDEX('Licences'!$J$4:$J$503,_calc!$E$109)),TEXT(INDEX('Licences'!$J$4:$J$503,_calc!$E$109),"yyyy-mm-dd"),""))</f>
        <v/>
      </c>
      <c r="C107" s="44">
        <f>IF(_calc!$E$109="","",IF(LEN(INDEX('Licences'!$B$4:$B$503,_calc!$E$109))=0,"",INDEX('Licences'!$B$4:$B$503,_calc!$E$109)))</f>
        <v/>
      </c>
      <c r="D107" s="44">
        <f>IF(_calc!$E$109="","",IF(ISNUMBER(INDEX('Licences'!$I$4:$I$503,_calc!$E$109)),TEXT(INDEX('Licences'!$I$4:$I$503,_calc!$E$109),"yyyy-mm-dd"),""))</f>
        <v/>
      </c>
      <c r="E107" s="44">
        <f>IF(_calc!$E$109="","",IF(LEN(INDEX('Licences'!$H$4:$H$503,_calc!$E$109))=0,"",INDEX('Licences'!$H$4:$H$503,_calc!$E$109)))</f>
        <v/>
      </c>
      <c r="F107" s="44">
        <f>IF(_calc!$E$109="","",TRIM(IF(LEN(IF(LEN(INDEX('Licences'!$D$4:$D$503,_calc!$E$109))=0,"",INDEX('Licences'!$D$4:$D$503,_calc!$E$109)))=0,"","Ref: "&amp;IF(LEN(INDEX('Licences'!$D$4:$D$503,_calc!$E$109))=0,"",INDEX('Licences'!$D$4:$D$503,_calc!$E$109))&amp;". ")&amp;IF(LEN(IF(LEN(INDEX('Licences'!$C$4:$C$503,_calc!$E$109))=0,"",INDEX('Licences'!$C$4:$C$503,_calc!$E$109)))=0,"","Issuer: "&amp;IF(LEN(INDEX('Licences'!$C$4:$C$503,_calc!$E$109))=0,"",INDEX('Licences'!$C$4:$C$503,_calc!$E$109))&amp;". ")&amp;IF(LEN(IF(LEN(INDEX('Licences'!$E$4:$E$503,_calc!$E$109))=0,"",INDEX('Licences'!$E$4:$E$503,_calc!$E$109)))=0,"","Site: "&amp;IF(LEN(INDEX('Licences'!$E$4:$E$503,_calc!$E$109))=0,"",INDEX('Licences'!$E$4:$E$503,_calc!$E$109))&amp;". ")&amp;IF(LEN(IF(LEN(INDEX('Licences'!$F$4:$F$503,_calc!$E$109))=0,"",INDEX('Licences'!$F$4:$F$503,_calc!$E$109)))=0,"","Owner: "&amp;IF(LEN(INDEX('Licences'!$F$4:$F$503,_calc!$E$109))=0,"",INDEX('Licences'!$F$4:$F$503,_calc!$E$109))&amp;". ")&amp;IF(LEN(IF(LEN(INDEX('Licences'!$R$4:$R$503,_calc!$E$109))=0,"",INDEX('Licences'!$R$4:$R$503,_calc!$E$109)))=0,"",IF(LEN(INDEX('Licences'!$R$4:$R$503,_calc!$E$109))=0,"",INDEX('Licences'!$R$4:$R$503,_calc!$E$109)))))</f>
        <v/>
      </c>
      <c r="G107" s="44">
        <f>IF(_calc!$E$109="","",IF(LEN(INDEX('Licences'!$Q$4:$Q$503,_calc!$E$109))=0,"",INDEX('Licences'!$Q$4:$Q$503,_calc!$E$109)))</f>
        <v/>
      </c>
      <c r="H107" s="44">
        <f>IF(_calc!$E$109="","",IF(LEN(INDEX('Licences'!$O$4:$O$503,_calc!$E$109))=0,"",INDEX('Licences'!$O$4:$O$503,_calc!$E$109)))</f>
        <v/>
      </c>
      <c r="I107" s="44">
        <f>IF(_calc!$E$109="","",IF(LEN(INDEX('Licences'!$P$4:$P$503,_calc!$E$109))=0,"",INDEX('Licences'!$P$4:$P$503,_calc!$E$109)))</f>
        <v/>
      </c>
      <c r="K107" s="44">
        <f>IF(_calc!$E$109="","",IF(LEN(INDEX('Licences'!$G$4:$G$503,_calc!$E$109))=0,"",INDEX('Licences'!$G$4:$G$503,_calc!$E$109)))</f>
        <v/>
      </c>
    </row>
    <row r="108">
      <c r="A108" s="44">
        <f>IF(_calc!$E$110="","",IF(LEN(INDEX('Licences'!$A$4:$A$503,_calc!$E$110))=0,"",INDEX('Licences'!$A$4:$A$503,_calc!$E$110)))</f>
        <v/>
      </c>
      <c r="B108" s="44">
        <f>IF(_calc!$E$110="","",IF(ISNUMBER(INDEX('Licences'!$J$4:$J$503,_calc!$E$110)),TEXT(INDEX('Licences'!$J$4:$J$503,_calc!$E$110),"yyyy-mm-dd"),""))</f>
        <v/>
      </c>
      <c r="C108" s="44">
        <f>IF(_calc!$E$110="","",IF(LEN(INDEX('Licences'!$B$4:$B$503,_calc!$E$110))=0,"",INDEX('Licences'!$B$4:$B$503,_calc!$E$110)))</f>
        <v/>
      </c>
      <c r="D108" s="44">
        <f>IF(_calc!$E$110="","",IF(ISNUMBER(INDEX('Licences'!$I$4:$I$503,_calc!$E$110)),TEXT(INDEX('Licences'!$I$4:$I$503,_calc!$E$110),"yyyy-mm-dd"),""))</f>
        <v/>
      </c>
      <c r="E108" s="44">
        <f>IF(_calc!$E$110="","",IF(LEN(INDEX('Licences'!$H$4:$H$503,_calc!$E$110))=0,"",INDEX('Licences'!$H$4:$H$503,_calc!$E$110)))</f>
        <v/>
      </c>
      <c r="F108" s="44">
        <f>IF(_calc!$E$110="","",TRIM(IF(LEN(IF(LEN(INDEX('Licences'!$D$4:$D$503,_calc!$E$110))=0,"",INDEX('Licences'!$D$4:$D$503,_calc!$E$110)))=0,"","Ref: "&amp;IF(LEN(INDEX('Licences'!$D$4:$D$503,_calc!$E$110))=0,"",INDEX('Licences'!$D$4:$D$503,_calc!$E$110))&amp;". ")&amp;IF(LEN(IF(LEN(INDEX('Licences'!$C$4:$C$503,_calc!$E$110))=0,"",INDEX('Licences'!$C$4:$C$503,_calc!$E$110)))=0,"","Issuer: "&amp;IF(LEN(INDEX('Licences'!$C$4:$C$503,_calc!$E$110))=0,"",INDEX('Licences'!$C$4:$C$503,_calc!$E$110))&amp;". ")&amp;IF(LEN(IF(LEN(INDEX('Licences'!$E$4:$E$503,_calc!$E$110))=0,"",INDEX('Licences'!$E$4:$E$503,_calc!$E$110)))=0,"","Site: "&amp;IF(LEN(INDEX('Licences'!$E$4:$E$503,_calc!$E$110))=0,"",INDEX('Licences'!$E$4:$E$503,_calc!$E$110))&amp;". ")&amp;IF(LEN(IF(LEN(INDEX('Licences'!$F$4:$F$503,_calc!$E$110))=0,"",INDEX('Licences'!$F$4:$F$503,_calc!$E$110)))=0,"","Owner: "&amp;IF(LEN(INDEX('Licences'!$F$4:$F$503,_calc!$E$110))=0,"",INDEX('Licences'!$F$4:$F$503,_calc!$E$110))&amp;". ")&amp;IF(LEN(IF(LEN(INDEX('Licences'!$R$4:$R$503,_calc!$E$110))=0,"",INDEX('Licences'!$R$4:$R$503,_calc!$E$110)))=0,"",IF(LEN(INDEX('Licences'!$R$4:$R$503,_calc!$E$110))=0,"",INDEX('Licences'!$R$4:$R$503,_calc!$E$110)))))</f>
        <v/>
      </c>
      <c r="G108" s="44">
        <f>IF(_calc!$E$110="","",IF(LEN(INDEX('Licences'!$Q$4:$Q$503,_calc!$E$110))=0,"",INDEX('Licences'!$Q$4:$Q$503,_calc!$E$110)))</f>
        <v/>
      </c>
      <c r="H108" s="44">
        <f>IF(_calc!$E$110="","",IF(LEN(INDEX('Licences'!$O$4:$O$503,_calc!$E$110))=0,"",INDEX('Licences'!$O$4:$O$503,_calc!$E$110)))</f>
        <v/>
      </c>
      <c r="I108" s="44">
        <f>IF(_calc!$E$110="","",IF(LEN(INDEX('Licences'!$P$4:$P$503,_calc!$E$110))=0,"",INDEX('Licences'!$P$4:$P$503,_calc!$E$110)))</f>
        <v/>
      </c>
      <c r="K108" s="44">
        <f>IF(_calc!$E$110="","",IF(LEN(INDEX('Licences'!$G$4:$G$503,_calc!$E$110))=0,"",INDEX('Licences'!$G$4:$G$503,_calc!$E$110)))</f>
        <v/>
      </c>
    </row>
    <row r="109">
      <c r="A109" s="44">
        <f>IF(_calc!$E$111="","",IF(LEN(INDEX('Licences'!$A$4:$A$503,_calc!$E$111))=0,"",INDEX('Licences'!$A$4:$A$503,_calc!$E$111)))</f>
        <v/>
      </c>
      <c r="B109" s="44">
        <f>IF(_calc!$E$111="","",IF(ISNUMBER(INDEX('Licences'!$J$4:$J$503,_calc!$E$111)),TEXT(INDEX('Licences'!$J$4:$J$503,_calc!$E$111),"yyyy-mm-dd"),""))</f>
        <v/>
      </c>
      <c r="C109" s="44">
        <f>IF(_calc!$E$111="","",IF(LEN(INDEX('Licences'!$B$4:$B$503,_calc!$E$111))=0,"",INDEX('Licences'!$B$4:$B$503,_calc!$E$111)))</f>
        <v/>
      </c>
      <c r="D109" s="44">
        <f>IF(_calc!$E$111="","",IF(ISNUMBER(INDEX('Licences'!$I$4:$I$503,_calc!$E$111)),TEXT(INDEX('Licences'!$I$4:$I$503,_calc!$E$111),"yyyy-mm-dd"),""))</f>
        <v/>
      </c>
      <c r="E109" s="44">
        <f>IF(_calc!$E$111="","",IF(LEN(INDEX('Licences'!$H$4:$H$503,_calc!$E$111))=0,"",INDEX('Licences'!$H$4:$H$503,_calc!$E$111)))</f>
        <v/>
      </c>
      <c r="F109" s="44">
        <f>IF(_calc!$E$111="","",TRIM(IF(LEN(IF(LEN(INDEX('Licences'!$D$4:$D$503,_calc!$E$111))=0,"",INDEX('Licences'!$D$4:$D$503,_calc!$E$111)))=0,"","Ref: "&amp;IF(LEN(INDEX('Licences'!$D$4:$D$503,_calc!$E$111))=0,"",INDEX('Licences'!$D$4:$D$503,_calc!$E$111))&amp;". ")&amp;IF(LEN(IF(LEN(INDEX('Licences'!$C$4:$C$503,_calc!$E$111))=0,"",INDEX('Licences'!$C$4:$C$503,_calc!$E$111)))=0,"","Issuer: "&amp;IF(LEN(INDEX('Licences'!$C$4:$C$503,_calc!$E$111))=0,"",INDEX('Licences'!$C$4:$C$503,_calc!$E$111))&amp;". ")&amp;IF(LEN(IF(LEN(INDEX('Licences'!$E$4:$E$503,_calc!$E$111))=0,"",INDEX('Licences'!$E$4:$E$503,_calc!$E$111)))=0,"","Site: "&amp;IF(LEN(INDEX('Licences'!$E$4:$E$503,_calc!$E$111))=0,"",INDEX('Licences'!$E$4:$E$503,_calc!$E$111))&amp;". ")&amp;IF(LEN(IF(LEN(INDEX('Licences'!$F$4:$F$503,_calc!$E$111))=0,"",INDEX('Licences'!$F$4:$F$503,_calc!$E$111)))=0,"","Owner: "&amp;IF(LEN(INDEX('Licences'!$F$4:$F$503,_calc!$E$111))=0,"",INDEX('Licences'!$F$4:$F$503,_calc!$E$111))&amp;". ")&amp;IF(LEN(IF(LEN(INDEX('Licences'!$R$4:$R$503,_calc!$E$111))=0,"",INDEX('Licences'!$R$4:$R$503,_calc!$E$111)))=0,"",IF(LEN(INDEX('Licences'!$R$4:$R$503,_calc!$E$111))=0,"",INDEX('Licences'!$R$4:$R$503,_calc!$E$111)))))</f>
        <v/>
      </c>
      <c r="G109" s="44">
        <f>IF(_calc!$E$111="","",IF(LEN(INDEX('Licences'!$Q$4:$Q$503,_calc!$E$111))=0,"",INDEX('Licences'!$Q$4:$Q$503,_calc!$E$111)))</f>
        <v/>
      </c>
      <c r="H109" s="44">
        <f>IF(_calc!$E$111="","",IF(LEN(INDEX('Licences'!$O$4:$O$503,_calc!$E$111))=0,"",INDEX('Licences'!$O$4:$O$503,_calc!$E$111)))</f>
        <v/>
      </c>
      <c r="I109" s="44">
        <f>IF(_calc!$E$111="","",IF(LEN(INDEX('Licences'!$P$4:$P$503,_calc!$E$111))=0,"",INDEX('Licences'!$P$4:$P$503,_calc!$E$111)))</f>
        <v/>
      </c>
      <c r="K109" s="44">
        <f>IF(_calc!$E$111="","",IF(LEN(INDEX('Licences'!$G$4:$G$503,_calc!$E$111))=0,"",INDEX('Licences'!$G$4:$G$503,_calc!$E$111)))</f>
        <v/>
      </c>
    </row>
    <row r="110">
      <c r="A110" s="44">
        <f>IF(_calc!$E$112="","",IF(LEN(INDEX('Licences'!$A$4:$A$503,_calc!$E$112))=0,"",INDEX('Licences'!$A$4:$A$503,_calc!$E$112)))</f>
        <v/>
      </c>
      <c r="B110" s="44">
        <f>IF(_calc!$E$112="","",IF(ISNUMBER(INDEX('Licences'!$J$4:$J$503,_calc!$E$112)),TEXT(INDEX('Licences'!$J$4:$J$503,_calc!$E$112),"yyyy-mm-dd"),""))</f>
        <v/>
      </c>
      <c r="C110" s="44">
        <f>IF(_calc!$E$112="","",IF(LEN(INDEX('Licences'!$B$4:$B$503,_calc!$E$112))=0,"",INDEX('Licences'!$B$4:$B$503,_calc!$E$112)))</f>
        <v/>
      </c>
      <c r="D110" s="44">
        <f>IF(_calc!$E$112="","",IF(ISNUMBER(INDEX('Licences'!$I$4:$I$503,_calc!$E$112)),TEXT(INDEX('Licences'!$I$4:$I$503,_calc!$E$112),"yyyy-mm-dd"),""))</f>
        <v/>
      </c>
      <c r="E110" s="44">
        <f>IF(_calc!$E$112="","",IF(LEN(INDEX('Licences'!$H$4:$H$503,_calc!$E$112))=0,"",INDEX('Licences'!$H$4:$H$503,_calc!$E$112)))</f>
        <v/>
      </c>
      <c r="F110" s="44">
        <f>IF(_calc!$E$112="","",TRIM(IF(LEN(IF(LEN(INDEX('Licences'!$D$4:$D$503,_calc!$E$112))=0,"",INDEX('Licences'!$D$4:$D$503,_calc!$E$112)))=0,"","Ref: "&amp;IF(LEN(INDEX('Licences'!$D$4:$D$503,_calc!$E$112))=0,"",INDEX('Licences'!$D$4:$D$503,_calc!$E$112))&amp;". ")&amp;IF(LEN(IF(LEN(INDEX('Licences'!$C$4:$C$503,_calc!$E$112))=0,"",INDEX('Licences'!$C$4:$C$503,_calc!$E$112)))=0,"","Issuer: "&amp;IF(LEN(INDEX('Licences'!$C$4:$C$503,_calc!$E$112))=0,"",INDEX('Licences'!$C$4:$C$503,_calc!$E$112))&amp;". ")&amp;IF(LEN(IF(LEN(INDEX('Licences'!$E$4:$E$503,_calc!$E$112))=0,"",INDEX('Licences'!$E$4:$E$503,_calc!$E$112)))=0,"","Site: "&amp;IF(LEN(INDEX('Licences'!$E$4:$E$503,_calc!$E$112))=0,"",INDEX('Licences'!$E$4:$E$503,_calc!$E$112))&amp;". ")&amp;IF(LEN(IF(LEN(INDEX('Licences'!$F$4:$F$503,_calc!$E$112))=0,"",INDEX('Licences'!$F$4:$F$503,_calc!$E$112)))=0,"","Owner: "&amp;IF(LEN(INDEX('Licences'!$F$4:$F$503,_calc!$E$112))=0,"",INDEX('Licences'!$F$4:$F$503,_calc!$E$112))&amp;". ")&amp;IF(LEN(IF(LEN(INDEX('Licences'!$R$4:$R$503,_calc!$E$112))=0,"",INDEX('Licences'!$R$4:$R$503,_calc!$E$112)))=0,"",IF(LEN(INDEX('Licences'!$R$4:$R$503,_calc!$E$112))=0,"",INDEX('Licences'!$R$4:$R$503,_calc!$E$112)))))</f>
        <v/>
      </c>
      <c r="G110" s="44">
        <f>IF(_calc!$E$112="","",IF(LEN(INDEX('Licences'!$Q$4:$Q$503,_calc!$E$112))=0,"",INDEX('Licences'!$Q$4:$Q$503,_calc!$E$112)))</f>
        <v/>
      </c>
      <c r="H110" s="44">
        <f>IF(_calc!$E$112="","",IF(LEN(INDEX('Licences'!$O$4:$O$503,_calc!$E$112))=0,"",INDEX('Licences'!$O$4:$O$503,_calc!$E$112)))</f>
        <v/>
      </c>
      <c r="I110" s="44">
        <f>IF(_calc!$E$112="","",IF(LEN(INDEX('Licences'!$P$4:$P$503,_calc!$E$112))=0,"",INDEX('Licences'!$P$4:$P$503,_calc!$E$112)))</f>
        <v/>
      </c>
      <c r="K110" s="44">
        <f>IF(_calc!$E$112="","",IF(LEN(INDEX('Licences'!$G$4:$G$503,_calc!$E$112))=0,"",INDEX('Licences'!$G$4:$G$503,_calc!$E$112)))</f>
        <v/>
      </c>
    </row>
    <row r="111">
      <c r="A111" s="44">
        <f>IF(_calc!$E$113="","",IF(LEN(INDEX('Licences'!$A$4:$A$503,_calc!$E$113))=0,"",INDEX('Licences'!$A$4:$A$503,_calc!$E$113)))</f>
        <v/>
      </c>
      <c r="B111" s="44">
        <f>IF(_calc!$E$113="","",IF(ISNUMBER(INDEX('Licences'!$J$4:$J$503,_calc!$E$113)),TEXT(INDEX('Licences'!$J$4:$J$503,_calc!$E$113),"yyyy-mm-dd"),""))</f>
        <v/>
      </c>
      <c r="C111" s="44">
        <f>IF(_calc!$E$113="","",IF(LEN(INDEX('Licences'!$B$4:$B$503,_calc!$E$113))=0,"",INDEX('Licences'!$B$4:$B$503,_calc!$E$113)))</f>
        <v/>
      </c>
      <c r="D111" s="44">
        <f>IF(_calc!$E$113="","",IF(ISNUMBER(INDEX('Licences'!$I$4:$I$503,_calc!$E$113)),TEXT(INDEX('Licences'!$I$4:$I$503,_calc!$E$113),"yyyy-mm-dd"),""))</f>
        <v/>
      </c>
      <c r="E111" s="44">
        <f>IF(_calc!$E$113="","",IF(LEN(INDEX('Licences'!$H$4:$H$503,_calc!$E$113))=0,"",INDEX('Licences'!$H$4:$H$503,_calc!$E$113)))</f>
        <v/>
      </c>
      <c r="F111" s="44">
        <f>IF(_calc!$E$113="","",TRIM(IF(LEN(IF(LEN(INDEX('Licences'!$D$4:$D$503,_calc!$E$113))=0,"",INDEX('Licences'!$D$4:$D$503,_calc!$E$113)))=0,"","Ref: "&amp;IF(LEN(INDEX('Licences'!$D$4:$D$503,_calc!$E$113))=0,"",INDEX('Licences'!$D$4:$D$503,_calc!$E$113))&amp;". ")&amp;IF(LEN(IF(LEN(INDEX('Licences'!$C$4:$C$503,_calc!$E$113))=0,"",INDEX('Licences'!$C$4:$C$503,_calc!$E$113)))=0,"","Issuer: "&amp;IF(LEN(INDEX('Licences'!$C$4:$C$503,_calc!$E$113))=0,"",INDEX('Licences'!$C$4:$C$503,_calc!$E$113))&amp;". ")&amp;IF(LEN(IF(LEN(INDEX('Licences'!$E$4:$E$503,_calc!$E$113))=0,"",INDEX('Licences'!$E$4:$E$503,_calc!$E$113)))=0,"","Site: "&amp;IF(LEN(INDEX('Licences'!$E$4:$E$503,_calc!$E$113))=0,"",INDEX('Licences'!$E$4:$E$503,_calc!$E$113))&amp;". ")&amp;IF(LEN(IF(LEN(INDEX('Licences'!$F$4:$F$503,_calc!$E$113))=0,"",INDEX('Licences'!$F$4:$F$503,_calc!$E$113)))=0,"","Owner: "&amp;IF(LEN(INDEX('Licences'!$F$4:$F$503,_calc!$E$113))=0,"",INDEX('Licences'!$F$4:$F$503,_calc!$E$113))&amp;". ")&amp;IF(LEN(IF(LEN(INDEX('Licences'!$R$4:$R$503,_calc!$E$113))=0,"",INDEX('Licences'!$R$4:$R$503,_calc!$E$113)))=0,"",IF(LEN(INDEX('Licences'!$R$4:$R$503,_calc!$E$113))=0,"",INDEX('Licences'!$R$4:$R$503,_calc!$E$113)))))</f>
        <v/>
      </c>
      <c r="G111" s="44">
        <f>IF(_calc!$E$113="","",IF(LEN(INDEX('Licences'!$Q$4:$Q$503,_calc!$E$113))=0,"",INDEX('Licences'!$Q$4:$Q$503,_calc!$E$113)))</f>
        <v/>
      </c>
      <c r="H111" s="44">
        <f>IF(_calc!$E$113="","",IF(LEN(INDEX('Licences'!$O$4:$O$503,_calc!$E$113))=0,"",INDEX('Licences'!$O$4:$O$503,_calc!$E$113)))</f>
        <v/>
      </c>
      <c r="I111" s="44">
        <f>IF(_calc!$E$113="","",IF(LEN(INDEX('Licences'!$P$4:$P$503,_calc!$E$113))=0,"",INDEX('Licences'!$P$4:$P$503,_calc!$E$113)))</f>
        <v/>
      </c>
      <c r="K111" s="44">
        <f>IF(_calc!$E$113="","",IF(LEN(INDEX('Licences'!$G$4:$G$503,_calc!$E$113))=0,"",INDEX('Licences'!$G$4:$G$503,_calc!$E$113)))</f>
        <v/>
      </c>
    </row>
    <row r="112">
      <c r="A112" s="44">
        <f>IF(_calc!$E$114="","",IF(LEN(INDEX('Licences'!$A$4:$A$503,_calc!$E$114))=0,"",INDEX('Licences'!$A$4:$A$503,_calc!$E$114)))</f>
        <v/>
      </c>
      <c r="B112" s="44">
        <f>IF(_calc!$E$114="","",IF(ISNUMBER(INDEX('Licences'!$J$4:$J$503,_calc!$E$114)),TEXT(INDEX('Licences'!$J$4:$J$503,_calc!$E$114),"yyyy-mm-dd"),""))</f>
        <v/>
      </c>
      <c r="C112" s="44">
        <f>IF(_calc!$E$114="","",IF(LEN(INDEX('Licences'!$B$4:$B$503,_calc!$E$114))=0,"",INDEX('Licences'!$B$4:$B$503,_calc!$E$114)))</f>
        <v/>
      </c>
      <c r="D112" s="44">
        <f>IF(_calc!$E$114="","",IF(ISNUMBER(INDEX('Licences'!$I$4:$I$503,_calc!$E$114)),TEXT(INDEX('Licences'!$I$4:$I$503,_calc!$E$114),"yyyy-mm-dd"),""))</f>
        <v/>
      </c>
      <c r="E112" s="44">
        <f>IF(_calc!$E$114="","",IF(LEN(INDEX('Licences'!$H$4:$H$503,_calc!$E$114))=0,"",INDEX('Licences'!$H$4:$H$503,_calc!$E$114)))</f>
        <v/>
      </c>
      <c r="F112" s="44">
        <f>IF(_calc!$E$114="","",TRIM(IF(LEN(IF(LEN(INDEX('Licences'!$D$4:$D$503,_calc!$E$114))=0,"",INDEX('Licences'!$D$4:$D$503,_calc!$E$114)))=0,"","Ref: "&amp;IF(LEN(INDEX('Licences'!$D$4:$D$503,_calc!$E$114))=0,"",INDEX('Licences'!$D$4:$D$503,_calc!$E$114))&amp;". ")&amp;IF(LEN(IF(LEN(INDEX('Licences'!$C$4:$C$503,_calc!$E$114))=0,"",INDEX('Licences'!$C$4:$C$503,_calc!$E$114)))=0,"","Issuer: "&amp;IF(LEN(INDEX('Licences'!$C$4:$C$503,_calc!$E$114))=0,"",INDEX('Licences'!$C$4:$C$503,_calc!$E$114))&amp;". ")&amp;IF(LEN(IF(LEN(INDEX('Licences'!$E$4:$E$503,_calc!$E$114))=0,"",INDEX('Licences'!$E$4:$E$503,_calc!$E$114)))=0,"","Site: "&amp;IF(LEN(INDEX('Licences'!$E$4:$E$503,_calc!$E$114))=0,"",INDEX('Licences'!$E$4:$E$503,_calc!$E$114))&amp;". ")&amp;IF(LEN(IF(LEN(INDEX('Licences'!$F$4:$F$503,_calc!$E$114))=0,"",INDEX('Licences'!$F$4:$F$503,_calc!$E$114)))=0,"","Owner: "&amp;IF(LEN(INDEX('Licences'!$F$4:$F$503,_calc!$E$114))=0,"",INDEX('Licences'!$F$4:$F$503,_calc!$E$114))&amp;". ")&amp;IF(LEN(IF(LEN(INDEX('Licences'!$R$4:$R$503,_calc!$E$114))=0,"",INDEX('Licences'!$R$4:$R$503,_calc!$E$114)))=0,"",IF(LEN(INDEX('Licences'!$R$4:$R$503,_calc!$E$114))=0,"",INDEX('Licences'!$R$4:$R$503,_calc!$E$114)))))</f>
        <v/>
      </c>
      <c r="G112" s="44">
        <f>IF(_calc!$E$114="","",IF(LEN(INDEX('Licences'!$Q$4:$Q$503,_calc!$E$114))=0,"",INDEX('Licences'!$Q$4:$Q$503,_calc!$E$114)))</f>
        <v/>
      </c>
      <c r="H112" s="44">
        <f>IF(_calc!$E$114="","",IF(LEN(INDEX('Licences'!$O$4:$O$503,_calc!$E$114))=0,"",INDEX('Licences'!$O$4:$O$503,_calc!$E$114)))</f>
        <v/>
      </c>
      <c r="I112" s="44">
        <f>IF(_calc!$E$114="","",IF(LEN(INDEX('Licences'!$P$4:$P$503,_calc!$E$114))=0,"",INDEX('Licences'!$P$4:$P$503,_calc!$E$114)))</f>
        <v/>
      </c>
      <c r="K112" s="44">
        <f>IF(_calc!$E$114="","",IF(LEN(INDEX('Licences'!$G$4:$G$503,_calc!$E$114))=0,"",INDEX('Licences'!$G$4:$G$503,_calc!$E$114)))</f>
        <v/>
      </c>
    </row>
    <row r="113">
      <c r="A113" s="44">
        <f>IF(_calc!$E$115="","",IF(LEN(INDEX('Licences'!$A$4:$A$503,_calc!$E$115))=0,"",INDEX('Licences'!$A$4:$A$503,_calc!$E$115)))</f>
        <v/>
      </c>
      <c r="B113" s="44">
        <f>IF(_calc!$E$115="","",IF(ISNUMBER(INDEX('Licences'!$J$4:$J$503,_calc!$E$115)),TEXT(INDEX('Licences'!$J$4:$J$503,_calc!$E$115),"yyyy-mm-dd"),""))</f>
        <v/>
      </c>
      <c r="C113" s="44">
        <f>IF(_calc!$E$115="","",IF(LEN(INDEX('Licences'!$B$4:$B$503,_calc!$E$115))=0,"",INDEX('Licences'!$B$4:$B$503,_calc!$E$115)))</f>
        <v/>
      </c>
      <c r="D113" s="44">
        <f>IF(_calc!$E$115="","",IF(ISNUMBER(INDEX('Licences'!$I$4:$I$503,_calc!$E$115)),TEXT(INDEX('Licences'!$I$4:$I$503,_calc!$E$115),"yyyy-mm-dd"),""))</f>
        <v/>
      </c>
      <c r="E113" s="44">
        <f>IF(_calc!$E$115="","",IF(LEN(INDEX('Licences'!$H$4:$H$503,_calc!$E$115))=0,"",INDEX('Licences'!$H$4:$H$503,_calc!$E$115)))</f>
        <v/>
      </c>
      <c r="F113" s="44">
        <f>IF(_calc!$E$115="","",TRIM(IF(LEN(IF(LEN(INDEX('Licences'!$D$4:$D$503,_calc!$E$115))=0,"",INDEX('Licences'!$D$4:$D$503,_calc!$E$115)))=0,"","Ref: "&amp;IF(LEN(INDEX('Licences'!$D$4:$D$503,_calc!$E$115))=0,"",INDEX('Licences'!$D$4:$D$503,_calc!$E$115))&amp;". ")&amp;IF(LEN(IF(LEN(INDEX('Licences'!$C$4:$C$503,_calc!$E$115))=0,"",INDEX('Licences'!$C$4:$C$503,_calc!$E$115)))=0,"","Issuer: "&amp;IF(LEN(INDEX('Licences'!$C$4:$C$503,_calc!$E$115))=0,"",INDEX('Licences'!$C$4:$C$503,_calc!$E$115))&amp;". ")&amp;IF(LEN(IF(LEN(INDEX('Licences'!$E$4:$E$503,_calc!$E$115))=0,"",INDEX('Licences'!$E$4:$E$503,_calc!$E$115)))=0,"","Site: "&amp;IF(LEN(INDEX('Licences'!$E$4:$E$503,_calc!$E$115))=0,"",INDEX('Licences'!$E$4:$E$503,_calc!$E$115))&amp;". ")&amp;IF(LEN(IF(LEN(INDEX('Licences'!$F$4:$F$503,_calc!$E$115))=0,"",INDEX('Licences'!$F$4:$F$503,_calc!$E$115)))=0,"","Owner: "&amp;IF(LEN(INDEX('Licences'!$F$4:$F$503,_calc!$E$115))=0,"",INDEX('Licences'!$F$4:$F$503,_calc!$E$115))&amp;". ")&amp;IF(LEN(IF(LEN(INDEX('Licences'!$R$4:$R$503,_calc!$E$115))=0,"",INDEX('Licences'!$R$4:$R$503,_calc!$E$115)))=0,"",IF(LEN(INDEX('Licences'!$R$4:$R$503,_calc!$E$115))=0,"",INDEX('Licences'!$R$4:$R$503,_calc!$E$115)))))</f>
        <v/>
      </c>
      <c r="G113" s="44">
        <f>IF(_calc!$E$115="","",IF(LEN(INDEX('Licences'!$Q$4:$Q$503,_calc!$E$115))=0,"",INDEX('Licences'!$Q$4:$Q$503,_calc!$E$115)))</f>
        <v/>
      </c>
      <c r="H113" s="44">
        <f>IF(_calc!$E$115="","",IF(LEN(INDEX('Licences'!$O$4:$O$503,_calc!$E$115))=0,"",INDEX('Licences'!$O$4:$O$503,_calc!$E$115)))</f>
        <v/>
      </c>
      <c r="I113" s="44">
        <f>IF(_calc!$E$115="","",IF(LEN(INDEX('Licences'!$P$4:$P$503,_calc!$E$115))=0,"",INDEX('Licences'!$P$4:$P$503,_calc!$E$115)))</f>
        <v/>
      </c>
      <c r="K113" s="44">
        <f>IF(_calc!$E$115="","",IF(LEN(INDEX('Licences'!$G$4:$G$503,_calc!$E$115))=0,"",INDEX('Licences'!$G$4:$G$503,_calc!$E$115)))</f>
        <v/>
      </c>
    </row>
    <row r="114">
      <c r="A114" s="44">
        <f>IF(_calc!$E$116="","",IF(LEN(INDEX('Licences'!$A$4:$A$503,_calc!$E$116))=0,"",INDEX('Licences'!$A$4:$A$503,_calc!$E$116)))</f>
        <v/>
      </c>
      <c r="B114" s="44">
        <f>IF(_calc!$E$116="","",IF(ISNUMBER(INDEX('Licences'!$J$4:$J$503,_calc!$E$116)),TEXT(INDEX('Licences'!$J$4:$J$503,_calc!$E$116),"yyyy-mm-dd"),""))</f>
        <v/>
      </c>
      <c r="C114" s="44">
        <f>IF(_calc!$E$116="","",IF(LEN(INDEX('Licences'!$B$4:$B$503,_calc!$E$116))=0,"",INDEX('Licences'!$B$4:$B$503,_calc!$E$116)))</f>
        <v/>
      </c>
      <c r="D114" s="44">
        <f>IF(_calc!$E$116="","",IF(ISNUMBER(INDEX('Licences'!$I$4:$I$503,_calc!$E$116)),TEXT(INDEX('Licences'!$I$4:$I$503,_calc!$E$116),"yyyy-mm-dd"),""))</f>
        <v/>
      </c>
      <c r="E114" s="44">
        <f>IF(_calc!$E$116="","",IF(LEN(INDEX('Licences'!$H$4:$H$503,_calc!$E$116))=0,"",INDEX('Licences'!$H$4:$H$503,_calc!$E$116)))</f>
        <v/>
      </c>
      <c r="F114" s="44">
        <f>IF(_calc!$E$116="","",TRIM(IF(LEN(IF(LEN(INDEX('Licences'!$D$4:$D$503,_calc!$E$116))=0,"",INDEX('Licences'!$D$4:$D$503,_calc!$E$116)))=0,"","Ref: "&amp;IF(LEN(INDEX('Licences'!$D$4:$D$503,_calc!$E$116))=0,"",INDEX('Licences'!$D$4:$D$503,_calc!$E$116))&amp;". ")&amp;IF(LEN(IF(LEN(INDEX('Licences'!$C$4:$C$503,_calc!$E$116))=0,"",INDEX('Licences'!$C$4:$C$503,_calc!$E$116)))=0,"","Issuer: "&amp;IF(LEN(INDEX('Licences'!$C$4:$C$503,_calc!$E$116))=0,"",INDEX('Licences'!$C$4:$C$503,_calc!$E$116))&amp;". ")&amp;IF(LEN(IF(LEN(INDEX('Licences'!$E$4:$E$503,_calc!$E$116))=0,"",INDEX('Licences'!$E$4:$E$503,_calc!$E$116)))=0,"","Site: "&amp;IF(LEN(INDEX('Licences'!$E$4:$E$503,_calc!$E$116))=0,"",INDEX('Licences'!$E$4:$E$503,_calc!$E$116))&amp;". ")&amp;IF(LEN(IF(LEN(INDEX('Licences'!$F$4:$F$503,_calc!$E$116))=0,"",INDEX('Licences'!$F$4:$F$503,_calc!$E$116)))=0,"","Owner: "&amp;IF(LEN(INDEX('Licences'!$F$4:$F$503,_calc!$E$116))=0,"",INDEX('Licences'!$F$4:$F$503,_calc!$E$116))&amp;". ")&amp;IF(LEN(IF(LEN(INDEX('Licences'!$R$4:$R$503,_calc!$E$116))=0,"",INDEX('Licences'!$R$4:$R$503,_calc!$E$116)))=0,"",IF(LEN(INDEX('Licences'!$R$4:$R$503,_calc!$E$116))=0,"",INDEX('Licences'!$R$4:$R$503,_calc!$E$116)))))</f>
        <v/>
      </c>
      <c r="G114" s="44">
        <f>IF(_calc!$E$116="","",IF(LEN(INDEX('Licences'!$Q$4:$Q$503,_calc!$E$116))=0,"",INDEX('Licences'!$Q$4:$Q$503,_calc!$E$116)))</f>
        <v/>
      </c>
      <c r="H114" s="44">
        <f>IF(_calc!$E$116="","",IF(LEN(INDEX('Licences'!$O$4:$O$503,_calc!$E$116))=0,"",INDEX('Licences'!$O$4:$O$503,_calc!$E$116)))</f>
        <v/>
      </c>
      <c r="I114" s="44">
        <f>IF(_calc!$E$116="","",IF(LEN(INDEX('Licences'!$P$4:$P$503,_calc!$E$116))=0,"",INDEX('Licences'!$P$4:$P$503,_calc!$E$116)))</f>
        <v/>
      </c>
      <c r="K114" s="44">
        <f>IF(_calc!$E$116="","",IF(LEN(INDEX('Licences'!$G$4:$G$503,_calc!$E$116))=0,"",INDEX('Licences'!$G$4:$G$503,_calc!$E$116)))</f>
        <v/>
      </c>
    </row>
    <row r="115">
      <c r="A115" s="44">
        <f>IF(_calc!$E$117="","",IF(LEN(INDEX('Licences'!$A$4:$A$503,_calc!$E$117))=0,"",INDEX('Licences'!$A$4:$A$503,_calc!$E$117)))</f>
        <v/>
      </c>
      <c r="B115" s="44">
        <f>IF(_calc!$E$117="","",IF(ISNUMBER(INDEX('Licences'!$J$4:$J$503,_calc!$E$117)),TEXT(INDEX('Licences'!$J$4:$J$503,_calc!$E$117),"yyyy-mm-dd"),""))</f>
        <v/>
      </c>
      <c r="C115" s="44">
        <f>IF(_calc!$E$117="","",IF(LEN(INDEX('Licences'!$B$4:$B$503,_calc!$E$117))=0,"",INDEX('Licences'!$B$4:$B$503,_calc!$E$117)))</f>
        <v/>
      </c>
      <c r="D115" s="44">
        <f>IF(_calc!$E$117="","",IF(ISNUMBER(INDEX('Licences'!$I$4:$I$503,_calc!$E$117)),TEXT(INDEX('Licences'!$I$4:$I$503,_calc!$E$117),"yyyy-mm-dd"),""))</f>
        <v/>
      </c>
      <c r="E115" s="44">
        <f>IF(_calc!$E$117="","",IF(LEN(INDEX('Licences'!$H$4:$H$503,_calc!$E$117))=0,"",INDEX('Licences'!$H$4:$H$503,_calc!$E$117)))</f>
        <v/>
      </c>
      <c r="F115" s="44">
        <f>IF(_calc!$E$117="","",TRIM(IF(LEN(IF(LEN(INDEX('Licences'!$D$4:$D$503,_calc!$E$117))=0,"",INDEX('Licences'!$D$4:$D$503,_calc!$E$117)))=0,"","Ref: "&amp;IF(LEN(INDEX('Licences'!$D$4:$D$503,_calc!$E$117))=0,"",INDEX('Licences'!$D$4:$D$503,_calc!$E$117))&amp;". ")&amp;IF(LEN(IF(LEN(INDEX('Licences'!$C$4:$C$503,_calc!$E$117))=0,"",INDEX('Licences'!$C$4:$C$503,_calc!$E$117)))=0,"","Issuer: "&amp;IF(LEN(INDEX('Licences'!$C$4:$C$503,_calc!$E$117))=0,"",INDEX('Licences'!$C$4:$C$503,_calc!$E$117))&amp;". ")&amp;IF(LEN(IF(LEN(INDEX('Licences'!$E$4:$E$503,_calc!$E$117))=0,"",INDEX('Licences'!$E$4:$E$503,_calc!$E$117)))=0,"","Site: "&amp;IF(LEN(INDEX('Licences'!$E$4:$E$503,_calc!$E$117))=0,"",INDEX('Licences'!$E$4:$E$503,_calc!$E$117))&amp;". ")&amp;IF(LEN(IF(LEN(INDEX('Licences'!$F$4:$F$503,_calc!$E$117))=0,"",INDEX('Licences'!$F$4:$F$503,_calc!$E$117)))=0,"","Owner: "&amp;IF(LEN(INDEX('Licences'!$F$4:$F$503,_calc!$E$117))=0,"",INDEX('Licences'!$F$4:$F$503,_calc!$E$117))&amp;". ")&amp;IF(LEN(IF(LEN(INDEX('Licences'!$R$4:$R$503,_calc!$E$117))=0,"",INDEX('Licences'!$R$4:$R$503,_calc!$E$117)))=0,"",IF(LEN(INDEX('Licences'!$R$4:$R$503,_calc!$E$117))=0,"",INDEX('Licences'!$R$4:$R$503,_calc!$E$117)))))</f>
        <v/>
      </c>
      <c r="G115" s="44">
        <f>IF(_calc!$E$117="","",IF(LEN(INDEX('Licences'!$Q$4:$Q$503,_calc!$E$117))=0,"",INDEX('Licences'!$Q$4:$Q$503,_calc!$E$117)))</f>
        <v/>
      </c>
      <c r="H115" s="44">
        <f>IF(_calc!$E$117="","",IF(LEN(INDEX('Licences'!$O$4:$O$503,_calc!$E$117))=0,"",INDEX('Licences'!$O$4:$O$503,_calc!$E$117)))</f>
        <v/>
      </c>
      <c r="I115" s="44">
        <f>IF(_calc!$E$117="","",IF(LEN(INDEX('Licences'!$P$4:$P$503,_calc!$E$117))=0,"",INDEX('Licences'!$P$4:$P$503,_calc!$E$117)))</f>
        <v/>
      </c>
      <c r="K115" s="44">
        <f>IF(_calc!$E$117="","",IF(LEN(INDEX('Licences'!$G$4:$G$503,_calc!$E$117))=0,"",INDEX('Licences'!$G$4:$G$503,_calc!$E$117)))</f>
        <v/>
      </c>
    </row>
    <row r="116">
      <c r="A116" s="44">
        <f>IF(_calc!$E$118="","",IF(LEN(INDEX('Licences'!$A$4:$A$503,_calc!$E$118))=0,"",INDEX('Licences'!$A$4:$A$503,_calc!$E$118)))</f>
        <v/>
      </c>
      <c r="B116" s="44">
        <f>IF(_calc!$E$118="","",IF(ISNUMBER(INDEX('Licences'!$J$4:$J$503,_calc!$E$118)),TEXT(INDEX('Licences'!$J$4:$J$503,_calc!$E$118),"yyyy-mm-dd"),""))</f>
        <v/>
      </c>
      <c r="C116" s="44">
        <f>IF(_calc!$E$118="","",IF(LEN(INDEX('Licences'!$B$4:$B$503,_calc!$E$118))=0,"",INDEX('Licences'!$B$4:$B$503,_calc!$E$118)))</f>
        <v/>
      </c>
      <c r="D116" s="44">
        <f>IF(_calc!$E$118="","",IF(ISNUMBER(INDEX('Licences'!$I$4:$I$503,_calc!$E$118)),TEXT(INDEX('Licences'!$I$4:$I$503,_calc!$E$118),"yyyy-mm-dd"),""))</f>
        <v/>
      </c>
      <c r="E116" s="44">
        <f>IF(_calc!$E$118="","",IF(LEN(INDEX('Licences'!$H$4:$H$503,_calc!$E$118))=0,"",INDEX('Licences'!$H$4:$H$503,_calc!$E$118)))</f>
        <v/>
      </c>
      <c r="F116" s="44">
        <f>IF(_calc!$E$118="","",TRIM(IF(LEN(IF(LEN(INDEX('Licences'!$D$4:$D$503,_calc!$E$118))=0,"",INDEX('Licences'!$D$4:$D$503,_calc!$E$118)))=0,"","Ref: "&amp;IF(LEN(INDEX('Licences'!$D$4:$D$503,_calc!$E$118))=0,"",INDEX('Licences'!$D$4:$D$503,_calc!$E$118))&amp;". ")&amp;IF(LEN(IF(LEN(INDEX('Licences'!$C$4:$C$503,_calc!$E$118))=0,"",INDEX('Licences'!$C$4:$C$503,_calc!$E$118)))=0,"","Issuer: "&amp;IF(LEN(INDEX('Licences'!$C$4:$C$503,_calc!$E$118))=0,"",INDEX('Licences'!$C$4:$C$503,_calc!$E$118))&amp;". ")&amp;IF(LEN(IF(LEN(INDEX('Licences'!$E$4:$E$503,_calc!$E$118))=0,"",INDEX('Licences'!$E$4:$E$503,_calc!$E$118)))=0,"","Site: "&amp;IF(LEN(INDEX('Licences'!$E$4:$E$503,_calc!$E$118))=0,"",INDEX('Licences'!$E$4:$E$503,_calc!$E$118))&amp;". ")&amp;IF(LEN(IF(LEN(INDEX('Licences'!$F$4:$F$503,_calc!$E$118))=0,"",INDEX('Licences'!$F$4:$F$503,_calc!$E$118)))=0,"","Owner: "&amp;IF(LEN(INDEX('Licences'!$F$4:$F$503,_calc!$E$118))=0,"",INDEX('Licences'!$F$4:$F$503,_calc!$E$118))&amp;". ")&amp;IF(LEN(IF(LEN(INDEX('Licences'!$R$4:$R$503,_calc!$E$118))=0,"",INDEX('Licences'!$R$4:$R$503,_calc!$E$118)))=0,"",IF(LEN(INDEX('Licences'!$R$4:$R$503,_calc!$E$118))=0,"",INDEX('Licences'!$R$4:$R$503,_calc!$E$118)))))</f>
        <v/>
      </c>
      <c r="G116" s="44">
        <f>IF(_calc!$E$118="","",IF(LEN(INDEX('Licences'!$Q$4:$Q$503,_calc!$E$118))=0,"",INDEX('Licences'!$Q$4:$Q$503,_calc!$E$118)))</f>
        <v/>
      </c>
      <c r="H116" s="44">
        <f>IF(_calc!$E$118="","",IF(LEN(INDEX('Licences'!$O$4:$O$503,_calc!$E$118))=0,"",INDEX('Licences'!$O$4:$O$503,_calc!$E$118)))</f>
        <v/>
      </c>
      <c r="I116" s="44">
        <f>IF(_calc!$E$118="","",IF(LEN(INDEX('Licences'!$P$4:$P$503,_calc!$E$118))=0,"",INDEX('Licences'!$P$4:$P$503,_calc!$E$118)))</f>
        <v/>
      </c>
      <c r="K116" s="44">
        <f>IF(_calc!$E$118="","",IF(LEN(INDEX('Licences'!$G$4:$G$503,_calc!$E$118))=0,"",INDEX('Licences'!$G$4:$G$503,_calc!$E$118)))</f>
        <v/>
      </c>
    </row>
    <row r="117">
      <c r="A117" s="44">
        <f>IF(_calc!$E$119="","",IF(LEN(INDEX('Licences'!$A$4:$A$503,_calc!$E$119))=0,"",INDEX('Licences'!$A$4:$A$503,_calc!$E$119)))</f>
        <v/>
      </c>
      <c r="B117" s="44">
        <f>IF(_calc!$E$119="","",IF(ISNUMBER(INDEX('Licences'!$J$4:$J$503,_calc!$E$119)),TEXT(INDEX('Licences'!$J$4:$J$503,_calc!$E$119),"yyyy-mm-dd"),""))</f>
        <v/>
      </c>
      <c r="C117" s="44">
        <f>IF(_calc!$E$119="","",IF(LEN(INDEX('Licences'!$B$4:$B$503,_calc!$E$119))=0,"",INDEX('Licences'!$B$4:$B$503,_calc!$E$119)))</f>
        <v/>
      </c>
      <c r="D117" s="44">
        <f>IF(_calc!$E$119="","",IF(ISNUMBER(INDEX('Licences'!$I$4:$I$503,_calc!$E$119)),TEXT(INDEX('Licences'!$I$4:$I$503,_calc!$E$119),"yyyy-mm-dd"),""))</f>
        <v/>
      </c>
      <c r="E117" s="44">
        <f>IF(_calc!$E$119="","",IF(LEN(INDEX('Licences'!$H$4:$H$503,_calc!$E$119))=0,"",INDEX('Licences'!$H$4:$H$503,_calc!$E$119)))</f>
        <v/>
      </c>
      <c r="F117" s="44">
        <f>IF(_calc!$E$119="","",TRIM(IF(LEN(IF(LEN(INDEX('Licences'!$D$4:$D$503,_calc!$E$119))=0,"",INDEX('Licences'!$D$4:$D$503,_calc!$E$119)))=0,"","Ref: "&amp;IF(LEN(INDEX('Licences'!$D$4:$D$503,_calc!$E$119))=0,"",INDEX('Licences'!$D$4:$D$503,_calc!$E$119))&amp;". ")&amp;IF(LEN(IF(LEN(INDEX('Licences'!$C$4:$C$503,_calc!$E$119))=0,"",INDEX('Licences'!$C$4:$C$503,_calc!$E$119)))=0,"","Issuer: "&amp;IF(LEN(INDEX('Licences'!$C$4:$C$503,_calc!$E$119))=0,"",INDEX('Licences'!$C$4:$C$503,_calc!$E$119))&amp;". ")&amp;IF(LEN(IF(LEN(INDEX('Licences'!$E$4:$E$503,_calc!$E$119))=0,"",INDEX('Licences'!$E$4:$E$503,_calc!$E$119)))=0,"","Site: "&amp;IF(LEN(INDEX('Licences'!$E$4:$E$503,_calc!$E$119))=0,"",INDEX('Licences'!$E$4:$E$503,_calc!$E$119))&amp;". ")&amp;IF(LEN(IF(LEN(INDEX('Licences'!$F$4:$F$503,_calc!$E$119))=0,"",INDEX('Licences'!$F$4:$F$503,_calc!$E$119)))=0,"","Owner: "&amp;IF(LEN(INDEX('Licences'!$F$4:$F$503,_calc!$E$119))=0,"",INDEX('Licences'!$F$4:$F$503,_calc!$E$119))&amp;". ")&amp;IF(LEN(IF(LEN(INDEX('Licences'!$R$4:$R$503,_calc!$E$119))=0,"",INDEX('Licences'!$R$4:$R$503,_calc!$E$119)))=0,"",IF(LEN(INDEX('Licences'!$R$4:$R$503,_calc!$E$119))=0,"",INDEX('Licences'!$R$4:$R$503,_calc!$E$119)))))</f>
        <v/>
      </c>
      <c r="G117" s="44">
        <f>IF(_calc!$E$119="","",IF(LEN(INDEX('Licences'!$Q$4:$Q$503,_calc!$E$119))=0,"",INDEX('Licences'!$Q$4:$Q$503,_calc!$E$119)))</f>
        <v/>
      </c>
      <c r="H117" s="44">
        <f>IF(_calc!$E$119="","",IF(LEN(INDEX('Licences'!$O$4:$O$503,_calc!$E$119))=0,"",INDEX('Licences'!$O$4:$O$503,_calc!$E$119)))</f>
        <v/>
      </c>
      <c r="I117" s="44">
        <f>IF(_calc!$E$119="","",IF(LEN(INDEX('Licences'!$P$4:$P$503,_calc!$E$119))=0,"",INDEX('Licences'!$P$4:$P$503,_calc!$E$119)))</f>
        <v/>
      </c>
      <c r="K117" s="44">
        <f>IF(_calc!$E$119="","",IF(LEN(INDEX('Licences'!$G$4:$G$503,_calc!$E$119))=0,"",INDEX('Licences'!$G$4:$G$503,_calc!$E$119)))</f>
        <v/>
      </c>
    </row>
    <row r="118">
      <c r="A118" s="44">
        <f>IF(_calc!$E$120="","",IF(LEN(INDEX('Licences'!$A$4:$A$503,_calc!$E$120))=0,"",INDEX('Licences'!$A$4:$A$503,_calc!$E$120)))</f>
        <v/>
      </c>
      <c r="B118" s="44">
        <f>IF(_calc!$E$120="","",IF(ISNUMBER(INDEX('Licences'!$J$4:$J$503,_calc!$E$120)),TEXT(INDEX('Licences'!$J$4:$J$503,_calc!$E$120),"yyyy-mm-dd"),""))</f>
        <v/>
      </c>
      <c r="C118" s="44">
        <f>IF(_calc!$E$120="","",IF(LEN(INDEX('Licences'!$B$4:$B$503,_calc!$E$120))=0,"",INDEX('Licences'!$B$4:$B$503,_calc!$E$120)))</f>
        <v/>
      </c>
      <c r="D118" s="44">
        <f>IF(_calc!$E$120="","",IF(ISNUMBER(INDEX('Licences'!$I$4:$I$503,_calc!$E$120)),TEXT(INDEX('Licences'!$I$4:$I$503,_calc!$E$120),"yyyy-mm-dd"),""))</f>
        <v/>
      </c>
      <c r="E118" s="44">
        <f>IF(_calc!$E$120="","",IF(LEN(INDEX('Licences'!$H$4:$H$503,_calc!$E$120))=0,"",INDEX('Licences'!$H$4:$H$503,_calc!$E$120)))</f>
        <v/>
      </c>
      <c r="F118" s="44">
        <f>IF(_calc!$E$120="","",TRIM(IF(LEN(IF(LEN(INDEX('Licences'!$D$4:$D$503,_calc!$E$120))=0,"",INDEX('Licences'!$D$4:$D$503,_calc!$E$120)))=0,"","Ref: "&amp;IF(LEN(INDEX('Licences'!$D$4:$D$503,_calc!$E$120))=0,"",INDEX('Licences'!$D$4:$D$503,_calc!$E$120))&amp;". ")&amp;IF(LEN(IF(LEN(INDEX('Licences'!$C$4:$C$503,_calc!$E$120))=0,"",INDEX('Licences'!$C$4:$C$503,_calc!$E$120)))=0,"","Issuer: "&amp;IF(LEN(INDEX('Licences'!$C$4:$C$503,_calc!$E$120))=0,"",INDEX('Licences'!$C$4:$C$503,_calc!$E$120))&amp;". ")&amp;IF(LEN(IF(LEN(INDEX('Licences'!$E$4:$E$503,_calc!$E$120))=0,"",INDEX('Licences'!$E$4:$E$503,_calc!$E$120)))=0,"","Site: "&amp;IF(LEN(INDEX('Licences'!$E$4:$E$503,_calc!$E$120))=0,"",INDEX('Licences'!$E$4:$E$503,_calc!$E$120))&amp;". ")&amp;IF(LEN(IF(LEN(INDEX('Licences'!$F$4:$F$503,_calc!$E$120))=0,"",INDEX('Licences'!$F$4:$F$503,_calc!$E$120)))=0,"","Owner: "&amp;IF(LEN(INDEX('Licences'!$F$4:$F$503,_calc!$E$120))=0,"",INDEX('Licences'!$F$4:$F$503,_calc!$E$120))&amp;". ")&amp;IF(LEN(IF(LEN(INDEX('Licences'!$R$4:$R$503,_calc!$E$120))=0,"",INDEX('Licences'!$R$4:$R$503,_calc!$E$120)))=0,"",IF(LEN(INDEX('Licences'!$R$4:$R$503,_calc!$E$120))=0,"",INDEX('Licences'!$R$4:$R$503,_calc!$E$120)))))</f>
        <v/>
      </c>
      <c r="G118" s="44">
        <f>IF(_calc!$E$120="","",IF(LEN(INDEX('Licences'!$Q$4:$Q$503,_calc!$E$120))=0,"",INDEX('Licences'!$Q$4:$Q$503,_calc!$E$120)))</f>
        <v/>
      </c>
      <c r="H118" s="44">
        <f>IF(_calc!$E$120="","",IF(LEN(INDEX('Licences'!$O$4:$O$503,_calc!$E$120))=0,"",INDEX('Licences'!$O$4:$O$503,_calc!$E$120)))</f>
        <v/>
      </c>
      <c r="I118" s="44">
        <f>IF(_calc!$E$120="","",IF(LEN(INDEX('Licences'!$P$4:$P$503,_calc!$E$120))=0,"",INDEX('Licences'!$P$4:$P$503,_calc!$E$120)))</f>
        <v/>
      </c>
      <c r="K118" s="44">
        <f>IF(_calc!$E$120="","",IF(LEN(INDEX('Licences'!$G$4:$G$503,_calc!$E$120))=0,"",INDEX('Licences'!$G$4:$G$503,_calc!$E$120)))</f>
        <v/>
      </c>
    </row>
    <row r="119">
      <c r="A119" s="44">
        <f>IF(_calc!$E$121="","",IF(LEN(INDEX('Licences'!$A$4:$A$503,_calc!$E$121))=0,"",INDEX('Licences'!$A$4:$A$503,_calc!$E$121)))</f>
        <v/>
      </c>
      <c r="B119" s="44">
        <f>IF(_calc!$E$121="","",IF(ISNUMBER(INDEX('Licences'!$J$4:$J$503,_calc!$E$121)),TEXT(INDEX('Licences'!$J$4:$J$503,_calc!$E$121),"yyyy-mm-dd"),""))</f>
        <v/>
      </c>
      <c r="C119" s="44">
        <f>IF(_calc!$E$121="","",IF(LEN(INDEX('Licences'!$B$4:$B$503,_calc!$E$121))=0,"",INDEX('Licences'!$B$4:$B$503,_calc!$E$121)))</f>
        <v/>
      </c>
      <c r="D119" s="44">
        <f>IF(_calc!$E$121="","",IF(ISNUMBER(INDEX('Licences'!$I$4:$I$503,_calc!$E$121)),TEXT(INDEX('Licences'!$I$4:$I$503,_calc!$E$121),"yyyy-mm-dd"),""))</f>
        <v/>
      </c>
      <c r="E119" s="44">
        <f>IF(_calc!$E$121="","",IF(LEN(INDEX('Licences'!$H$4:$H$503,_calc!$E$121))=0,"",INDEX('Licences'!$H$4:$H$503,_calc!$E$121)))</f>
        <v/>
      </c>
      <c r="F119" s="44">
        <f>IF(_calc!$E$121="","",TRIM(IF(LEN(IF(LEN(INDEX('Licences'!$D$4:$D$503,_calc!$E$121))=0,"",INDEX('Licences'!$D$4:$D$503,_calc!$E$121)))=0,"","Ref: "&amp;IF(LEN(INDEX('Licences'!$D$4:$D$503,_calc!$E$121))=0,"",INDEX('Licences'!$D$4:$D$503,_calc!$E$121))&amp;". ")&amp;IF(LEN(IF(LEN(INDEX('Licences'!$C$4:$C$503,_calc!$E$121))=0,"",INDEX('Licences'!$C$4:$C$503,_calc!$E$121)))=0,"","Issuer: "&amp;IF(LEN(INDEX('Licences'!$C$4:$C$503,_calc!$E$121))=0,"",INDEX('Licences'!$C$4:$C$503,_calc!$E$121))&amp;". ")&amp;IF(LEN(IF(LEN(INDEX('Licences'!$E$4:$E$503,_calc!$E$121))=0,"",INDEX('Licences'!$E$4:$E$503,_calc!$E$121)))=0,"","Site: "&amp;IF(LEN(INDEX('Licences'!$E$4:$E$503,_calc!$E$121))=0,"",INDEX('Licences'!$E$4:$E$503,_calc!$E$121))&amp;". ")&amp;IF(LEN(IF(LEN(INDEX('Licences'!$F$4:$F$503,_calc!$E$121))=0,"",INDEX('Licences'!$F$4:$F$503,_calc!$E$121)))=0,"","Owner: "&amp;IF(LEN(INDEX('Licences'!$F$4:$F$503,_calc!$E$121))=0,"",INDEX('Licences'!$F$4:$F$503,_calc!$E$121))&amp;". ")&amp;IF(LEN(IF(LEN(INDEX('Licences'!$R$4:$R$503,_calc!$E$121))=0,"",INDEX('Licences'!$R$4:$R$503,_calc!$E$121)))=0,"",IF(LEN(INDEX('Licences'!$R$4:$R$503,_calc!$E$121))=0,"",INDEX('Licences'!$R$4:$R$503,_calc!$E$121)))))</f>
        <v/>
      </c>
      <c r="G119" s="44">
        <f>IF(_calc!$E$121="","",IF(LEN(INDEX('Licences'!$Q$4:$Q$503,_calc!$E$121))=0,"",INDEX('Licences'!$Q$4:$Q$503,_calc!$E$121)))</f>
        <v/>
      </c>
      <c r="H119" s="44">
        <f>IF(_calc!$E$121="","",IF(LEN(INDEX('Licences'!$O$4:$O$503,_calc!$E$121))=0,"",INDEX('Licences'!$O$4:$O$503,_calc!$E$121)))</f>
        <v/>
      </c>
      <c r="I119" s="44">
        <f>IF(_calc!$E$121="","",IF(LEN(INDEX('Licences'!$P$4:$P$503,_calc!$E$121))=0,"",INDEX('Licences'!$P$4:$P$503,_calc!$E$121)))</f>
        <v/>
      </c>
      <c r="K119" s="44">
        <f>IF(_calc!$E$121="","",IF(LEN(INDEX('Licences'!$G$4:$G$503,_calc!$E$121))=0,"",INDEX('Licences'!$G$4:$G$503,_calc!$E$121)))</f>
        <v/>
      </c>
    </row>
    <row r="120">
      <c r="A120" s="44">
        <f>IF(_calc!$E$122="","",IF(LEN(INDEX('Licences'!$A$4:$A$503,_calc!$E$122))=0,"",INDEX('Licences'!$A$4:$A$503,_calc!$E$122)))</f>
        <v/>
      </c>
      <c r="B120" s="44">
        <f>IF(_calc!$E$122="","",IF(ISNUMBER(INDEX('Licences'!$J$4:$J$503,_calc!$E$122)),TEXT(INDEX('Licences'!$J$4:$J$503,_calc!$E$122),"yyyy-mm-dd"),""))</f>
        <v/>
      </c>
      <c r="C120" s="44">
        <f>IF(_calc!$E$122="","",IF(LEN(INDEX('Licences'!$B$4:$B$503,_calc!$E$122))=0,"",INDEX('Licences'!$B$4:$B$503,_calc!$E$122)))</f>
        <v/>
      </c>
      <c r="D120" s="44">
        <f>IF(_calc!$E$122="","",IF(ISNUMBER(INDEX('Licences'!$I$4:$I$503,_calc!$E$122)),TEXT(INDEX('Licences'!$I$4:$I$503,_calc!$E$122),"yyyy-mm-dd"),""))</f>
        <v/>
      </c>
      <c r="E120" s="44">
        <f>IF(_calc!$E$122="","",IF(LEN(INDEX('Licences'!$H$4:$H$503,_calc!$E$122))=0,"",INDEX('Licences'!$H$4:$H$503,_calc!$E$122)))</f>
        <v/>
      </c>
      <c r="F120" s="44">
        <f>IF(_calc!$E$122="","",TRIM(IF(LEN(IF(LEN(INDEX('Licences'!$D$4:$D$503,_calc!$E$122))=0,"",INDEX('Licences'!$D$4:$D$503,_calc!$E$122)))=0,"","Ref: "&amp;IF(LEN(INDEX('Licences'!$D$4:$D$503,_calc!$E$122))=0,"",INDEX('Licences'!$D$4:$D$503,_calc!$E$122))&amp;". ")&amp;IF(LEN(IF(LEN(INDEX('Licences'!$C$4:$C$503,_calc!$E$122))=0,"",INDEX('Licences'!$C$4:$C$503,_calc!$E$122)))=0,"","Issuer: "&amp;IF(LEN(INDEX('Licences'!$C$4:$C$503,_calc!$E$122))=0,"",INDEX('Licences'!$C$4:$C$503,_calc!$E$122))&amp;". ")&amp;IF(LEN(IF(LEN(INDEX('Licences'!$E$4:$E$503,_calc!$E$122))=0,"",INDEX('Licences'!$E$4:$E$503,_calc!$E$122)))=0,"","Site: "&amp;IF(LEN(INDEX('Licences'!$E$4:$E$503,_calc!$E$122))=0,"",INDEX('Licences'!$E$4:$E$503,_calc!$E$122))&amp;". ")&amp;IF(LEN(IF(LEN(INDEX('Licences'!$F$4:$F$503,_calc!$E$122))=0,"",INDEX('Licences'!$F$4:$F$503,_calc!$E$122)))=0,"","Owner: "&amp;IF(LEN(INDEX('Licences'!$F$4:$F$503,_calc!$E$122))=0,"",INDEX('Licences'!$F$4:$F$503,_calc!$E$122))&amp;". ")&amp;IF(LEN(IF(LEN(INDEX('Licences'!$R$4:$R$503,_calc!$E$122))=0,"",INDEX('Licences'!$R$4:$R$503,_calc!$E$122)))=0,"",IF(LEN(INDEX('Licences'!$R$4:$R$503,_calc!$E$122))=0,"",INDEX('Licences'!$R$4:$R$503,_calc!$E$122)))))</f>
        <v/>
      </c>
      <c r="G120" s="44">
        <f>IF(_calc!$E$122="","",IF(LEN(INDEX('Licences'!$Q$4:$Q$503,_calc!$E$122))=0,"",INDEX('Licences'!$Q$4:$Q$503,_calc!$E$122)))</f>
        <v/>
      </c>
      <c r="H120" s="44">
        <f>IF(_calc!$E$122="","",IF(LEN(INDEX('Licences'!$O$4:$O$503,_calc!$E$122))=0,"",INDEX('Licences'!$O$4:$O$503,_calc!$E$122)))</f>
        <v/>
      </c>
      <c r="I120" s="44">
        <f>IF(_calc!$E$122="","",IF(LEN(INDEX('Licences'!$P$4:$P$503,_calc!$E$122))=0,"",INDEX('Licences'!$P$4:$P$503,_calc!$E$122)))</f>
        <v/>
      </c>
      <c r="K120" s="44">
        <f>IF(_calc!$E$122="","",IF(LEN(INDEX('Licences'!$G$4:$G$503,_calc!$E$122))=0,"",INDEX('Licences'!$G$4:$G$503,_calc!$E$122)))</f>
        <v/>
      </c>
    </row>
    <row r="121">
      <c r="A121" s="44">
        <f>IF(_calc!$E$123="","",IF(LEN(INDEX('Licences'!$A$4:$A$503,_calc!$E$123))=0,"",INDEX('Licences'!$A$4:$A$503,_calc!$E$123)))</f>
        <v/>
      </c>
      <c r="B121" s="44">
        <f>IF(_calc!$E$123="","",IF(ISNUMBER(INDEX('Licences'!$J$4:$J$503,_calc!$E$123)),TEXT(INDEX('Licences'!$J$4:$J$503,_calc!$E$123),"yyyy-mm-dd"),""))</f>
        <v/>
      </c>
      <c r="C121" s="44">
        <f>IF(_calc!$E$123="","",IF(LEN(INDEX('Licences'!$B$4:$B$503,_calc!$E$123))=0,"",INDEX('Licences'!$B$4:$B$503,_calc!$E$123)))</f>
        <v/>
      </c>
      <c r="D121" s="44">
        <f>IF(_calc!$E$123="","",IF(ISNUMBER(INDEX('Licences'!$I$4:$I$503,_calc!$E$123)),TEXT(INDEX('Licences'!$I$4:$I$503,_calc!$E$123),"yyyy-mm-dd"),""))</f>
        <v/>
      </c>
      <c r="E121" s="44">
        <f>IF(_calc!$E$123="","",IF(LEN(INDEX('Licences'!$H$4:$H$503,_calc!$E$123))=0,"",INDEX('Licences'!$H$4:$H$503,_calc!$E$123)))</f>
        <v/>
      </c>
      <c r="F121" s="44">
        <f>IF(_calc!$E$123="","",TRIM(IF(LEN(IF(LEN(INDEX('Licences'!$D$4:$D$503,_calc!$E$123))=0,"",INDEX('Licences'!$D$4:$D$503,_calc!$E$123)))=0,"","Ref: "&amp;IF(LEN(INDEX('Licences'!$D$4:$D$503,_calc!$E$123))=0,"",INDEX('Licences'!$D$4:$D$503,_calc!$E$123))&amp;". ")&amp;IF(LEN(IF(LEN(INDEX('Licences'!$C$4:$C$503,_calc!$E$123))=0,"",INDEX('Licences'!$C$4:$C$503,_calc!$E$123)))=0,"","Issuer: "&amp;IF(LEN(INDEX('Licences'!$C$4:$C$503,_calc!$E$123))=0,"",INDEX('Licences'!$C$4:$C$503,_calc!$E$123))&amp;". ")&amp;IF(LEN(IF(LEN(INDEX('Licences'!$E$4:$E$503,_calc!$E$123))=0,"",INDEX('Licences'!$E$4:$E$503,_calc!$E$123)))=0,"","Site: "&amp;IF(LEN(INDEX('Licences'!$E$4:$E$503,_calc!$E$123))=0,"",INDEX('Licences'!$E$4:$E$503,_calc!$E$123))&amp;". ")&amp;IF(LEN(IF(LEN(INDEX('Licences'!$F$4:$F$503,_calc!$E$123))=0,"",INDEX('Licences'!$F$4:$F$503,_calc!$E$123)))=0,"","Owner: "&amp;IF(LEN(INDEX('Licences'!$F$4:$F$503,_calc!$E$123))=0,"",INDEX('Licences'!$F$4:$F$503,_calc!$E$123))&amp;". ")&amp;IF(LEN(IF(LEN(INDEX('Licences'!$R$4:$R$503,_calc!$E$123))=0,"",INDEX('Licences'!$R$4:$R$503,_calc!$E$123)))=0,"",IF(LEN(INDEX('Licences'!$R$4:$R$503,_calc!$E$123))=0,"",INDEX('Licences'!$R$4:$R$503,_calc!$E$123)))))</f>
        <v/>
      </c>
      <c r="G121" s="44">
        <f>IF(_calc!$E$123="","",IF(LEN(INDEX('Licences'!$Q$4:$Q$503,_calc!$E$123))=0,"",INDEX('Licences'!$Q$4:$Q$503,_calc!$E$123)))</f>
        <v/>
      </c>
      <c r="H121" s="44">
        <f>IF(_calc!$E$123="","",IF(LEN(INDEX('Licences'!$O$4:$O$503,_calc!$E$123))=0,"",INDEX('Licences'!$O$4:$O$503,_calc!$E$123)))</f>
        <v/>
      </c>
      <c r="I121" s="44">
        <f>IF(_calc!$E$123="","",IF(LEN(INDEX('Licences'!$P$4:$P$503,_calc!$E$123))=0,"",INDEX('Licences'!$P$4:$P$503,_calc!$E$123)))</f>
        <v/>
      </c>
      <c r="K121" s="44">
        <f>IF(_calc!$E$123="","",IF(LEN(INDEX('Licences'!$G$4:$G$503,_calc!$E$123))=0,"",INDEX('Licences'!$G$4:$G$503,_calc!$E$123)))</f>
        <v/>
      </c>
    </row>
    <row r="122">
      <c r="A122" s="44">
        <f>IF(_calc!$E$124="","",IF(LEN(INDEX('Licences'!$A$4:$A$503,_calc!$E$124))=0,"",INDEX('Licences'!$A$4:$A$503,_calc!$E$124)))</f>
        <v/>
      </c>
      <c r="B122" s="44">
        <f>IF(_calc!$E$124="","",IF(ISNUMBER(INDEX('Licences'!$J$4:$J$503,_calc!$E$124)),TEXT(INDEX('Licences'!$J$4:$J$503,_calc!$E$124),"yyyy-mm-dd"),""))</f>
        <v/>
      </c>
      <c r="C122" s="44">
        <f>IF(_calc!$E$124="","",IF(LEN(INDEX('Licences'!$B$4:$B$503,_calc!$E$124))=0,"",INDEX('Licences'!$B$4:$B$503,_calc!$E$124)))</f>
        <v/>
      </c>
      <c r="D122" s="44">
        <f>IF(_calc!$E$124="","",IF(ISNUMBER(INDEX('Licences'!$I$4:$I$503,_calc!$E$124)),TEXT(INDEX('Licences'!$I$4:$I$503,_calc!$E$124),"yyyy-mm-dd"),""))</f>
        <v/>
      </c>
      <c r="E122" s="44">
        <f>IF(_calc!$E$124="","",IF(LEN(INDEX('Licences'!$H$4:$H$503,_calc!$E$124))=0,"",INDEX('Licences'!$H$4:$H$503,_calc!$E$124)))</f>
        <v/>
      </c>
      <c r="F122" s="44">
        <f>IF(_calc!$E$124="","",TRIM(IF(LEN(IF(LEN(INDEX('Licences'!$D$4:$D$503,_calc!$E$124))=0,"",INDEX('Licences'!$D$4:$D$503,_calc!$E$124)))=0,"","Ref: "&amp;IF(LEN(INDEX('Licences'!$D$4:$D$503,_calc!$E$124))=0,"",INDEX('Licences'!$D$4:$D$503,_calc!$E$124))&amp;". ")&amp;IF(LEN(IF(LEN(INDEX('Licences'!$C$4:$C$503,_calc!$E$124))=0,"",INDEX('Licences'!$C$4:$C$503,_calc!$E$124)))=0,"","Issuer: "&amp;IF(LEN(INDEX('Licences'!$C$4:$C$503,_calc!$E$124))=0,"",INDEX('Licences'!$C$4:$C$503,_calc!$E$124))&amp;". ")&amp;IF(LEN(IF(LEN(INDEX('Licences'!$E$4:$E$503,_calc!$E$124))=0,"",INDEX('Licences'!$E$4:$E$503,_calc!$E$124)))=0,"","Site: "&amp;IF(LEN(INDEX('Licences'!$E$4:$E$503,_calc!$E$124))=0,"",INDEX('Licences'!$E$4:$E$503,_calc!$E$124))&amp;". ")&amp;IF(LEN(IF(LEN(INDEX('Licences'!$F$4:$F$503,_calc!$E$124))=0,"",INDEX('Licences'!$F$4:$F$503,_calc!$E$124)))=0,"","Owner: "&amp;IF(LEN(INDEX('Licences'!$F$4:$F$503,_calc!$E$124))=0,"",INDEX('Licences'!$F$4:$F$503,_calc!$E$124))&amp;". ")&amp;IF(LEN(IF(LEN(INDEX('Licences'!$R$4:$R$503,_calc!$E$124))=0,"",INDEX('Licences'!$R$4:$R$503,_calc!$E$124)))=0,"",IF(LEN(INDEX('Licences'!$R$4:$R$503,_calc!$E$124))=0,"",INDEX('Licences'!$R$4:$R$503,_calc!$E$124)))))</f>
        <v/>
      </c>
      <c r="G122" s="44">
        <f>IF(_calc!$E$124="","",IF(LEN(INDEX('Licences'!$Q$4:$Q$503,_calc!$E$124))=0,"",INDEX('Licences'!$Q$4:$Q$503,_calc!$E$124)))</f>
        <v/>
      </c>
      <c r="H122" s="44">
        <f>IF(_calc!$E$124="","",IF(LEN(INDEX('Licences'!$O$4:$O$503,_calc!$E$124))=0,"",INDEX('Licences'!$O$4:$O$503,_calc!$E$124)))</f>
        <v/>
      </c>
      <c r="I122" s="44">
        <f>IF(_calc!$E$124="","",IF(LEN(INDEX('Licences'!$P$4:$P$503,_calc!$E$124))=0,"",INDEX('Licences'!$P$4:$P$503,_calc!$E$124)))</f>
        <v/>
      </c>
      <c r="K122" s="44">
        <f>IF(_calc!$E$124="","",IF(LEN(INDEX('Licences'!$G$4:$G$503,_calc!$E$124))=0,"",INDEX('Licences'!$G$4:$G$503,_calc!$E$124)))</f>
        <v/>
      </c>
    </row>
    <row r="123">
      <c r="A123" s="44">
        <f>IF(_calc!$E$125="","",IF(LEN(INDEX('Licences'!$A$4:$A$503,_calc!$E$125))=0,"",INDEX('Licences'!$A$4:$A$503,_calc!$E$125)))</f>
        <v/>
      </c>
      <c r="B123" s="44">
        <f>IF(_calc!$E$125="","",IF(ISNUMBER(INDEX('Licences'!$J$4:$J$503,_calc!$E$125)),TEXT(INDEX('Licences'!$J$4:$J$503,_calc!$E$125),"yyyy-mm-dd"),""))</f>
        <v/>
      </c>
      <c r="C123" s="44">
        <f>IF(_calc!$E$125="","",IF(LEN(INDEX('Licences'!$B$4:$B$503,_calc!$E$125))=0,"",INDEX('Licences'!$B$4:$B$503,_calc!$E$125)))</f>
        <v/>
      </c>
      <c r="D123" s="44">
        <f>IF(_calc!$E$125="","",IF(ISNUMBER(INDEX('Licences'!$I$4:$I$503,_calc!$E$125)),TEXT(INDEX('Licences'!$I$4:$I$503,_calc!$E$125),"yyyy-mm-dd"),""))</f>
        <v/>
      </c>
      <c r="E123" s="44">
        <f>IF(_calc!$E$125="","",IF(LEN(INDEX('Licences'!$H$4:$H$503,_calc!$E$125))=0,"",INDEX('Licences'!$H$4:$H$503,_calc!$E$125)))</f>
        <v/>
      </c>
      <c r="F123" s="44">
        <f>IF(_calc!$E$125="","",TRIM(IF(LEN(IF(LEN(INDEX('Licences'!$D$4:$D$503,_calc!$E$125))=0,"",INDEX('Licences'!$D$4:$D$503,_calc!$E$125)))=0,"","Ref: "&amp;IF(LEN(INDEX('Licences'!$D$4:$D$503,_calc!$E$125))=0,"",INDEX('Licences'!$D$4:$D$503,_calc!$E$125))&amp;". ")&amp;IF(LEN(IF(LEN(INDEX('Licences'!$C$4:$C$503,_calc!$E$125))=0,"",INDEX('Licences'!$C$4:$C$503,_calc!$E$125)))=0,"","Issuer: "&amp;IF(LEN(INDEX('Licences'!$C$4:$C$503,_calc!$E$125))=0,"",INDEX('Licences'!$C$4:$C$503,_calc!$E$125))&amp;". ")&amp;IF(LEN(IF(LEN(INDEX('Licences'!$E$4:$E$503,_calc!$E$125))=0,"",INDEX('Licences'!$E$4:$E$503,_calc!$E$125)))=0,"","Site: "&amp;IF(LEN(INDEX('Licences'!$E$4:$E$503,_calc!$E$125))=0,"",INDEX('Licences'!$E$4:$E$503,_calc!$E$125))&amp;". ")&amp;IF(LEN(IF(LEN(INDEX('Licences'!$F$4:$F$503,_calc!$E$125))=0,"",INDEX('Licences'!$F$4:$F$503,_calc!$E$125)))=0,"","Owner: "&amp;IF(LEN(INDEX('Licences'!$F$4:$F$503,_calc!$E$125))=0,"",INDEX('Licences'!$F$4:$F$503,_calc!$E$125))&amp;". ")&amp;IF(LEN(IF(LEN(INDEX('Licences'!$R$4:$R$503,_calc!$E$125))=0,"",INDEX('Licences'!$R$4:$R$503,_calc!$E$125)))=0,"",IF(LEN(INDEX('Licences'!$R$4:$R$503,_calc!$E$125))=0,"",INDEX('Licences'!$R$4:$R$503,_calc!$E$125)))))</f>
        <v/>
      </c>
      <c r="G123" s="44">
        <f>IF(_calc!$E$125="","",IF(LEN(INDEX('Licences'!$Q$4:$Q$503,_calc!$E$125))=0,"",INDEX('Licences'!$Q$4:$Q$503,_calc!$E$125)))</f>
        <v/>
      </c>
      <c r="H123" s="44">
        <f>IF(_calc!$E$125="","",IF(LEN(INDEX('Licences'!$O$4:$O$503,_calc!$E$125))=0,"",INDEX('Licences'!$O$4:$O$503,_calc!$E$125)))</f>
        <v/>
      </c>
      <c r="I123" s="44">
        <f>IF(_calc!$E$125="","",IF(LEN(INDEX('Licences'!$P$4:$P$503,_calc!$E$125))=0,"",INDEX('Licences'!$P$4:$P$503,_calc!$E$125)))</f>
        <v/>
      </c>
      <c r="K123" s="44">
        <f>IF(_calc!$E$125="","",IF(LEN(INDEX('Licences'!$G$4:$G$503,_calc!$E$125))=0,"",INDEX('Licences'!$G$4:$G$503,_calc!$E$125)))</f>
        <v/>
      </c>
    </row>
    <row r="124">
      <c r="A124" s="44">
        <f>IF(_calc!$E$126="","",IF(LEN(INDEX('Licences'!$A$4:$A$503,_calc!$E$126))=0,"",INDEX('Licences'!$A$4:$A$503,_calc!$E$126)))</f>
        <v/>
      </c>
      <c r="B124" s="44">
        <f>IF(_calc!$E$126="","",IF(ISNUMBER(INDEX('Licences'!$J$4:$J$503,_calc!$E$126)),TEXT(INDEX('Licences'!$J$4:$J$503,_calc!$E$126),"yyyy-mm-dd"),""))</f>
        <v/>
      </c>
      <c r="C124" s="44">
        <f>IF(_calc!$E$126="","",IF(LEN(INDEX('Licences'!$B$4:$B$503,_calc!$E$126))=0,"",INDEX('Licences'!$B$4:$B$503,_calc!$E$126)))</f>
        <v/>
      </c>
      <c r="D124" s="44">
        <f>IF(_calc!$E$126="","",IF(ISNUMBER(INDEX('Licences'!$I$4:$I$503,_calc!$E$126)),TEXT(INDEX('Licences'!$I$4:$I$503,_calc!$E$126),"yyyy-mm-dd"),""))</f>
        <v/>
      </c>
      <c r="E124" s="44">
        <f>IF(_calc!$E$126="","",IF(LEN(INDEX('Licences'!$H$4:$H$503,_calc!$E$126))=0,"",INDEX('Licences'!$H$4:$H$503,_calc!$E$126)))</f>
        <v/>
      </c>
      <c r="F124" s="44">
        <f>IF(_calc!$E$126="","",TRIM(IF(LEN(IF(LEN(INDEX('Licences'!$D$4:$D$503,_calc!$E$126))=0,"",INDEX('Licences'!$D$4:$D$503,_calc!$E$126)))=0,"","Ref: "&amp;IF(LEN(INDEX('Licences'!$D$4:$D$503,_calc!$E$126))=0,"",INDEX('Licences'!$D$4:$D$503,_calc!$E$126))&amp;". ")&amp;IF(LEN(IF(LEN(INDEX('Licences'!$C$4:$C$503,_calc!$E$126))=0,"",INDEX('Licences'!$C$4:$C$503,_calc!$E$126)))=0,"","Issuer: "&amp;IF(LEN(INDEX('Licences'!$C$4:$C$503,_calc!$E$126))=0,"",INDEX('Licences'!$C$4:$C$503,_calc!$E$126))&amp;". ")&amp;IF(LEN(IF(LEN(INDEX('Licences'!$E$4:$E$503,_calc!$E$126))=0,"",INDEX('Licences'!$E$4:$E$503,_calc!$E$126)))=0,"","Site: "&amp;IF(LEN(INDEX('Licences'!$E$4:$E$503,_calc!$E$126))=0,"",INDEX('Licences'!$E$4:$E$503,_calc!$E$126))&amp;". ")&amp;IF(LEN(IF(LEN(INDEX('Licences'!$F$4:$F$503,_calc!$E$126))=0,"",INDEX('Licences'!$F$4:$F$503,_calc!$E$126)))=0,"","Owner: "&amp;IF(LEN(INDEX('Licences'!$F$4:$F$503,_calc!$E$126))=0,"",INDEX('Licences'!$F$4:$F$503,_calc!$E$126))&amp;". ")&amp;IF(LEN(IF(LEN(INDEX('Licences'!$R$4:$R$503,_calc!$E$126))=0,"",INDEX('Licences'!$R$4:$R$503,_calc!$E$126)))=0,"",IF(LEN(INDEX('Licences'!$R$4:$R$503,_calc!$E$126))=0,"",INDEX('Licences'!$R$4:$R$503,_calc!$E$126)))))</f>
        <v/>
      </c>
      <c r="G124" s="44">
        <f>IF(_calc!$E$126="","",IF(LEN(INDEX('Licences'!$Q$4:$Q$503,_calc!$E$126))=0,"",INDEX('Licences'!$Q$4:$Q$503,_calc!$E$126)))</f>
        <v/>
      </c>
      <c r="H124" s="44">
        <f>IF(_calc!$E$126="","",IF(LEN(INDEX('Licences'!$O$4:$O$503,_calc!$E$126))=0,"",INDEX('Licences'!$O$4:$O$503,_calc!$E$126)))</f>
        <v/>
      </c>
      <c r="I124" s="44">
        <f>IF(_calc!$E$126="","",IF(LEN(INDEX('Licences'!$P$4:$P$503,_calc!$E$126))=0,"",INDEX('Licences'!$P$4:$P$503,_calc!$E$126)))</f>
        <v/>
      </c>
      <c r="K124" s="44">
        <f>IF(_calc!$E$126="","",IF(LEN(INDEX('Licences'!$G$4:$G$503,_calc!$E$126))=0,"",INDEX('Licences'!$G$4:$G$503,_calc!$E$126)))</f>
        <v/>
      </c>
    </row>
    <row r="125">
      <c r="A125" s="44">
        <f>IF(_calc!$E$127="","",IF(LEN(INDEX('Licences'!$A$4:$A$503,_calc!$E$127))=0,"",INDEX('Licences'!$A$4:$A$503,_calc!$E$127)))</f>
        <v/>
      </c>
      <c r="B125" s="44">
        <f>IF(_calc!$E$127="","",IF(ISNUMBER(INDEX('Licences'!$J$4:$J$503,_calc!$E$127)),TEXT(INDEX('Licences'!$J$4:$J$503,_calc!$E$127),"yyyy-mm-dd"),""))</f>
        <v/>
      </c>
      <c r="C125" s="44">
        <f>IF(_calc!$E$127="","",IF(LEN(INDEX('Licences'!$B$4:$B$503,_calc!$E$127))=0,"",INDEX('Licences'!$B$4:$B$503,_calc!$E$127)))</f>
        <v/>
      </c>
      <c r="D125" s="44">
        <f>IF(_calc!$E$127="","",IF(ISNUMBER(INDEX('Licences'!$I$4:$I$503,_calc!$E$127)),TEXT(INDEX('Licences'!$I$4:$I$503,_calc!$E$127),"yyyy-mm-dd"),""))</f>
        <v/>
      </c>
      <c r="E125" s="44">
        <f>IF(_calc!$E$127="","",IF(LEN(INDEX('Licences'!$H$4:$H$503,_calc!$E$127))=0,"",INDEX('Licences'!$H$4:$H$503,_calc!$E$127)))</f>
        <v/>
      </c>
      <c r="F125" s="44">
        <f>IF(_calc!$E$127="","",TRIM(IF(LEN(IF(LEN(INDEX('Licences'!$D$4:$D$503,_calc!$E$127))=0,"",INDEX('Licences'!$D$4:$D$503,_calc!$E$127)))=0,"","Ref: "&amp;IF(LEN(INDEX('Licences'!$D$4:$D$503,_calc!$E$127))=0,"",INDEX('Licences'!$D$4:$D$503,_calc!$E$127))&amp;". ")&amp;IF(LEN(IF(LEN(INDEX('Licences'!$C$4:$C$503,_calc!$E$127))=0,"",INDEX('Licences'!$C$4:$C$503,_calc!$E$127)))=0,"","Issuer: "&amp;IF(LEN(INDEX('Licences'!$C$4:$C$503,_calc!$E$127))=0,"",INDEX('Licences'!$C$4:$C$503,_calc!$E$127))&amp;". ")&amp;IF(LEN(IF(LEN(INDEX('Licences'!$E$4:$E$503,_calc!$E$127))=0,"",INDEX('Licences'!$E$4:$E$503,_calc!$E$127)))=0,"","Site: "&amp;IF(LEN(INDEX('Licences'!$E$4:$E$503,_calc!$E$127))=0,"",INDEX('Licences'!$E$4:$E$503,_calc!$E$127))&amp;". ")&amp;IF(LEN(IF(LEN(INDEX('Licences'!$F$4:$F$503,_calc!$E$127))=0,"",INDEX('Licences'!$F$4:$F$503,_calc!$E$127)))=0,"","Owner: "&amp;IF(LEN(INDEX('Licences'!$F$4:$F$503,_calc!$E$127))=0,"",INDEX('Licences'!$F$4:$F$503,_calc!$E$127))&amp;". ")&amp;IF(LEN(IF(LEN(INDEX('Licences'!$R$4:$R$503,_calc!$E$127))=0,"",INDEX('Licences'!$R$4:$R$503,_calc!$E$127)))=0,"",IF(LEN(INDEX('Licences'!$R$4:$R$503,_calc!$E$127))=0,"",INDEX('Licences'!$R$4:$R$503,_calc!$E$127)))))</f>
        <v/>
      </c>
      <c r="G125" s="44">
        <f>IF(_calc!$E$127="","",IF(LEN(INDEX('Licences'!$Q$4:$Q$503,_calc!$E$127))=0,"",INDEX('Licences'!$Q$4:$Q$503,_calc!$E$127)))</f>
        <v/>
      </c>
      <c r="H125" s="44">
        <f>IF(_calc!$E$127="","",IF(LEN(INDEX('Licences'!$O$4:$O$503,_calc!$E$127))=0,"",INDEX('Licences'!$O$4:$O$503,_calc!$E$127)))</f>
        <v/>
      </c>
      <c r="I125" s="44">
        <f>IF(_calc!$E$127="","",IF(LEN(INDEX('Licences'!$P$4:$P$503,_calc!$E$127))=0,"",INDEX('Licences'!$P$4:$P$503,_calc!$E$127)))</f>
        <v/>
      </c>
      <c r="K125" s="44">
        <f>IF(_calc!$E$127="","",IF(LEN(INDEX('Licences'!$G$4:$G$503,_calc!$E$127))=0,"",INDEX('Licences'!$G$4:$G$503,_calc!$E$127)))</f>
        <v/>
      </c>
    </row>
    <row r="126">
      <c r="A126" s="44">
        <f>IF(_calc!$E$128="","",IF(LEN(INDEX('Licences'!$A$4:$A$503,_calc!$E$128))=0,"",INDEX('Licences'!$A$4:$A$503,_calc!$E$128)))</f>
        <v/>
      </c>
      <c r="B126" s="44">
        <f>IF(_calc!$E$128="","",IF(ISNUMBER(INDEX('Licences'!$J$4:$J$503,_calc!$E$128)),TEXT(INDEX('Licences'!$J$4:$J$503,_calc!$E$128),"yyyy-mm-dd"),""))</f>
        <v/>
      </c>
      <c r="C126" s="44">
        <f>IF(_calc!$E$128="","",IF(LEN(INDEX('Licences'!$B$4:$B$503,_calc!$E$128))=0,"",INDEX('Licences'!$B$4:$B$503,_calc!$E$128)))</f>
        <v/>
      </c>
      <c r="D126" s="44">
        <f>IF(_calc!$E$128="","",IF(ISNUMBER(INDEX('Licences'!$I$4:$I$503,_calc!$E$128)),TEXT(INDEX('Licences'!$I$4:$I$503,_calc!$E$128),"yyyy-mm-dd"),""))</f>
        <v/>
      </c>
      <c r="E126" s="44">
        <f>IF(_calc!$E$128="","",IF(LEN(INDEX('Licences'!$H$4:$H$503,_calc!$E$128))=0,"",INDEX('Licences'!$H$4:$H$503,_calc!$E$128)))</f>
        <v/>
      </c>
      <c r="F126" s="44">
        <f>IF(_calc!$E$128="","",TRIM(IF(LEN(IF(LEN(INDEX('Licences'!$D$4:$D$503,_calc!$E$128))=0,"",INDEX('Licences'!$D$4:$D$503,_calc!$E$128)))=0,"","Ref: "&amp;IF(LEN(INDEX('Licences'!$D$4:$D$503,_calc!$E$128))=0,"",INDEX('Licences'!$D$4:$D$503,_calc!$E$128))&amp;". ")&amp;IF(LEN(IF(LEN(INDEX('Licences'!$C$4:$C$503,_calc!$E$128))=0,"",INDEX('Licences'!$C$4:$C$503,_calc!$E$128)))=0,"","Issuer: "&amp;IF(LEN(INDEX('Licences'!$C$4:$C$503,_calc!$E$128))=0,"",INDEX('Licences'!$C$4:$C$503,_calc!$E$128))&amp;". ")&amp;IF(LEN(IF(LEN(INDEX('Licences'!$E$4:$E$503,_calc!$E$128))=0,"",INDEX('Licences'!$E$4:$E$503,_calc!$E$128)))=0,"","Site: "&amp;IF(LEN(INDEX('Licences'!$E$4:$E$503,_calc!$E$128))=0,"",INDEX('Licences'!$E$4:$E$503,_calc!$E$128))&amp;". ")&amp;IF(LEN(IF(LEN(INDEX('Licences'!$F$4:$F$503,_calc!$E$128))=0,"",INDEX('Licences'!$F$4:$F$503,_calc!$E$128)))=0,"","Owner: "&amp;IF(LEN(INDEX('Licences'!$F$4:$F$503,_calc!$E$128))=0,"",INDEX('Licences'!$F$4:$F$503,_calc!$E$128))&amp;". ")&amp;IF(LEN(IF(LEN(INDEX('Licences'!$R$4:$R$503,_calc!$E$128))=0,"",INDEX('Licences'!$R$4:$R$503,_calc!$E$128)))=0,"",IF(LEN(INDEX('Licences'!$R$4:$R$503,_calc!$E$128))=0,"",INDEX('Licences'!$R$4:$R$503,_calc!$E$128)))))</f>
        <v/>
      </c>
      <c r="G126" s="44">
        <f>IF(_calc!$E$128="","",IF(LEN(INDEX('Licences'!$Q$4:$Q$503,_calc!$E$128))=0,"",INDEX('Licences'!$Q$4:$Q$503,_calc!$E$128)))</f>
        <v/>
      </c>
      <c r="H126" s="44">
        <f>IF(_calc!$E$128="","",IF(LEN(INDEX('Licences'!$O$4:$O$503,_calc!$E$128))=0,"",INDEX('Licences'!$O$4:$O$503,_calc!$E$128)))</f>
        <v/>
      </c>
      <c r="I126" s="44">
        <f>IF(_calc!$E$128="","",IF(LEN(INDEX('Licences'!$P$4:$P$503,_calc!$E$128))=0,"",INDEX('Licences'!$P$4:$P$503,_calc!$E$128)))</f>
        <v/>
      </c>
      <c r="K126" s="44">
        <f>IF(_calc!$E$128="","",IF(LEN(INDEX('Licences'!$G$4:$G$503,_calc!$E$128))=0,"",INDEX('Licences'!$G$4:$G$503,_calc!$E$128)))</f>
        <v/>
      </c>
    </row>
    <row r="127">
      <c r="A127" s="44">
        <f>IF(_calc!$E$129="","",IF(LEN(INDEX('Licences'!$A$4:$A$503,_calc!$E$129))=0,"",INDEX('Licences'!$A$4:$A$503,_calc!$E$129)))</f>
        <v/>
      </c>
      <c r="B127" s="44">
        <f>IF(_calc!$E$129="","",IF(ISNUMBER(INDEX('Licences'!$J$4:$J$503,_calc!$E$129)),TEXT(INDEX('Licences'!$J$4:$J$503,_calc!$E$129),"yyyy-mm-dd"),""))</f>
        <v/>
      </c>
      <c r="C127" s="44">
        <f>IF(_calc!$E$129="","",IF(LEN(INDEX('Licences'!$B$4:$B$503,_calc!$E$129))=0,"",INDEX('Licences'!$B$4:$B$503,_calc!$E$129)))</f>
        <v/>
      </c>
      <c r="D127" s="44">
        <f>IF(_calc!$E$129="","",IF(ISNUMBER(INDEX('Licences'!$I$4:$I$503,_calc!$E$129)),TEXT(INDEX('Licences'!$I$4:$I$503,_calc!$E$129),"yyyy-mm-dd"),""))</f>
        <v/>
      </c>
      <c r="E127" s="44">
        <f>IF(_calc!$E$129="","",IF(LEN(INDEX('Licences'!$H$4:$H$503,_calc!$E$129))=0,"",INDEX('Licences'!$H$4:$H$503,_calc!$E$129)))</f>
        <v/>
      </c>
      <c r="F127" s="44">
        <f>IF(_calc!$E$129="","",TRIM(IF(LEN(IF(LEN(INDEX('Licences'!$D$4:$D$503,_calc!$E$129))=0,"",INDEX('Licences'!$D$4:$D$503,_calc!$E$129)))=0,"","Ref: "&amp;IF(LEN(INDEX('Licences'!$D$4:$D$503,_calc!$E$129))=0,"",INDEX('Licences'!$D$4:$D$503,_calc!$E$129))&amp;". ")&amp;IF(LEN(IF(LEN(INDEX('Licences'!$C$4:$C$503,_calc!$E$129))=0,"",INDEX('Licences'!$C$4:$C$503,_calc!$E$129)))=0,"","Issuer: "&amp;IF(LEN(INDEX('Licences'!$C$4:$C$503,_calc!$E$129))=0,"",INDEX('Licences'!$C$4:$C$503,_calc!$E$129))&amp;". ")&amp;IF(LEN(IF(LEN(INDEX('Licences'!$E$4:$E$503,_calc!$E$129))=0,"",INDEX('Licences'!$E$4:$E$503,_calc!$E$129)))=0,"","Site: "&amp;IF(LEN(INDEX('Licences'!$E$4:$E$503,_calc!$E$129))=0,"",INDEX('Licences'!$E$4:$E$503,_calc!$E$129))&amp;". ")&amp;IF(LEN(IF(LEN(INDEX('Licences'!$F$4:$F$503,_calc!$E$129))=0,"",INDEX('Licences'!$F$4:$F$503,_calc!$E$129)))=0,"","Owner: "&amp;IF(LEN(INDEX('Licences'!$F$4:$F$503,_calc!$E$129))=0,"",INDEX('Licences'!$F$4:$F$503,_calc!$E$129))&amp;". ")&amp;IF(LEN(IF(LEN(INDEX('Licences'!$R$4:$R$503,_calc!$E$129))=0,"",INDEX('Licences'!$R$4:$R$503,_calc!$E$129)))=0,"",IF(LEN(INDEX('Licences'!$R$4:$R$503,_calc!$E$129))=0,"",INDEX('Licences'!$R$4:$R$503,_calc!$E$129)))))</f>
        <v/>
      </c>
      <c r="G127" s="44">
        <f>IF(_calc!$E$129="","",IF(LEN(INDEX('Licences'!$Q$4:$Q$503,_calc!$E$129))=0,"",INDEX('Licences'!$Q$4:$Q$503,_calc!$E$129)))</f>
        <v/>
      </c>
      <c r="H127" s="44">
        <f>IF(_calc!$E$129="","",IF(LEN(INDEX('Licences'!$O$4:$O$503,_calc!$E$129))=0,"",INDEX('Licences'!$O$4:$O$503,_calc!$E$129)))</f>
        <v/>
      </c>
      <c r="I127" s="44">
        <f>IF(_calc!$E$129="","",IF(LEN(INDEX('Licences'!$P$4:$P$503,_calc!$E$129))=0,"",INDEX('Licences'!$P$4:$P$503,_calc!$E$129)))</f>
        <v/>
      </c>
      <c r="K127" s="44">
        <f>IF(_calc!$E$129="","",IF(LEN(INDEX('Licences'!$G$4:$G$503,_calc!$E$129))=0,"",INDEX('Licences'!$G$4:$G$503,_calc!$E$129)))</f>
        <v/>
      </c>
    </row>
    <row r="128">
      <c r="A128" s="44">
        <f>IF(_calc!$E$130="","",IF(LEN(INDEX('Licences'!$A$4:$A$503,_calc!$E$130))=0,"",INDEX('Licences'!$A$4:$A$503,_calc!$E$130)))</f>
        <v/>
      </c>
      <c r="B128" s="44">
        <f>IF(_calc!$E$130="","",IF(ISNUMBER(INDEX('Licences'!$J$4:$J$503,_calc!$E$130)),TEXT(INDEX('Licences'!$J$4:$J$503,_calc!$E$130),"yyyy-mm-dd"),""))</f>
        <v/>
      </c>
      <c r="C128" s="44">
        <f>IF(_calc!$E$130="","",IF(LEN(INDEX('Licences'!$B$4:$B$503,_calc!$E$130))=0,"",INDEX('Licences'!$B$4:$B$503,_calc!$E$130)))</f>
        <v/>
      </c>
      <c r="D128" s="44">
        <f>IF(_calc!$E$130="","",IF(ISNUMBER(INDEX('Licences'!$I$4:$I$503,_calc!$E$130)),TEXT(INDEX('Licences'!$I$4:$I$503,_calc!$E$130),"yyyy-mm-dd"),""))</f>
        <v/>
      </c>
      <c r="E128" s="44">
        <f>IF(_calc!$E$130="","",IF(LEN(INDEX('Licences'!$H$4:$H$503,_calc!$E$130))=0,"",INDEX('Licences'!$H$4:$H$503,_calc!$E$130)))</f>
        <v/>
      </c>
      <c r="F128" s="44">
        <f>IF(_calc!$E$130="","",TRIM(IF(LEN(IF(LEN(INDEX('Licences'!$D$4:$D$503,_calc!$E$130))=0,"",INDEX('Licences'!$D$4:$D$503,_calc!$E$130)))=0,"","Ref: "&amp;IF(LEN(INDEX('Licences'!$D$4:$D$503,_calc!$E$130))=0,"",INDEX('Licences'!$D$4:$D$503,_calc!$E$130))&amp;". ")&amp;IF(LEN(IF(LEN(INDEX('Licences'!$C$4:$C$503,_calc!$E$130))=0,"",INDEX('Licences'!$C$4:$C$503,_calc!$E$130)))=0,"","Issuer: "&amp;IF(LEN(INDEX('Licences'!$C$4:$C$503,_calc!$E$130))=0,"",INDEX('Licences'!$C$4:$C$503,_calc!$E$130))&amp;". ")&amp;IF(LEN(IF(LEN(INDEX('Licences'!$E$4:$E$503,_calc!$E$130))=0,"",INDEX('Licences'!$E$4:$E$503,_calc!$E$130)))=0,"","Site: "&amp;IF(LEN(INDEX('Licences'!$E$4:$E$503,_calc!$E$130))=0,"",INDEX('Licences'!$E$4:$E$503,_calc!$E$130))&amp;". ")&amp;IF(LEN(IF(LEN(INDEX('Licences'!$F$4:$F$503,_calc!$E$130))=0,"",INDEX('Licences'!$F$4:$F$503,_calc!$E$130)))=0,"","Owner: "&amp;IF(LEN(INDEX('Licences'!$F$4:$F$503,_calc!$E$130))=0,"",INDEX('Licences'!$F$4:$F$503,_calc!$E$130))&amp;". ")&amp;IF(LEN(IF(LEN(INDEX('Licences'!$R$4:$R$503,_calc!$E$130))=0,"",INDEX('Licences'!$R$4:$R$503,_calc!$E$130)))=0,"",IF(LEN(INDEX('Licences'!$R$4:$R$503,_calc!$E$130))=0,"",INDEX('Licences'!$R$4:$R$503,_calc!$E$130)))))</f>
        <v/>
      </c>
      <c r="G128" s="44">
        <f>IF(_calc!$E$130="","",IF(LEN(INDEX('Licences'!$Q$4:$Q$503,_calc!$E$130))=0,"",INDEX('Licences'!$Q$4:$Q$503,_calc!$E$130)))</f>
        <v/>
      </c>
      <c r="H128" s="44">
        <f>IF(_calc!$E$130="","",IF(LEN(INDEX('Licences'!$O$4:$O$503,_calc!$E$130))=0,"",INDEX('Licences'!$O$4:$O$503,_calc!$E$130)))</f>
        <v/>
      </c>
      <c r="I128" s="44">
        <f>IF(_calc!$E$130="","",IF(LEN(INDEX('Licences'!$P$4:$P$503,_calc!$E$130))=0,"",INDEX('Licences'!$P$4:$P$503,_calc!$E$130)))</f>
        <v/>
      </c>
      <c r="K128" s="44">
        <f>IF(_calc!$E$130="","",IF(LEN(INDEX('Licences'!$G$4:$G$503,_calc!$E$130))=0,"",INDEX('Licences'!$G$4:$G$503,_calc!$E$130)))</f>
        <v/>
      </c>
    </row>
    <row r="129">
      <c r="A129" s="44">
        <f>IF(_calc!$E$131="","",IF(LEN(INDEX('Licences'!$A$4:$A$503,_calc!$E$131))=0,"",INDEX('Licences'!$A$4:$A$503,_calc!$E$131)))</f>
        <v/>
      </c>
      <c r="B129" s="44">
        <f>IF(_calc!$E$131="","",IF(ISNUMBER(INDEX('Licences'!$J$4:$J$503,_calc!$E$131)),TEXT(INDEX('Licences'!$J$4:$J$503,_calc!$E$131),"yyyy-mm-dd"),""))</f>
        <v/>
      </c>
      <c r="C129" s="44">
        <f>IF(_calc!$E$131="","",IF(LEN(INDEX('Licences'!$B$4:$B$503,_calc!$E$131))=0,"",INDEX('Licences'!$B$4:$B$503,_calc!$E$131)))</f>
        <v/>
      </c>
      <c r="D129" s="44">
        <f>IF(_calc!$E$131="","",IF(ISNUMBER(INDEX('Licences'!$I$4:$I$503,_calc!$E$131)),TEXT(INDEX('Licences'!$I$4:$I$503,_calc!$E$131),"yyyy-mm-dd"),""))</f>
        <v/>
      </c>
      <c r="E129" s="44">
        <f>IF(_calc!$E$131="","",IF(LEN(INDEX('Licences'!$H$4:$H$503,_calc!$E$131))=0,"",INDEX('Licences'!$H$4:$H$503,_calc!$E$131)))</f>
        <v/>
      </c>
      <c r="F129" s="44">
        <f>IF(_calc!$E$131="","",TRIM(IF(LEN(IF(LEN(INDEX('Licences'!$D$4:$D$503,_calc!$E$131))=0,"",INDEX('Licences'!$D$4:$D$503,_calc!$E$131)))=0,"","Ref: "&amp;IF(LEN(INDEX('Licences'!$D$4:$D$503,_calc!$E$131))=0,"",INDEX('Licences'!$D$4:$D$503,_calc!$E$131))&amp;". ")&amp;IF(LEN(IF(LEN(INDEX('Licences'!$C$4:$C$503,_calc!$E$131))=0,"",INDEX('Licences'!$C$4:$C$503,_calc!$E$131)))=0,"","Issuer: "&amp;IF(LEN(INDEX('Licences'!$C$4:$C$503,_calc!$E$131))=0,"",INDEX('Licences'!$C$4:$C$503,_calc!$E$131))&amp;". ")&amp;IF(LEN(IF(LEN(INDEX('Licences'!$E$4:$E$503,_calc!$E$131))=0,"",INDEX('Licences'!$E$4:$E$503,_calc!$E$131)))=0,"","Site: "&amp;IF(LEN(INDEX('Licences'!$E$4:$E$503,_calc!$E$131))=0,"",INDEX('Licences'!$E$4:$E$503,_calc!$E$131))&amp;". ")&amp;IF(LEN(IF(LEN(INDEX('Licences'!$F$4:$F$503,_calc!$E$131))=0,"",INDEX('Licences'!$F$4:$F$503,_calc!$E$131)))=0,"","Owner: "&amp;IF(LEN(INDEX('Licences'!$F$4:$F$503,_calc!$E$131))=0,"",INDEX('Licences'!$F$4:$F$503,_calc!$E$131))&amp;". ")&amp;IF(LEN(IF(LEN(INDEX('Licences'!$R$4:$R$503,_calc!$E$131))=0,"",INDEX('Licences'!$R$4:$R$503,_calc!$E$131)))=0,"",IF(LEN(INDEX('Licences'!$R$4:$R$503,_calc!$E$131))=0,"",INDEX('Licences'!$R$4:$R$503,_calc!$E$131)))))</f>
        <v/>
      </c>
      <c r="G129" s="44">
        <f>IF(_calc!$E$131="","",IF(LEN(INDEX('Licences'!$Q$4:$Q$503,_calc!$E$131))=0,"",INDEX('Licences'!$Q$4:$Q$503,_calc!$E$131)))</f>
        <v/>
      </c>
      <c r="H129" s="44">
        <f>IF(_calc!$E$131="","",IF(LEN(INDEX('Licences'!$O$4:$O$503,_calc!$E$131))=0,"",INDEX('Licences'!$O$4:$O$503,_calc!$E$131)))</f>
        <v/>
      </c>
      <c r="I129" s="44">
        <f>IF(_calc!$E$131="","",IF(LEN(INDEX('Licences'!$P$4:$P$503,_calc!$E$131))=0,"",INDEX('Licences'!$P$4:$P$503,_calc!$E$131)))</f>
        <v/>
      </c>
      <c r="K129" s="44">
        <f>IF(_calc!$E$131="","",IF(LEN(INDEX('Licences'!$G$4:$G$503,_calc!$E$131))=0,"",INDEX('Licences'!$G$4:$G$503,_calc!$E$131)))</f>
        <v/>
      </c>
    </row>
    <row r="130">
      <c r="A130" s="44">
        <f>IF(_calc!$E$132="","",IF(LEN(INDEX('Licences'!$A$4:$A$503,_calc!$E$132))=0,"",INDEX('Licences'!$A$4:$A$503,_calc!$E$132)))</f>
        <v/>
      </c>
      <c r="B130" s="44">
        <f>IF(_calc!$E$132="","",IF(ISNUMBER(INDEX('Licences'!$J$4:$J$503,_calc!$E$132)),TEXT(INDEX('Licences'!$J$4:$J$503,_calc!$E$132),"yyyy-mm-dd"),""))</f>
        <v/>
      </c>
      <c r="C130" s="44">
        <f>IF(_calc!$E$132="","",IF(LEN(INDEX('Licences'!$B$4:$B$503,_calc!$E$132))=0,"",INDEX('Licences'!$B$4:$B$503,_calc!$E$132)))</f>
        <v/>
      </c>
      <c r="D130" s="44">
        <f>IF(_calc!$E$132="","",IF(ISNUMBER(INDEX('Licences'!$I$4:$I$503,_calc!$E$132)),TEXT(INDEX('Licences'!$I$4:$I$503,_calc!$E$132),"yyyy-mm-dd"),""))</f>
        <v/>
      </c>
      <c r="E130" s="44">
        <f>IF(_calc!$E$132="","",IF(LEN(INDEX('Licences'!$H$4:$H$503,_calc!$E$132))=0,"",INDEX('Licences'!$H$4:$H$503,_calc!$E$132)))</f>
        <v/>
      </c>
      <c r="F130" s="44">
        <f>IF(_calc!$E$132="","",TRIM(IF(LEN(IF(LEN(INDEX('Licences'!$D$4:$D$503,_calc!$E$132))=0,"",INDEX('Licences'!$D$4:$D$503,_calc!$E$132)))=0,"","Ref: "&amp;IF(LEN(INDEX('Licences'!$D$4:$D$503,_calc!$E$132))=0,"",INDEX('Licences'!$D$4:$D$503,_calc!$E$132))&amp;". ")&amp;IF(LEN(IF(LEN(INDEX('Licences'!$C$4:$C$503,_calc!$E$132))=0,"",INDEX('Licences'!$C$4:$C$503,_calc!$E$132)))=0,"","Issuer: "&amp;IF(LEN(INDEX('Licences'!$C$4:$C$503,_calc!$E$132))=0,"",INDEX('Licences'!$C$4:$C$503,_calc!$E$132))&amp;". ")&amp;IF(LEN(IF(LEN(INDEX('Licences'!$E$4:$E$503,_calc!$E$132))=0,"",INDEX('Licences'!$E$4:$E$503,_calc!$E$132)))=0,"","Site: "&amp;IF(LEN(INDEX('Licences'!$E$4:$E$503,_calc!$E$132))=0,"",INDEX('Licences'!$E$4:$E$503,_calc!$E$132))&amp;". ")&amp;IF(LEN(IF(LEN(INDEX('Licences'!$F$4:$F$503,_calc!$E$132))=0,"",INDEX('Licences'!$F$4:$F$503,_calc!$E$132)))=0,"","Owner: "&amp;IF(LEN(INDEX('Licences'!$F$4:$F$503,_calc!$E$132))=0,"",INDEX('Licences'!$F$4:$F$503,_calc!$E$132))&amp;". ")&amp;IF(LEN(IF(LEN(INDEX('Licences'!$R$4:$R$503,_calc!$E$132))=0,"",INDEX('Licences'!$R$4:$R$503,_calc!$E$132)))=0,"",IF(LEN(INDEX('Licences'!$R$4:$R$503,_calc!$E$132))=0,"",INDEX('Licences'!$R$4:$R$503,_calc!$E$132)))))</f>
        <v/>
      </c>
      <c r="G130" s="44">
        <f>IF(_calc!$E$132="","",IF(LEN(INDEX('Licences'!$Q$4:$Q$503,_calc!$E$132))=0,"",INDEX('Licences'!$Q$4:$Q$503,_calc!$E$132)))</f>
        <v/>
      </c>
      <c r="H130" s="44">
        <f>IF(_calc!$E$132="","",IF(LEN(INDEX('Licences'!$O$4:$O$503,_calc!$E$132))=0,"",INDEX('Licences'!$O$4:$O$503,_calc!$E$132)))</f>
        <v/>
      </c>
      <c r="I130" s="44">
        <f>IF(_calc!$E$132="","",IF(LEN(INDEX('Licences'!$P$4:$P$503,_calc!$E$132))=0,"",INDEX('Licences'!$P$4:$P$503,_calc!$E$132)))</f>
        <v/>
      </c>
      <c r="K130" s="44">
        <f>IF(_calc!$E$132="","",IF(LEN(INDEX('Licences'!$G$4:$G$503,_calc!$E$132))=0,"",INDEX('Licences'!$G$4:$G$503,_calc!$E$132)))</f>
        <v/>
      </c>
    </row>
    <row r="131">
      <c r="A131" s="44">
        <f>IF(_calc!$E$133="","",IF(LEN(INDEX('Licences'!$A$4:$A$503,_calc!$E$133))=0,"",INDEX('Licences'!$A$4:$A$503,_calc!$E$133)))</f>
        <v/>
      </c>
      <c r="B131" s="44">
        <f>IF(_calc!$E$133="","",IF(ISNUMBER(INDEX('Licences'!$J$4:$J$503,_calc!$E$133)),TEXT(INDEX('Licences'!$J$4:$J$503,_calc!$E$133),"yyyy-mm-dd"),""))</f>
        <v/>
      </c>
      <c r="C131" s="44">
        <f>IF(_calc!$E$133="","",IF(LEN(INDEX('Licences'!$B$4:$B$503,_calc!$E$133))=0,"",INDEX('Licences'!$B$4:$B$503,_calc!$E$133)))</f>
        <v/>
      </c>
      <c r="D131" s="44">
        <f>IF(_calc!$E$133="","",IF(ISNUMBER(INDEX('Licences'!$I$4:$I$503,_calc!$E$133)),TEXT(INDEX('Licences'!$I$4:$I$503,_calc!$E$133),"yyyy-mm-dd"),""))</f>
        <v/>
      </c>
      <c r="E131" s="44">
        <f>IF(_calc!$E$133="","",IF(LEN(INDEX('Licences'!$H$4:$H$503,_calc!$E$133))=0,"",INDEX('Licences'!$H$4:$H$503,_calc!$E$133)))</f>
        <v/>
      </c>
      <c r="F131" s="44">
        <f>IF(_calc!$E$133="","",TRIM(IF(LEN(IF(LEN(INDEX('Licences'!$D$4:$D$503,_calc!$E$133))=0,"",INDEX('Licences'!$D$4:$D$503,_calc!$E$133)))=0,"","Ref: "&amp;IF(LEN(INDEX('Licences'!$D$4:$D$503,_calc!$E$133))=0,"",INDEX('Licences'!$D$4:$D$503,_calc!$E$133))&amp;". ")&amp;IF(LEN(IF(LEN(INDEX('Licences'!$C$4:$C$503,_calc!$E$133))=0,"",INDEX('Licences'!$C$4:$C$503,_calc!$E$133)))=0,"","Issuer: "&amp;IF(LEN(INDEX('Licences'!$C$4:$C$503,_calc!$E$133))=0,"",INDEX('Licences'!$C$4:$C$503,_calc!$E$133))&amp;". ")&amp;IF(LEN(IF(LEN(INDEX('Licences'!$E$4:$E$503,_calc!$E$133))=0,"",INDEX('Licences'!$E$4:$E$503,_calc!$E$133)))=0,"","Site: "&amp;IF(LEN(INDEX('Licences'!$E$4:$E$503,_calc!$E$133))=0,"",INDEX('Licences'!$E$4:$E$503,_calc!$E$133))&amp;". ")&amp;IF(LEN(IF(LEN(INDEX('Licences'!$F$4:$F$503,_calc!$E$133))=0,"",INDEX('Licences'!$F$4:$F$503,_calc!$E$133)))=0,"","Owner: "&amp;IF(LEN(INDEX('Licences'!$F$4:$F$503,_calc!$E$133))=0,"",INDEX('Licences'!$F$4:$F$503,_calc!$E$133))&amp;". ")&amp;IF(LEN(IF(LEN(INDEX('Licences'!$R$4:$R$503,_calc!$E$133))=0,"",INDEX('Licences'!$R$4:$R$503,_calc!$E$133)))=0,"",IF(LEN(INDEX('Licences'!$R$4:$R$503,_calc!$E$133))=0,"",INDEX('Licences'!$R$4:$R$503,_calc!$E$133)))))</f>
        <v/>
      </c>
      <c r="G131" s="44">
        <f>IF(_calc!$E$133="","",IF(LEN(INDEX('Licences'!$Q$4:$Q$503,_calc!$E$133))=0,"",INDEX('Licences'!$Q$4:$Q$503,_calc!$E$133)))</f>
        <v/>
      </c>
      <c r="H131" s="44">
        <f>IF(_calc!$E$133="","",IF(LEN(INDEX('Licences'!$O$4:$O$503,_calc!$E$133))=0,"",INDEX('Licences'!$O$4:$O$503,_calc!$E$133)))</f>
        <v/>
      </c>
      <c r="I131" s="44">
        <f>IF(_calc!$E$133="","",IF(LEN(INDEX('Licences'!$P$4:$P$503,_calc!$E$133))=0,"",INDEX('Licences'!$P$4:$P$503,_calc!$E$133)))</f>
        <v/>
      </c>
      <c r="K131" s="44">
        <f>IF(_calc!$E$133="","",IF(LEN(INDEX('Licences'!$G$4:$G$503,_calc!$E$133))=0,"",INDEX('Licences'!$G$4:$G$503,_calc!$E$133)))</f>
        <v/>
      </c>
    </row>
    <row r="132">
      <c r="A132" s="44">
        <f>IF(_calc!$E$134="","",IF(LEN(INDEX('Licences'!$A$4:$A$503,_calc!$E$134))=0,"",INDEX('Licences'!$A$4:$A$503,_calc!$E$134)))</f>
        <v/>
      </c>
      <c r="B132" s="44">
        <f>IF(_calc!$E$134="","",IF(ISNUMBER(INDEX('Licences'!$J$4:$J$503,_calc!$E$134)),TEXT(INDEX('Licences'!$J$4:$J$503,_calc!$E$134),"yyyy-mm-dd"),""))</f>
        <v/>
      </c>
      <c r="C132" s="44">
        <f>IF(_calc!$E$134="","",IF(LEN(INDEX('Licences'!$B$4:$B$503,_calc!$E$134))=0,"",INDEX('Licences'!$B$4:$B$503,_calc!$E$134)))</f>
        <v/>
      </c>
      <c r="D132" s="44">
        <f>IF(_calc!$E$134="","",IF(ISNUMBER(INDEX('Licences'!$I$4:$I$503,_calc!$E$134)),TEXT(INDEX('Licences'!$I$4:$I$503,_calc!$E$134),"yyyy-mm-dd"),""))</f>
        <v/>
      </c>
      <c r="E132" s="44">
        <f>IF(_calc!$E$134="","",IF(LEN(INDEX('Licences'!$H$4:$H$503,_calc!$E$134))=0,"",INDEX('Licences'!$H$4:$H$503,_calc!$E$134)))</f>
        <v/>
      </c>
      <c r="F132" s="44">
        <f>IF(_calc!$E$134="","",TRIM(IF(LEN(IF(LEN(INDEX('Licences'!$D$4:$D$503,_calc!$E$134))=0,"",INDEX('Licences'!$D$4:$D$503,_calc!$E$134)))=0,"","Ref: "&amp;IF(LEN(INDEX('Licences'!$D$4:$D$503,_calc!$E$134))=0,"",INDEX('Licences'!$D$4:$D$503,_calc!$E$134))&amp;". ")&amp;IF(LEN(IF(LEN(INDEX('Licences'!$C$4:$C$503,_calc!$E$134))=0,"",INDEX('Licences'!$C$4:$C$503,_calc!$E$134)))=0,"","Issuer: "&amp;IF(LEN(INDEX('Licences'!$C$4:$C$503,_calc!$E$134))=0,"",INDEX('Licences'!$C$4:$C$503,_calc!$E$134))&amp;". ")&amp;IF(LEN(IF(LEN(INDEX('Licences'!$E$4:$E$503,_calc!$E$134))=0,"",INDEX('Licences'!$E$4:$E$503,_calc!$E$134)))=0,"","Site: "&amp;IF(LEN(INDEX('Licences'!$E$4:$E$503,_calc!$E$134))=0,"",INDEX('Licences'!$E$4:$E$503,_calc!$E$134))&amp;". ")&amp;IF(LEN(IF(LEN(INDEX('Licences'!$F$4:$F$503,_calc!$E$134))=0,"",INDEX('Licences'!$F$4:$F$503,_calc!$E$134)))=0,"","Owner: "&amp;IF(LEN(INDEX('Licences'!$F$4:$F$503,_calc!$E$134))=0,"",INDEX('Licences'!$F$4:$F$503,_calc!$E$134))&amp;". ")&amp;IF(LEN(IF(LEN(INDEX('Licences'!$R$4:$R$503,_calc!$E$134))=0,"",INDEX('Licences'!$R$4:$R$503,_calc!$E$134)))=0,"",IF(LEN(INDEX('Licences'!$R$4:$R$503,_calc!$E$134))=0,"",INDEX('Licences'!$R$4:$R$503,_calc!$E$134)))))</f>
        <v/>
      </c>
      <c r="G132" s="44">
        <f>IF(_calc!$E$134="","",IF(LEN(INDEX('Licences'!$Q$4:$Q$503,_calc!$E$134))=0,"",INDEX('Licences'!$Q$4:$Q$503,_calc!$E$134)))</f>
        <v/>
      </c>
      <c r="H132" s="44">
        <f>IF(_calc!$E$134="","",IF(LEN(INDEX('Licences'!$O$4:$O$503,_calc!$E$134))=0,"",INDEX('Licences'!$O$4:$O$503,_calc!$E$134)))</f>
        <v/>
      </c>
      <c r="I132" s="44">
        <f>IF(_calc!$E$134="","",IF(LEN(INDEX('Licences'!$P$4:$P$503,_calc!$E$134))=0,"",INDEX('Licences'!$P$4:$P$503,_calc!$E$134)))</f>
        <v/>
      </c>
      <c r="K132" s="44">
        <f>IF(_calc!$E$134="","",IF(LEN(INDEX('Licences'!$G$4:$G$503,_calc!$E$134))=0,"",INDEX('Licences'!$G$4:$G$503,_calc!$E$134)))</f>
        <v/>
      </c>
    </row>
    <row r="133">
      <c r="A133" s="44">
        <f>IF(_calc!$E$135="","",IF(LEN(INDEX('Licences'!$A$4:$A$503,_calc!$E$135))=0,"",INDEX('Licences'!$A$4:$A$503,_calc!$E$135)))</f>
        <v/>
      </c>
      <c r="B133" s="44">
        <f>IF(_calc!$E$135="","",IF(ISNUMBER(INDEX('Licences'!$J$4:$J$503,_calc!$E$135)),TEXT(INDEX('Licences'!$J$4:$J$503,_calc!$E$135),"yyyy-mm-dd"),""))</f>
        <v/>
      </c>
      <c r="C133" s="44">
        <f>IF(_calc!$E$135="","",IF(LEN(INDEX('Licences'!$B$4:$B$503,_calc!$E$135))=0,"",INDEX('Licences'!$B$4:$B$503,_calc!$E$135)))</f>
        <v/>
      </c>
      <c r="D133" s="44">
        <f>IF(_calc!$E$135="","",IF(ISNUMBER(INDEX('Licences'!$I$4:$I$503,_calc!$E$135)),TEXT(INDEX('Licences'!$I$4:$I$503,_calc!$E$135),"yyyy-mm-dd"),""))</f>
        <v/>
      </c>
      <c r="E133" s="44">
        <f>IF(_calc!$E$135="","",IF(LEN(INDEX('Licences'!$H$4:$H$503,_calc!$E$135))=0,"",INDEX('Licences'!$H$4:$H$503,_calc!$E$135)))</f>
        <v/>
      </c>
      <c r="F133" s="44">
        <f>IF(_calc!$E$135="","",TRIM(IF(LEN(IF(LEN(INDEX('Licences'!$D$4:$D$503,_calc!$E$135))=0,"",INDEX('Licences'!$D$4:$D$503,_calc!$E$135)))=0,"","Ref: "&amp;IF(LEN(INDEX('Licences'!$D$4:$D$503,_calc!$E$135))=0,"",INDEX('Licences'!$D$4:$D$503,_calc!$E$135))&amp;". ")&amp;IF(LEN(IF(LEN(INDEX('Licences'!$C$4:$C$503,_calc!$E$135))=0,"",INDEX('Licences'!$C$4:$C$503,_calc!$E$135)))=0,"","Issuer: "&amp;IF(LEN(INDEX('Licences'!$C$4:$C$503,_calc!$E$135))=0,"",INDEX('Licences'!$C$4:$C$503,_calc!$E$135))&amp;". ")&amp;IF(LEN(IF(LEN(INDEX('Licences'!$E$4:$E$503,_calc!$E$135))=0,"",INDEX('Licences'!$E$4:$E$503,_calc!$E$135)))=0,"","Site: "&amp;IF(LEN(INDEX('Licences'!$E$4:$E$503,_calc!$E$135))=0,"",INDEX('Licences'!$E$4:$E$503,_calc!$E$135))&amp;". ")&amp;IF(LEN(IF(LEN(INDEX('Licences'!$F$4:$F$503,_calc!$E$135))=0,"",INDEX('Licences'!$F$4:$F$503,_calc!$E$135)))=0,"","Owner: "&amp;IF(LEN(INDEX('Licences'!$F$4:$F$503,_calc!$E$135))=0,"",INDEX('Licences'!$F$4:$F$503,_calc!$E$135))&amp;". ")&amp;IF(LEN(IF(LEN(INDEX('Licences'!$R$4:$R$503,_calc!$E$135))=0,"",INDEX('Licences'!$R$4:$R$503,_calc!$E$135)))=0,"",IF(LEN(INDEX('Licences'!$R$4:$R$503,_calc!$E$135))=0,"",INDEX('Licences'!$R$4:$R$503,_calc!$E$135)))))</f>
        <v/>
      </c>
      <c r="G133" s="44">
        <f>IF(_calc!$E$135="","",IF(LEN(INDEX('Licences'!$Q$4:$Q$503,_calc!$E$135))=0,"",INDEX('Licences'!$Q$4:$Q$503,_calc!$E$135)))</f>
        <v/>
      </c>
      <c r="H133" s="44">
        <f>IF(_calc!$E$135="","",IF(LEN(INDEX('Licences'!$O$4:$O$503,_calc!$E$135))=0,"",INDEX('Licences'!$O$4:$O$503,_calc!$E$135)))</f>
        <v/>
      </c>
      <c r="I133" s="44">
        <f>IF(_calc!$E$135="","",IF(LEN(INDEX('Licences'!$P$4:$P$503,_calc!$E$135))=0,"",INDEX('Licences'!$P$4:$P$503,_calc!$E$135)))</f>
        <v/>
      </c>
      <c r="K133" s="44">
        <f>IF(_calc!$E$135="","",IF(LEN(INDEX('Licences'!$G$4:$G$503,_calc!$E$135))=0,"",INDEX('Licences'!$G$4:$G$503,_calc!$E$135)))</f>
        <v/>
      </c>
    </row>
    <row r="134">
      <c r="A134" s="44">
        <f>IF(_calc!$E$136="","",IF(LEN(INDEX('Licences'!$A$4:$A$503,_calc!$E$136))=0,"",INDEX('Licences'!$A$4:$A$503,_calc!$E$136)))</f>
        <v/>
      </c>
      <c r="B134" s="44">
        <f>IF(_calc!$E$136="","",IF(ISNUMBER(INDEX('Licences'!$J$4:$J$503,_calc!$E$136)),TEXT(INDEX('Licences'!$J$4:$J$503,_calc!$E$136),"yyyy-mm-dd"),""))</f>
        <v/>
      </c>
      <c r="C134" s="44">
        <f>IF(_calc!$E$136="","",IF(LEN(INDEX('Licences'!$B$4:$B$503,_calc!$E$136))=0,"",INDEX('Licences'!$B$4:$B$503,_calc!$E$136)))</f>
        <v/>
      </c>
      <c r="D134" s="44">
        <f>IF(_calc!$E$136="","",IF(ISNUMBER(INDEX('Licences'!$I$4:$I$503,_calc!$E$136)),TEXT(INDEX('Licences'!$I$4:$I$503,_calc!$E$136),"yyyy-mm-dd"),""))</f>
        <v/>
      </c>
      <c r="E134" s="44">
        <f>IF(_calc!$E$136="","",IF(LEN(INDEX('Licences'!$H$4:$H$503,_calc!$E$136))=0,"",INDEX('Licences'!$H$4:$H$503,_calc!$E$136)))</f>
        <v/>
      </c>
      <c r="F134" s="44">
        <f>IF(_calc!$E$136="","",TRIM(IF(LEN(IF(LEN(INDEX('Licences'!$D$4:$D$503,_calc!$E$136))=0,"",INDEX('Licences'!$D$4:$D$503,_calc!$E$136)))=0,"","Ref: "&amp;IF(LEN(INDEX('Licences'!$D$4:$D$503,_calc!$E$136))=0,"",INDEX('Licences'!$D$4:$D$503,_calc!$E$136))&amp;". ")&amp;IF(LEN(IF(LEN(INDEX('Licences'!$C$4:$C$503,_calc!$E$136))=0,"",INDEX('Licences'!$C$4:$C$503,_calc!$E$136)))=0,"","Issuer: "&amp;IF(LEN(INDEX('Licences'!$C$4:$C$503,_calc!$E$136))=0,"",INDEX('Licences'!$C$4:$C$503,_calc!$E$136))&amp;". ")&amp;IF(LEN(IF(LEN(INDEX('Licences'!$E$4:$E$503,_calc!$E$136))=0,"",INDEX('Licences'!$E$4:$E$503,_calc!$E$136)))=0,"","Site: "&amp;IF(LEN(INDEX('Licences'!$E$4:$E$503,_calc!$E$136))=0,"",INDEX('Licences'!$E$4:$E$503,_calc!$E$136))&amp;". ")&amp;IF(LEN(IF(LEN(INDEX('Licences'!$F$4:$F$503,_calc!$E$136))=0,"",INDEX('Licences'!$F$4:$F$503,_calc!$E$136)))=0,"","Owner: "&amp;IF(LEN(INDEX('Licences'!$F$4:$F$503,_calc!$E$136))=0,"",INDEX('Licences'!$F$4:$F$503,_calc!$E$136))&amp;". ")&amp;IF(LEN(IF(LEN(INDEX('Licences'!$R$4:$R$503,_calc!$E$136))=0,"",INDEX('Licences'!$R$4:$R$503,_calc!$E$136)))=0,"",IF(LEN(INDEX('Licences'!$R$4:$R$503,_calc!$E$136))=0,"",INDEX('Licences'!$R$4:$R$503,_calc!$E$136)))))</f>
        <v/>
      </c>
      <c r="G134" s="44">
        <f>IF(_calc!$E$136="","",IF(LEN(INDEX('Licences'!$Q$4:$Q$503,_calc!$E$136))=0,"",INDEX('Licences'!$Q$4:$Q$503,_calc!$E$136)))</f>
        <v/>
      </c>
      <c r="H134" s="44">
        <f>IF(_calc!$E$136="","",IF(LEN(INDEX('Licences'!$O$4:$O$503,_calc!$E$136))=0,"",INDEX('Licences'!$O$4:$O$503,_calc!$E$136)))</f>
        <v/>
      </c>
      <c r="I134" s="44">
        <f>IF(_calc!$E$136="","",IF(LEN(INDEX('Licences'!$P$4:$P$503,_calc!$E$136))=0,"",INDEX('Licences'!$P$4:$P$503,_calc!$E$136)))</f>
        <v/>
      </c>
      <c r="K134" s="44">
        <f>IF(_calc!$E$136="","",IF(LEN(INDEX('Licences'!$G$4:$G$503,_calc!$E$136))=0,"",INDEX('Licences'!$G$4:$G$503,_calc!$E$136)))</f>
        <v/>
      </c>
    </row>
    <row r="135">
      <c r="A135" s="44">
        <f>IF(_calc!$E$137="","",IF(LEN(INDEX('Licences'!$A$4:$A$503,_calc!$E$137))=0,"",INDEX('Licences'!$A$4:$A$503,_calc!$E$137)))</f>
        <v/>
      </c>
      <c r="B135" s="44">
        <f>IF(_calc!$E$137="","",IF(ISNUMBER(INDEX('Licences'!$J$4:$J$503,_calc!$E$137)),TEXT(INDEX('Licences'!$J$4:$J$503,_calc!$E$137),"yyyy-mm-dd"),""))</f>
        <v/>
      </c>
      <c r="C135" s="44">
        <f>IF(_calc!$E$137="","",IF(LEN(INDEX('Licences'!$B$4:$B$503,_calc!$E$137))=0,"",INDEX('Licences'!$B$4:$B$503,_calc!$E$137)))</f>
        <v/>
      </c>
      <c r="D135" s="44">
        <f>IF(_calc!$E$137="","",IF(ISNUMBER(INDEX('Licences'!$I$4:$I$503,_calc!$E$137)),TEXT(INDEX('Licences'!$I$4:$I$503,_calc!$E$137),"yyyy-mm-dd"),""))</f>
        <v/>
      </c>
      <c r="E135" s="44">
        <f>IF(_calc!$E$137="","",IF(LEN(INDEX('Licences'!$H$4:$H$503,_calc!$E$137))=0,"",INDEX('Licences'!$H$4:$H$503,_calc!$E$137)))</f>
        <v/>
      </c>
      <c r="F135" s="44">
        <f>IF(_calc!$E$137="","",TRIM(IF(LEN(IF(LEN(INDEX('Licences'!$D$4:$D$503,_calc!$E$137))=0,"",INDEX('Licences'!$D$4:$D$503,_calc!$E$137)))=0,"","Ref: "&amp;IF(LEN(INDEX('Licences'!$D$4:$D$503,_calc!$E$137))=0,"",INDEX('Licences'!$D$4:$D$503,_calc!$E$137))&amp;". ")&amp;IF(LEN(IF(LEN(INDEX('Licences'!$C$4:$C$503,_calc!$E$137))=0,"",INDEX('Licences'!$C$4:$C$503,_calc!$E$137)))=0,"","Issuer: "&amp;IF(LEN(INDEX('Licences'!$C$4:$C$503,_calc!$E$137))=0,"",INDEX('Licences'!$C$4:$C$503,_calc!$E$137))&amp;". ")&amp;IF(LEN(IF(LEN(INDEX('Licences'!$E$4:$E$503,_calc!$E$137))=0,"",INDEX('Licences'!$E$4:$E$503,_calc!$E$137)))=0,"","Site: "&amp;IF(LEN(INDEX('Licences'!$E$4:$E$503,_calc!$E$137))=0,"",INDEX('Licences'!$E$4:$E$503,_calc!$E$137))&amp;". ")&amp;IF(LEN(IF(LEN(INDEX('Licences'!$F$4:$F$503,_calc!$E$137))=0,"",INDEX('Licences'!$F$4:$F$503,_calc!$E$137)))=0,"","Owner: "&amp;IF(LEN(INDEX('Licences'!$F$4:$F$503,_calc!$E$137))=0,"",INDEX('Licences'!$F$4:$F$503,_calc!$E$137))&amp;". ")&amp;IF(LEN(IF(LEN(INDEX('Licences'!$R$4:$R$503,_calc!$E$137))=0,"",INDEX('Licences'!$R$4:$R$503,_calc!$E$137)))=0,"",IF(LEN(INDEX('Licences'!$R$4:$R$503,_calc!$E$137))=0,"",INDEX('Licences'!$R$4:$R$503,_calc!$E$137)))))</f>
        <v/>
      </c>
      <c r="G135" s="44">
        <f>IF(_calc!$E$137="","",IF(LEN(INDEX('Licences'!$Q$4:$Q$503,_calc!$E$137))=0,"",INDEX('Licences'!$Q$4:$Q$503,_calc!$E$137)))</f>
        <v/>
      </c>
      <c r="H135" s="44">
        <f>IF(_calc!$E$137="","",IF(LEN(INDEX('Licences'!$O$4:$O$503,_calc!$E$137))=0,"",INDEX('Licences'!$O$4:$O$503,_calc!$E$137)))</f>
        <v/>
      </c>
      <c r="I135" s="44">
        <f>IF(_calc!$E$137="","",IF(LEN(INDEX('Licences'!$P$4:$P$503,_calc!$E$137))=0,"",INDEX('Licences'!$P$4:$P$503,_calc!$E$137)))</f>
        <v/>
      </c>
      <c r="K135" s="44">
        <f>IF(_calc!$E$137="","",IF(LEN(INDEX('Licences'!$G$4:$G$503,_calc!$E$137))=0,"",INDEX('Licences'!$G$4:$G$503,_calc!$E$137)))</f>
        <v/>
      </c>
    </row>
    <row r="136">
      <c r="A136" s="44">
        <f>IF(_calc!$E$138="","",IF(LEN(INDEX('Licences'!$A$4:$A$503,_calc!$E$138))=0,"",INDEX('Licences'!$A$4:$A$503,_calc!$E$138)))</f>
        <v/>
      </c>
      <c r="B136" s="44">
        <f>IF(_calc!$E$138="","",IF(ISNUMBER(INDEX('Licences'!$J$4:$J$503,_calc!$E$138)),TEXT(INDEX('Licences'!$J$4:$J$503,_calc!$E$138),"yyyy-mm-dd"),""))</f>
        <v/>
      </c>
      <c r="C136" s="44">
        <f>IF(_calc!$E$138="","",IF(LEN(INDEX('Licences'!$B$4:$B$503,_calc!$E$138))=0,"",INDEX('Licences'!$B$4:$B$503,_calc!$E$138)))</f>
        <v/>
      </c>
      <c r="D136" s="44">
        <f>IF(_calc!$E$138="","",IF(ISNUMBER(INDEX('Licences'!$I$4:$I$503,_calc!$E$138)),TEXT(INDEX('Licences'!$I$4:$I$503,_calc!$E$138),"yyyy-mm-dd"),""))</f>
        <v/>
      </c>
      <c r="E136" s="44">
        <f>IF(_calc!$E$138="","",IF(LEN(INDEX('Licences'!$H$4:$H$503,_calc!$E$138))=0,"",INDEX('Licences'!$H$4:$H$503,_calc!$E$138)))</f>
        <v/>
      </c>
      <c r="F136" s="44">
        <f>IF(_calc!$E$138="","",TRIM(IF(LEN(IF(LEN(INDEX('Licences'!$D$4:$D$503,_calc!$E$138))=0,"",INDEX('Licences'!$D$4:$D$503,_calc!$E$138)))=0,"","Ref: "&amp;IF(LEN(INDEX('Licences'!$D$4:$D$503,_calc!$E$138))=0,"",INDEX('Licences'!$D$4:$D$503,_calc!$E$138))&amp;". ")&amp;IF(LEN(IF(LEN(INDEX('Licences'!$C$4:$C$503,_calc!$E$138))=0,"",INDEX('Licences'!$C$4:$C$503,_calc!$E$138)))=0,"","Issuer: "&amp;IF(LEN(INDEX('Licences'!$C$4:$C$503,_calc!$E$138))=0,"",INDEX('Licences'!$C$4:$C$503,_calc!$E$138))&amp;". ")&amp;IF(LEN(IF(LEN(INDEX('Licences'!$E$4:$E$503,_calc!$E$138))=0,"",INDEX('Licences'!$E$4:$E$503,_calc!$E$138)))=0,"","Site: "&amp;IF(LEN(INDEX('Licences'!$E$4:$E$503,_calc!$E$138))=0,"",INDEX('Licences'!$E$4:$E$503,_calc!$E$138))&amp;". ")&amp;IF(LEN(IF(LEN(INDEX('Licences'!$F$4:$F$503,_calc!$E$138))=0,"",INDEX('Licences'!$F$4:$F$503,_calc!$E$138)))=0,"","Owner: "&amp;IF(LEN(INDEX('Licences'!$F$4:$F$503,_calc!$E$138))=0,"",INDEX('Licences'!$F$4:$F$503,_calc!$E$138))&amp;". ")&amp;IF(LEN(IF(LEN(INDEX('Licences'!$R$4:$R$503,_calc!$E$138))=0,"",INDEX('Licences'!$R$4:$R$503,_calc!$E$138)))=0,"",IF(LEN(INDEX('Licences'!$R$4:$R$503,_calc!$E$138))=0,"",INDEX('Licences'!$R$4:$R$503,_calc!$E$138)))))</f>
        <v/>
      </c>
      <c r="G136" s="44">
        <f>IF(_calc!$E$138="","",IF(LEN(INDEX('Licences'!$Q$4:$Q$503,_calc!$E$138))=0,"",INDEX('Licences'!$Q$4:$Q$503,_calc!$E$138)))</f>
        <v/>
      </c>
      <c r="H136" s="44">
        <f>IF(_calc!$E$138="","",IF(LEN(INDEX('Licences'!$O$4:$O$503,_calc!$E$138))=0,"",INDEX('Licences'!$O$4:$O$503,_calc!$E$138)))</f>
        <v/>
      </c>
      <c r="I136" s="44">
        <f>IF(_calc!$E$138="","",IF(LEN(INDEX('Licences'!$P$4:$P$503,_calc!$E$138))=0,"",INDEX('Licences'!$P$4:$P$503,_calc!$E$138)))</f>
        <v/>
      </c>
      <c r="K136" s="44">
        <f>IF(_calc!$E$138="","",IF(LEN(INDEX('Licences'!$G$4:$G$503,_calc!$E$138))=0,"",INDEX('Licences'!$G$4:$G$503,_calc!$E$138)))</f>
        <v/>
      </c>
    </row>
    <row r="137">
      <c r="A137" s="44">
        <f>IF(_calc!$E$139="","",IF(LEN(INDEX('Licences'!$A$4:$A$503,_calc!$E$139))=0,"",INDEX('Licences'!$A$4:$A$503,_calc!$E$139)))</f>
        <v/>
      </c>
      <c r="B137" s="44">
        <f>IF(_calc!$E$139="","",IF(ISNUMBER(INDEX('Licences'!$J$4:$J$503,_calc!$E$139)),TEXT(INDEX('Licences'!$J$4:$J$503,_calc!$E$139),"yyyy-mm-dd"),""))</f>
        <v/>
      </c>
      <c r="C137" s="44">
        <f>IF(_calc!$E$139="","",IF(LEN(INDEX('Licences'!$B$4:$B$503,_calc!$E$139))=0,"",INDEX('Licences'!$B$4:$B$503,_calc!$E$139)))</f>
        <v/>
      </c>
      <c r="D137" s="44">
        <f>IF(_calc!$E$139="","",IF(ISNUMBER(INDEX('Licences'!$I$4:$I$503,_calc!$E$139)),TEXT(INDEX('Licences'!$I$4:$I$503,_calc!$E$139),"yyyy-mm-dd"),""))</f>
        <v/>
      </c>
      <c r="E137" s="44">
        <f>IF(_calc!$E$139="","",IF(LEN(INDEX('Licences'!$H$4:$H$503,_calc!$E$139))=0,"",INDEX('Licences'!$H$4:$H$503,_calc!$E$139)))</f>
        <v/>
      </c>
      <c r="F137" s="44">
        <f>IF(_calc!$E$139="","",TRIM(IF(LEN(IF(LEN(INDEX('Licences'!$D$4:$D$503,_calc!$E$139))=0,"",INDEX('Licences'!$D$4:$D$503,_calc!$E$139)))=0,"","Ref: "&amp;IF(LEN(INDEX('Licences'!$D$4:$D$503,_calc!$E$139))=0,"",INDEX('Licences'!$D$4:$D$503,_calc!$E$139))&amp;". ")&amp;IF(LEN(IF(LEN(INDEX('Licences'!$C$4:$C$503,_calc!$E$139))=0,"",INDEX('Licences'!$C$4:$C$503,_calc!$E$139)))=0,"","Issuer: "&amp;IF(LEN(INDEX('Licences'!$C$4:$C$503,_calc!$E$139))=0,"",INDEX('Licences'!$C$4:$C$503,_calc!$E$139))&amp;". ")&amp;IF(LEN(IF(LEN(INDEX('Licences'!$E$4:$E$503,_calc!$E$139))=0,"",INDEX('Licences'!$E$4:$E$503,_calc!$E$139)))=0,"","Site: "&amp;IF(LEN(INDEX('Licences'!$E$4:$E$503,_calc!$E$139))=0,"",INDEX('Licences'!$E$4:$E$503,_calc!$E$139))&amp;". ")&amp;IF(LEN(IF(LEN(INDEX('Licences'!$F$4:$F$503,_calc!$E$139))=0,"",INDEX('Licences'!$F$4:$F$503,_calc!$E$139)))=0,"","Owner: "&amp;IF(LEN(INDEX('Licences'!$F$4:$F$503,_calc!$E$139))=0,"",INDEX('Licences'!$F$4:$F$503,_calc!$E$139))&amp;". ")&amp;IF(LEN(IF(LEN(INDEX('Licences'!$R$4:$R$503,_calc!$E$139))=0,"",INDEX('Licences'!$R$4:$R$503,_calc!$E$139)))=0,"",IF(LEN(INDEX('Licences'!$R$4:$R$503,_calc!$E$139))=0,"",INDEX('Licences'!$R$4:$R$503,_calc!$E$139)))))</f>
        <v/>
      </c>
      <c r="G137" s="44">
        <f>IF(_calc!$E$139="","",IF(LEN(INDEX('Licences'!$Q$4:$Q$503,_calc!$E$139))=0,"",INDEX('Licences'!$Q$4:$Q$503,_calc!$E$139)))</f>
        <v/>
      </c>
      <c r="H137" s="44">
        <f>IF(_calc!$E$139="","",IF(LEN(INDEX('Licences'!$O$4:$O$503,_calc!$E$139))=0,"",INDEX('Licences'!$O$4:$O$503,_calc!$E$139)))</f>
        <v/>
      </c>
      <c r="I137" s="44">
        <f>IF(_calc!$E$139="","",IF(LEN(INDEX('Licences'!$P$4:$P$503,_calc!$E$139))=0,"",INDEX('Licences'!$P$4:$P$503,_calc!$E$139)))</f>
        <v/>
      </c>
      <c r="K137" s="44">
        <f>IF(_calc!$E$139="","",IF(LEN(INDEX('Licences'!$G$4:$G$503,_calc!$E$139))=0,"",INDEX('Licences'!$G$4:$G$503,_calc!$E$139)))</f>
        <v/>
      </c>
    </row>
    <row r="138">
      <c r="A138" s="44">
        <f>IF(_calc!$E$140="","",IF(LEN(INDEX('Licences'!$A$4:$A$503,_calc!$E$140))=0,"",INDEX('Licences'!$A$4:$A$503,_calc!$E$140)))</f>
        <v/>
      </c>
      <c r="B138" s="44">
        <f>IF(_calc!$E$140="","",IF(ISNUMBER(INDEX('Licences'!$J$4:$J$503,_calc!$E$140)),TEXT(INDEX('Licences'!$J$4:$J$503,_calc!$E$140),"yyyy-mm-dd"),""))</f>
        <v/>
      </c>
      <c r="C138" s="44">
        <f>IF(_calc!$E$140="","",IF(LEN(INDEX('Licences'!$B$4:$B$503,_calc!$E$140))=0,"",INDEX('Licences'!$B$4:$B$503,_calc!$E$140)))</f>
        <v/>
      </c>
      <c r="D138" s="44">
        <f>IF(_calc!$E$140="","",IF(ISNUMBER(INDEX('Licences'!$I$4:$I$503,_calc!$E$140)),TEXT(INDEX('Licences'!$I$4:$I$503,_calc!$E$140),"yyyy-mm-dd"),""))</f>
        <v/>
      </c>
      <c r="E138" s="44">
        <f>IF(_calc!$E$140="","",IF(LEN(INDEX('Licences'!$H$4:$H$503,_calc!$E$140))=0,"",INDEX('Licences'!$H$4:$H$503,_calc!$E$140)))</f>
        <v/>
      </c>
      <c r="F138" s="44">
        <f>IF(_calc!$E$140="","",TRIM(IF(LEN(IF(LEN(INDEX('Licences'!$D$4:$D$503,_calc!$E$140))=0,"",INDEX('Licences'!$D$4:$D$503,_calc!$E$140)))=0,"","Ref: "&amp;IF(LEN(INDEX('Licences'!$D$4:$D$503,_calc!$E$140))=0,"",INDEX('Licences'!$D$4:$D$503,_calc!$E$140))&amp;". ")&amp;IF(LEN(IF(LEN(INDEX('Licences'!$C$4:$C$503,_calc!$E$140))=0,"",INDEX('Licences'!$C$4:$C$503,_calc!$E$140)))=0,"","Issuer: "&amp;IF(LEN(INDEX('Licences'!$C$4:$C$503,_calc!$E$140))=0,"",INDEX('Licences'!$C$4:$C$503,_calc!$E$140))&amp;". ")&amp;IF(LEN(IF(LEN(INDEX('Licences'!$E$4:$E$503,_calc!$E$140))=0,"",INDEX('Licences'!$E$4:$E$503,_calc!$E$140)))=0,"","Site: "&amp;IF(LEN(INDEX('Licences'!$E$4:$E$503,_calc!$E$140))=0,"",INDEX('Licences'!$E$4:$E$503,_calc!$E$140))&amp;". ")&amp;IF(LEN(IF(LEN(INDEX('Licences'!$F$4:$F$503,_calc!$E$140))=0,"",INDEX('Licences'!$F$4:$F$503,_calc!$E$140)))=0,"","Owner: "&amp;IF(LEN(INDEX('Licences'!$F$4:$F$503,_calc!$E$140))=0,"",INDEX('Licences'!$F$4:$F$503,_calc!$E$140))&amp;". ")&amp;IF(LEN(IF(LEN(INDEX('Licences'!$R$4:$R$503,_calc!$E$140))=0,"",INDEX('Licences'!$R$4:$R$503,_calc!$E$140)))=0,"",IF(LEN(INDEX('Licences'!$R$4:$R$503,_calc!$E$140))=0,"",INDEX('Licences'!$R$4:$R$503,_calc!$E$140)))))</f>
        <v/>
      </c>
      <c r="G138" s="44">
        <f>IF(_calc!$E$140="","",IF(LEN(INDEX('Licences'!$Q$4:$Q$503,_calc!$E$140))=0,"",INDEX('Licences'!$Q$4:$Q$503,_calc!$E$140)))</f>
        <v/>
      </c>
      <c r="H138" s="44">
        <f>IF(_calc!$E$140="","",IF(LEN(INDEX('Licences'!$O$4:$O$503,_calc!$E$140))=0,"",INDEX('Licences'!$O$4:$O$503,_calc!$E$140)))</f>
        <v/>
      </c>
      <c r="I138" s="44">
        <f>IF(_calc!$E$140="","",IF(LEN(INDEX('Licences'!$P$4:$P$503,_calc!$E$140))=0,"",INDEX('Licences'!$P$4:$P$503,_calc!$E$140)))</f>
        <v/>
      </c>
      <c r="K138" s="44">
        <f>IF(_calc!$E$140="","",IF(LEN(INDEX('Licences'!$G$4:$G$503,_calc!$E$140))=0,"",INDEX('Licences'!$G$4:$G$503,_calc!$E$140)))</f>
        <v/>
      </c>
    </row>
    <row r="139">
      <c r="A139" s="44">
        <f>IF(_calc!$E$141="","",IF(LEN(INDEX('Licences'!$A$4:$A$503,_calc!$E$141))=0,"",INDEX('Licences'!$A$4:$A$503,_calc!$E$141)))</f>
        <v/>
      </c>
      <c r="B139" s="44">
        <f>IF(_calc!$E$141="","",IF(ISNUMBER(INDEX('Licences'!$J$4:$J$503,_calc!$E$141)),TEXT(INDEX('Licences'!$J$4:$J$503,_calc!$E$141),"yyyy-mm-dd"),""))</f>
        <v/>
      </c>
      <c r="C139" s="44">
        <f>IF(_calc!$E$141="","",IF(LEN(INDEX('Licences'!$B$4:$B$503,_calc!$E$141))=0,"",INDEX('Licences'!$B$4:$B$503,_calc!$E$141)))</f>
        <v/>
      </c>
      <c r="D139" s="44">
        <f>IF(_calc!$E$141="","",IF(ISNUMBER(INDEX('Licences'!$I$4:$I$503,_calc!$E$141)),TEXT(INDEX('Licences'!$I$4:$I$503,_calc!$E$141),"yyyy-mm-dd"),""))</f>
        <v/>
      </c>
      <c r="E139" s="44">
        <f>IF(_calc!$E$141="","",IF(LEN(INDEX('Licences'!$H$4:$H$503,_calc!$E$141))=0,"",INDEX('Licences'!$H$4:$H$503,_calc!$E$141)))</f>
        <v/>
      </c>
      <c r="F139" s="44">
        <f>IF(_calc!$E$141="","",TRIM(IF(LEN(IF(LEN(INDEX('Licences'!$D$4:$D$503,_calc!$E$141))=0,"",INDEX('Licences'!$D$4:$D$503,_calc!$E$141)))=0,"","Ref: "&amp;IF(LEN(INDEX('Licences'!$D$4:$D$503,_calc!$E$141))=0,"",INDEX('Licences'!$D$4:$D$503,_calc!$E$141))&amp;". ")&amp;IF(LEN(IF(LEN(INDEX('Licences'!$C$4:$C$503,_calc!$E$141))=0,"",INDEX('Licences'!$C$4:$C$503,_calc!$E$141)))=0,"","Issuer: "&amp;IF(LEN(INDEX('Licences'!$C$4:$C$503,_calc!$E$141))=0,"",INDEX('Licences'!$C$4:$C$503,_calc!$E$141))&amp;". ")&amp;IF(LEN(IF(LEN(INDEX('Licences'!$E$4:$E$503,_calc!$E$141))=0,"",INDEX('Licences'!$E$4:$E$503,_calc!$E$141)))=0,"","Site: "&amp;IF(LEN(INDEX('Licences'!$E$4:$E$503,_calc!$E$141))=0,"",INDEX('Licences'!$E$4:$E$503,_calc!$E$141))&amp;". ")&amp;IF(LEN(IF(LEN(INDEX('Licences'!$F$4:$F$503,_calc!$E$141))=0,"",INDEX('Licences'!$F$4:$F$503,_calc!$E$141)))=0,"","Owner: "&amp;IF(LEN(INDEX('Licences'!$F$4:$F$503,_calc!$E$141))=0,"",INDEX('Licences'!$F$4:$F$503,_calc!$E$141))&amp;". ")&amp;IF(LEN(IF(LEN(INDEX('Licences'!$R$4:$R$503,_calc!$E$141))=0,"",INDEX('Licences'!$R$4:$R$503,_calc!$E$141)))=0,"",IF(LEN(INDEX('Licences'!$R$4:$R$503,_calc!$E$141))=0,"",INDEX('Licences'!$R$4:$R$503,_calc!$E$141)))))</f>
        <v/>
      </c>
      <c r="G139" s="44">
        <f>IF(_calc!$E$141="","",IF(LEN(INDEX('Licences'!$Q$4:$Q$503,_calc!$E$141))=0,"",INDEX('Licences'!$Q$4:$Q$503,_calc!$E$141)))</f>
        <v/>
      </c>
      <c r="H139" s="44">
        <f>IF(_calc!$E$141="","",IF(LEN(INDEX('Licences'!$O$4:$O$503,_calc!$E$141))=0,"",INDEX('Licences'!$O$4:$O$503,_calc!$E$141)))</f>
        <v/>
      </c>
      <c r="I139" s="44">
        <f>IF(_calc!$E$141="","",IF(LEN(INDEX('Licences'!$P$4:$P$503,_calc!$E$141))=0,"",INDEX('Licences'!$P$4:$P$503,_calc!$E$141)))</f>
        <v/>
      </c>
      <c r="K139" s="44">
        <f>IF(_calc!$E$141="","",IF(LEN(INDEX('Licences'!$G$4:$G$503,_calc!$E$141))=0,"",INDEX('Licences'!$G$4:$G$503,_calc!$E$141)))</f>
        <v/>
      </c>
    </row>
    <row r="140">
      <c r="A140" s="44">
        <f>IF(_calc!$E$142="","",IF(LEN(INDEX('Licences'!$A$4:$A$503,_calc!$E$142))=0,"",INDEX('Licences'!$A$4:$A$503,_calc!$E$142)))</f>
        <v/>
      </c>
      <c r="B140" s="44">
        <f>IF(_calc!$E$142="","",IF(ISNUMBER(INDEX('Licences'!$J$4:$J$503,_calc!$E$142)),TEXT(INDEX('Licences'!$J$4:$J$503,_calc!$E$142),"yyyy-mm-dd"),""))</f>
        <v/>
      </c>
      <c r="C140" s="44">
        <f>IF(_calc!$E$142="","",IF(LEN(INDEX('Licences'!$B$4:$B$503,_calc!$E$142))=0,"",INDEX('Licences'!$B$4:$B$503,_calc!$E$142)))</f>
        <v/>
      </c>
      <c r="D140" s="44">
        <f>IF(_calc!$E$142="","",IF(ISNUMBER(INDEX('Licences'!$I$4:$I$503,_calc!$E$142)),TEXT(INDEX('Licences'!$I$4:$I$503,_calc!$E$142),"yyyy-mm-dd"),""))</f>
        <v/>
      </c>
      <c r="E140" s="44">
        <f>IF(_calc!$E$142="","",IF(LEN(INDEX('Licences'!$H$4:$H$503,_calc!$E$142))=0,"",INDEX('Licences'!$H$4:$H$503,_calc!$E$142)))</f>
        <v/>
      </c>
      <c r="F140" s="44">
        <f>IF(_calc!$E$142="","",TRIM(IF(LEN(IF(LEN(INDEX('Licences'!$D$4:$D$503,_calc!$E$142))=0,"",INDEX('Licences'!$D$4:$D$503,_calc!$E$142)))=0,"","Ref: "&amp;IF(LEN(INDEX('Licences'!$D$4:$D$503,_calc!$E$142))=0,"",INDEX('Licences'!$D$4:$D$503,_calc!$E$142))&amp;". ")&amp;IF(LEN(IF(LEN(INDEX('Licences'!$C$4:$C$503,_calc!$E$142))=0,"",INDEX('Licences'!$C$4:$C$503,_calc!$E$142)))=0,"","Issuer: "&amp;IF(LEN(INDEX('Licences'!$C$4:$C$503,_calc!$E$142))=0,"",INDEX('Licences'!$C$4:$C$503,_calc!$E$142))&amp;". ")&amp;IF(LEN(IF(LEN(INDEX('Licences'!$E$4:$E$503,_calc!$E$142))=0,"",INDEX('Licences'!$E$4:$E$503,_calc!$E$142)))=0,"","Site: "&amp;IF(LEN(INDEX('Licences'!$E$4:$E$503,_calc!$E$142))=0,"",INDEX('Licences'!$E$4:$E$503,_calc!$E$142))&amp;". ")&amp;IF(LEN(IF(LEN(INDEX('Licences'!$F$4:$F$503,_calc!$E$142))=0,"",INDEX('Licences'!$F$4:$F$503,_calc!$E$142)))=0,"","Owner: "&amp;IF(LEN(INDEX('Licences'!$F$4:$F$503,_calc!$E$142))=0,"",INDEX('Licences'!$F$4:$F$503,_calc!$E$142))&amp;". ")&amp;IF(LEN(IF(LEN(INDEX('Licences'!$R$4:$R$503,_calc!$E$142))=0,"",INDEX('Licences'!$R$4:$R$503,_calc!$E$142)))=0,"",IF(LEN(INDEX('Licences'!$R$4:$R$503,_calc!$E$142))=0,"",INDEX('Licences'!$R$4:$R$503,_calc!$E$142)))))</f>
        <v/>
      </c>
      <c r="G140" s="44">
        <f>IF(_calc!$E$142="","",IF(LEN(INDEX('Licences'!$Q$4:$Q$503,_calc!$E$142))=0,"",INDEX('Licences'!$Q$4:$Q$503,_calc!$E$142)))</f>
        <v/>
      </c>
      <c r="H140" s="44">
        <f>IF(_calc!$E$142="","",IF(LEN(INDEX('Licences'!$O$4:$O$503,_calc!$E$142))=0,"",INDEX('Licences'!$O$4:$O$503,_calc!$E$142)))</f>
        <v/>
      </c>
      <c r="I140" s="44">
        <f>IF(_calc!$E$142="","",IF(LEN(INDEX('Licences'!$P$4:$P$503,_calc!$E$142))=0,"",INDEX('Licences'!$P$4:$P$503,_calc!$E$142)))</f>
        <v/>
      </c>
      <c r="K140" s="44">
        <f>IF(_calc!$E$142="","",IF(LEN(INDEX('Licences'!$G$4:$G$503,_calc!$E$142))=0,"",INDEX('Licences'!$G$4:$G$503,_calc!$E$142)))</f>
        <v/>
      </c>
    </row>
    <row r="141">
      <c r="A141" s="44">
        <f>IF(_calc!$E$143="","",IF(LEN(INDEX('Licences'!$A$4:$A$503,_calc!$E$143))=0,"",INDEX('Licences'!$A$4:$A$503,_calc!$E$143)))</f>
        <v/>
      </c>
      <c r="B141" s="44">
        <f>IF(_calc!$E$143="","",IF(ISNUMBER(INDEX('Licences'!$J$4:$J$503,_calc!$E$143)),TEXT(INDEX('Licences'!$J$4:$J$503,_calc!$E$143),"yyyy-mm-dd"),""))</f>
        <v/>
      </c>
      <c r="C141" s="44">
        <f>IF(_calc!$E$143="","",IF(LEN(INDEX('Licences'!$B$4:$B$503,_calc!$E$143))=0,"",INDEX('Licences'!$B$4:$B$503,_calc!$E$143)))</f>
        <v/>
      </c>
      <c r="D141" s="44">
        <f>IF(_calc!$E$143="","",IF(ISNUMBER(INDEX('Licences'!$I$4:$I$503,_calc!$E$143)),TEXT(INDEX('Licences'!$I$4:$I$503,_calc!$E$143),"yyyy-mm-dd"),""))</f>
        <v/>
      </c>
      <c r="E141" s="44">
        <f>IF(_calc!$E$143="","",IF(LEN(INDEX('Licences'!$H$4:$H$503,_calc!$E$143))=0,"",INDEX('Licences'!$H$4:$H$503,_calc!$E$143)))</f>
        <v/>
      </c>
      <c r="F141" s="44">
        <f>IF(_calc!$E$143="","",TRIM(IF(LEN(IF(LEN(INDEX('Licences'!$D$4:$D$503,_calc!$E$143))=0,"",INDEX('Licences'!$D$4:$D$503,_calc!$E$143)))=0,"","Ref: "&amp;IF(LEN(INDEX('Licences'!$D$4:$D$503,_calc!$E$143))=0,"",INDEX('Licences'!$D$4:$D$503,_calc!$E$143))&amp;". ")&amp;IF(LEN(IF(LEN(INDEX('Licences'!$C$4:$C$503,_calc!$E$143))=0,"",INDEX('Licences'!$C$4:$C$503,_calc!$E$143)))=0,"","Issuer: "&amp;IF(LEN(INDEX('Licences'!$C$4:$C$503,_calc!$E$143))=0,"",INDEX('Licences'!$C$4:$C$503,_calc!$E$143))&amp;". ")&amp;IF(LEN(IF(LEN(INDEX('Licences'!$E$4:$E$503,_calc!$E$143))=0,"",INDEX('Licences'!$E$4:$E$503,_calc!$E$143)))=0,"","Site: "&amp;IF(LEN(INDEX('Licences'!$E$4:$E$503,_calc!$E$143))=0,"",INDEX('Licences'!$E$4:$E$503,_calc!$E$143))&amp;". ")&amp;IF(LEN(IF(LEN(INDEX('Licences'!$F$4:$F$503,_calc!$E$143))=0,"",INDEX('Licences'!$F$4:$F$503,_calc!$E$143)))=0,"","Owner: "&amp;IF(LEN(INDEX('Licences'!$F$4:$F$503,_calc!$E$143))=0,"",INDEX('Licences'!$F$4:$F$503,_calc!$E$143))&amp;". ")&amp;IF(LEN(IF(LEN(INDEX('Licences'!$R$4:$R$503,_calc!$E$143))=0,"",INDEX('Licences'!$R$4:$R$503,_calc!$E$143)))=0,"",IF(LEN(INDEX('Licences'!$R$4:$R$503,_calc!$E$143))=0,"",INDEX('Licences'!$R$4:$R$503,_calc!$E$143)))))</f>
        <v/>
      </c>
      <c r="G141" s="44">
        <f>IF(_calc!$E$143="","",IF(LEN(INDEX('Licences'!$Q$4:$Q$503,_calc!$E$143))=0,"",INDEX('Licences'!$Q$4:$Q$503,_calc!$E$143)))</f>
        <v/>
      </c>
      <c r="H141" s="44">
        <f>IF(_calc!$E$143="","",IF(LEN(INDEX('Licences'!$O$4:$O$503,_calc!$E$143))=0,"",INDEX('Licences'!$O$4:$O$503,_calc!$E$143)))</f>
        <v/>
      </c>
      <c r="I141" s="44">
        <f>IF(_calc!$E$143="","",IF(LEN(INDEX('Licences'!$P$4:$P$503,_calc!$E$143))=0,"",INDEX('Licences'!$P$4:$P$503,_calc!$E$143)))</f>
        <v/>
      </c>
      <c r="K141" s="44">
        <f>IF(_calc!$E$143="","",IF(LEN(INDEX('Licences'!$G$4:$G$503,_calc!$E$143))=0,"",INDEX('Licences'!$G$4:$G$503,_calc!$E$143)))</f>
        <v/>
      </c>
    </row>
    <row r="142">
      <c r="A142" s="44">
        <f>IF(_calc!$E$144="","",IF(LEN(INDEX('Licences'!$A$4:$A$503,_calc!$E$144))=0,"",INDEX('Licences'!$A$4:$A$503,_calc!$E$144)))</f>
        <v/>
      </c>
      <c r="B142" s="44">
        <f>IF(_calc!$E$144="","",IF(ISNUMBER(INDEX('Licences'!$J$4:$J$503,_calc!$E$144)),TEXT(INDEX('Licences'!$J$4:$J$503,_calc!$E$144),"yyyy-mm-dd"),""))</f>
        <v/>
      </c>
      <c r="C142" s="44">
        <f>IF(_calc!$E$144="","",IF(LEN(INDEX('Licences'!$B$4:$B$503,_calc!$E$144))=0,"",INDEX('Licences'!$B$4:$B$503,_calc!$E$144)))</f>
        <v/>
      </c>
      <c r="D142" s="44">
        <f>IF(_calc!$E$144="","",IF(ISNUMBER(INDEX('Licences'!$I$4:$I$503,_calc!$E$144)),TEXT(INDEX('Licences'!$I$4:$I$503,_calc!$E$144),"yyyy-mm-dd"),""))</f>
        <v/>
      </c>
      <c r="E142" s="44">
        <f>IF(_calc!$E$144="","",IF(LEN(INDEX('Licences'!$H$4:$H$503,_calc!$E$144))=0,"",INDEX('Licences'!$H$4:$H$503,_calc!$E$144)))</f>
        <v/>
      </c>
      <c r="F142" s="44">
        <f>IF(_calc!$E$144="","",TRIM(IF(LEN(IF(LEN(INDEX('Licences'!$D$4:$D$503,_calc!$E$144))=0,"",INDEX('Licences'!$D$4:$D$503,_calc!$E$144)))=0,"","Ref: "&amp;IF(LEN(INDEX('Licences'!$D$4:$D$503,_calc!$E$144))=0,"",INDEX('Licences'!$D$4:$D$503,_calc!$E$144))&amp;". ")&amp;IF(LEN(IF(LEN(INDEX('Licences'!$C$4:$C$503,_calc!$E$144))=0,"",INDEX('Licences'!$C$4:$C$503,_calc!$E$144)))=0,"","Issuer: "&amp;IF(LEN(INDEX('Licences'!$C$4:$C$503,_calc!$E$144))=0,"",INDEX('Licences'!$C$4:$C$503,_calc!$E$144))&amp;". ")&amp;IF(LEN(IF(LEN(INDEX('Licences'!$E$4:$E$503,_calc!$E$144))=0,"",INDEX('Licences'!$E$4:$E$503,_calc!$E$144)))=0,"","Site: "&amp;IF(LEN(INDEX('Licences'!$E$4:$E$503,_calc!$E$144))=0,"",INDEX('Licences'!$E$4:$E$503,_calc!$E$144))&amp;". ")&amp;IF(LEN(IF(LEN(INDEX('Licences'!$F$4:$F$503,_calc!$E$144))=0,"",INDEX('Licences'!$F$4:$F$503,_calc!$E$144)))=0,"","Owner: "&amp;IF(LEN(INDEX('Licences'!$F$4:$F$503,_calc!$E$144))=0,"",INDEX('Licences'!$F$4:$F$503,_calc!$E$144))&amp;". ")&amp;IF(LEN(IF(LEN(INDEX('Licences'!$R$4:$R$503,_calc!$E$144))=0,"",INDEX('Licences'!$R$4:$R$503,_calc!$E$144)))=0,"",IF(LEN(INDEX('Licences'!$R$4:$R$503,_calc!$E$144))=0,"",INDEX('Licences'!$R$4:$R$503,_calc!$E$144)))))</f>
        <v/>
      </c>
      <c r="G142" s="44">
        <f>IF(_calc!$E$144="","",IF(LEN(INDEX('Licences'!$Q$4:$Q$503,_calc!$E$144))=0,"",INDEX('Licences'!$Q$4:$Q$503,_calc!$E$144)))</f>
        <v/>
      </c>
      <c r="H142" s="44">
        <f>IF(_calc!$E$144="","",IF(LEN(INDEX('Licences'!$O$4:$O$503,_calc!$E$144))=0,"",INDEX('Licences'!$O$4:$O$503,_calc!$E$144)))</f>
        <v/>
      </c>
      <c r="I142" s="44">
        <f>IF(_calc!$E$144="","",IF(LEN(INDEX('Licences'!$P$4:$P$503,_calc!$E$144))=0,"",INDEX('Licences'!$P$4:$P$503,_calc!$E$144)))</f>
        <v/>
      </c>
      <c r="K142" s="44">
        <f>IF(_calc!$E$144="","",IF(LEN(INDEX('Licences'!$G$4:$G$503,_calc!$E$144))=0,"",INDEX('Licences'!$G$4:$G$503,_calc!$E$144)))</f>
        <v/>
      </c>
    </row>
    <row r="143">
      <c r="A143" s="44">
        <f>IF(_calc!$E$145="","",IF(LEN(INDEX('Licences'!$A$4:$A$503,_calc!$E$145))=0,"",INDEX('Licences'!$A$4:$A$503,_calc!$E$145)))</f>
        <v/>
      </c>
      <c r="B143" s="44">
        <f>IF(_calc!$E$145="","",IF(ISNUMBER(INDEX('Licences'!$J$4:$J$503,_calc!$E$145)),TEXT(INDEX('Licences'!$J$4:$J$503,_calc!$E$145),"yyyy-mm-dd"),""))</f>
        <v/>
      </c>
      <c r="C143" s="44">
        <f>IF(_calc!$E$145="","",IF(LEN(INDEX('Licences'!$B$4:$B$503,_calc!$E$145))=0,"",INDEX('Licences'!$B$4:$B$503,_calc!$E$145)))</f>
        <v/>
      </c>
      <c r="D143" s="44">
        <f>IF(_calc!$E$145="","",IF(ISNUMBER(INDEX('Licences'!$I$4:$I$503,_calc!$E$145)),TEXT(INDEX('Licences'!$I$4:$I$503,_calc!$E$145),"yyyy-mm-dd"),""))</f>
        <v/>
      </c>
      <c r="E143" s="44">
        <f>IF(_calc!$E$145="","",IF(LEN(INDEX('Licences'!$H$4:$H$503,_calc!$E$145))=0,"",INDEX('Licences'!$H$4:$H$503,_calc!$E$145)))</f>
        <v/>
      </c>
      <c r="F143" s="44">
        <f>IF(_calc!$E$145="","",TRIM(IF(LEN(IF(LEN(INDEX('Licences'!$D$4:$D$503,_calc!$E$145))=0,"",INDEX('Licences'!$D$4:$D$503,_calc!$E$145)))=0,"","Ref: "&amp;IF(LEN(INDEX('Licences'!$D$4:$D$503,_calc!$E$145))=0,"",INDEX('Licences'!$D$4:$D$503,_calc!$E$145))&amp;". ")&amp;IF(LEN(IF(LEN(INDEX('Licences'!$C$4:$C$503,_calc!$E$145))=0,"",INDEX('Licences'!$C$4:$C$503,_calc!$E$145)))=0,"","Issuer: "&amp;IF(LEN(INDEX('Licences'!$C$4:$C$503,_calc!$E$145))=0,"",INDEX('Licences'!$C$4:$C$503,_calc!$E$145))&amp;". ")&amp;IF(LEN(IF(LEN(INDEX('Licences'!$E$4:$E$503,_calc!$E$145))=0,"",INDEX('Licences'!$E$4:$E$503,_calc!$E$145)))=0,"","Site: "&amp;IF(LEN(INDEX('Licences'!$E$4:$E$503,_calc!$E$145))=0,"",INDEX('Licences'!$E$4:$E$503,_calc!$E$145))&amp;". ")&amp;IF(LEN(IF(LEN(INDEX('Licences'!$F$4:$F$503,_calc!$E$145))=0,"",INDEX('Licences'!$F$4:$F$503,_calc!$E$145)))=0,"","Owner: "&amp;IF(LEN(INDEX('Licences'!$F$4:$F$503,_calc!$E$145))=0,"",INDEX('Licences'!$F$4:$F$503,_calc!$E$145))&amp;". ")&amp;IF(LEN(IF(LEN(INDEX('Licences'!$R$4:$R$503,_calc!$E$145))=0,"",INDEX('Licences'!$R$4:$R$503,_calc!$E$145)))=0,"",IF(LEN(INDEX('Licences'!$R$4:$R$503,_calc!$E$145))=0,"",INDEX('Licences'!$R$4:$R$503,_calc!$E$145)))))</f>
        <v/>
      </c>
      <c r="G143" s="44">
        <f>IF(_calc!$E$145="","",IF(LEN(INDEX('Licences'!$Q$4:$Q$503,_calc!$E$145))=0,"",INDEX('Licences'!$Q$4:$Q$503,_calc!$E$145)))</f>
        <v/>
      </c>
      <c r="H143" s="44">
        <f>IF(_calc!$E$145="","",IF(LEN(INDEX('Licences'!$O$4:$O$503,_calc!$E$145))=0,"",INDEX('Licences'!$O$4:$O$503,_calc!$E$145)))</f>
        <v/>
      </c>
      <c r="I143" s="44">
        <f>IF(_calc!$E$145="","",IF(LEN(INDEX('Licences'!$P$4:$P$503,_calc!$E$145))=0,"",INDEX('Licences'!$P$4:$P$503,_calc!$E$145)))</f>
        <v/>
      </c>
      <c r="K143" s="44">
        <f>IF(_calc!$E$145="","",IF(LEN(INDEX('Licences'!$G$4:$G$503,_calc!$E$145))=0,"",INDEX('Licences'!$G$4:$G$503,_calc!$E$145)))</f>
        <v/>
      </c>
    </row>
    <row r="144">
      <c r="A144" s="44">
        <f>IF(_calc!$E$146="","",IF(LEN(INDEX('Licences'!$A$4:$A$503,_calc!$E$146))=0,"",INDEX('Licences'!$A$4:$A$503,_calc!$E$146)))</f>
        <v/>
      </c>
      <c r="B144" s="44">
        <f>IF(_calc!$E$146="","",IF(ISNUMBER(INDEX('Licences'!$J$4:$J$503,_calc!$E$146)),TEXT(INDEX('Licences'!$J$4:$J$503,_calc!$E$146),"yyyy-mm-dd"),""))</f>
        <v/>
      </c>
      <c r="C144" s="44">
        <f>IF(_calc!$E$146="","",IF(LEN(INDEX('Licences'!$B$4:$B$503,_calc!$E$146))=0,"",INDEX('Licences'!$B$4:$B$503,_calc!$E$146)))</f>
        <v/>
      </c>
      <c r="D144" s="44">
        <f>IF(_calc!$E$146="","",IF(ISNUMBER(INDEX('Licences'!$I$4:$I$503,_calc!$E$146)),TEXT(INDEX('Licences'!$I$4:$I$503,_calc!$E$146),"yyyy-mm-dd"),""))</f>
        <v/>
      </c>
      <c r="E144" s="44">
        <f>IF(_calc!$E$146="","",IF(LEN(INDEX('Licences'!$H$4:$H$503,_calc!$E$146))=0,"",INDEX('Licences'!$H$4:$H$503,_calc!$E$146)))</f>
        <v/>
      </c>
      <c r="F144" s="44">
        <f>IF(_calc!$E$146="","",TRIM(IF(LEN(IF(LEN(INDEX('Licences'!$D$4:$D$503,_calc!$E$146))=0,"",INDEX('Licences'!$D$4:$D$503,_calc!$E$146)))=0,"","Ref: "&amp;IF(LEN(INDEX('Licences'!$D$4:$D$503,_calc!$E$146))=0,"",INDEX('Licences'!$D$4:$D$503,_calc!$E$146))&amp;". ")&amp;IF(LEN(IF(LEN(INDEX('Licences'!$C$4:$C$503,_calc!$E$146))=0,"",INDEX('Licences'!$C$4:$C$503,_calc!$E$146)))=0,"","Issuer: "&amp;IF(LEN(INDEX('Licences'!$C$4:$C$503,_calc!$E$146))=0,"",INDEX('Licences'!$C$4:$C$503,_calc!$E$146))&amp;". ")&amp;IF(LEN(IF(LEN(INDEX('Licences'!$E$4:$E$503,_calc!$E$146))=0,"",INDEX('Licences'!$E$4:$E$503,_calc!$E$146)))=0,"","Site: "&amp;IF(LEN(INDEX('Licences'!$E$4:$E$503,_calc!$E$146))=0,"",INDEX('Licences'!$E$4:$E$503,_calc!$E$146))&amp;". ")&amp;IF(LEN(IF(LEN(INDEX('Licences'!$F$4:$F$503,_calc!$E$146))=0,"",INDEX('Licences'!$F$4:$F$503,_calc!$E$146)))=0,"","Owner: "&amp;IF(LEN(INDEX('Licences'!$F$4:$F$503,_calc!$E$146))=0,"",INDEX('Licences'!$F$4:$F$503,_calc!$E$146))&amp;". ")&amp;IF(LEN(IF(LEN(INDEX('Licences'!$R$4:$R$503,_calc!$E$146))=0,"",INDEX('Licences'!$R$4:$R$503,_calc!$E$146)))=0,"",IF(LEN(INDEX('Licences'!$R$4:$R$503,_calc!$E$146))=0,"",INDEX('Licences'!$R$4:$R$503,_calc!$E$146)))))</f>
        <v/>
      </c>
      <c r="G144" s="44">
        <f>IF(_calc!$E$146="","",IF(LEN(INDEX('Licences'!$Q$4:$Q$503,_calc!$E$146))=0,"",INDEX('Licences'!$Q$4:$Q$503,_calc!$E$146)))</f>
        <v/>
      </c>
      <c r="H144" s="44">
        <f>IF(_calc!$E$146="","",IF(LEN(INDEX('Licences'!$O$4:$O$503,_calc!$E$146))=0,"",INDEX('Licences'!$O$4:$O$503,_calc!$E$146)))</f>
        <v/>
      </c>
      <c r="I144" s="44">
        <f>IF(_calc!$E$146="","",IF(LEN(INDEX('Licences'!$P$4:$P$503,_calc!$E$146))=0,"",INDEX('Licences'!$P$4:$P$503,_calc!$E$146)))</f>
        <v/>
      </c>
      <c r="K144" s="44">
        <f>IF(_calc!$E$146="","",IF(LEN(INDEX('Licences'!$G$4:$G$503,_calc!$E$146))=0,"",INDEX('Licences'!$G$4:$G$503,_calc!$E$146)))</f>
        <v/>
      </c>
    </row>
    <row r="145">
      <c r="A145" s="44">
        <f>IF(_calc!$E$147="","",IF(LEN(INDEX('Licences'!$A$4:$A$503,_calc!$E$147))=0,"",INDEX('Licences'!$A$4:$A$503,_calc!$E$147)))</f>
        <v/>
      </c>
      <c r="B145" s="44">
        <f>IF(_calc!$E$147="","",IF(ISNUMBER(INDEX('Licences'!$J$4:$J$503,_calc!$E$147)),TEXT(INDEX('Licences'!$J$4:$J$503,_calc!$E$147),"yyyy-mm-dd"),""))</f>
        <v/>
      </c>
      <c r="C145" s="44">
        <f>IF(_calc!$E$147="","",IF(LEN(INDEX('Licences'!$B$4:$B$503,_calc!$E$147))=0,"",INDEX('Licences'!$B$4:$B$503,_calc!$E$147)))</f>
        <v/>
      </c>
      <c r="D145" s="44">
        <f>IF(_calc!$E$147="","",IF(ISNUMBER(INDEX('Licences'!$I$4:$I$503,_calc!$E$147)),TEXT(INDEX('Licences'!$I$4:$I$503,_calc!$E$147),"yyyy-mm-dd"),""))</f>
        <v/>
      </c>
      <c r="E145" s="44">
        <f>IF(_calc!$E$147="","",IF(LEN(INDEX('Licences'!$H$4:$H$503,_calc!$E$147))=0,"",INDEX('Licences'!$H$4:$H$503,_calc!$E$147)))</f>
        <v/>
      </c>
      <c r="F145" s="44">
        <f>IF(_calc!$E$147="","",TRIM(IF(LEN(IF(LEN(INDEX('Licences'!$D$4:$D$503,_calc!$E$147))=0,"",INDEX('Licences'!$D$4:$D$503,_calc!$E$147)))=0,"","Ref: "&amp;IF(LEN(INDEX('Licences'!$D$4:$D$503,_calc!$E$147))=0,"",INDEX('Licences'!$D$4:$D$503,_calc!$E$147))&amp;". ")&amp;IF(LEN(IF(LEN(INDEX('Licences'!$C$4:$C$503,_calc!$E$147))=0,"",INDEX('Licences'!$C$4:$C$503,_calc!$E$147)))=0,"","Issuer: "&amp;IF(LEN(INDEX('Licences'!$C$4:$C$503,_calc!$E$147))=0,"",INDEX('Licences'!$C$4:$C$503,_calc!$E$147))&amp;". ")&amp;IF(LEN(IF(LEN(INDEX('Licences'!$E$4:$E$503,_calc!$E$147))=0,"",INDEX('Licences'!$E$4:$E$503,_calc!$E$147)))=0,"","Site: "&amp;IF(LEN(INDEX('Licences'!$E$4:$E$503,_calc!$E$147))=0,"",INDEX('Licences'!$E$4:$E$503,_calc!$E$147))&amp;". ")&amp;IF(LEN(IF(LEN(INDEX('Licences'!$F$4:$F$503,_calc!$E$147))=0,"",INDEX('Licences'!$F$4:$F$503,_calc!$E$147)))=0,"","Owner: "&amp;IF(LEN(INDEX('Licences'!$F$4:$F$503,_calc!$E$147))=0,"",INDEX('Licences'!$F$4:$F$503,_calc!$E$147))&amp;". ")&amp;IF(LEN(IF(LEN(INDEX('Licences'!$R$4:$R$503,_calc!$E$147))=0,"",INDEX('Licences'!$R$4:$R$503,_calc!$E$147)))=0,"",IF(LEN(INDEX('Licences'!$R$4:$R$503,_calc!$E$147))=0,"",INDEX('Licences'!$R$4:$R$503,_calc!$E$147)))))</f>
        <v/>
      </c>
      <c r="G145" s="44">
        <f>IF(_calc!$E$147="","",IF(LEN(INDEX('Licences'!$Q$4:$Q$503,_calc!$E$147))=0,"",INDEX('Licences'!$Q$4:$Q$503,_calc!$E$147)))</f>
        <v/>
      </c>
      <c r="H145" s="44">
        <f>IF(_calc!$E$147="","",IF(LEN(INDEX('Licences'!$O$4:$O$503,_calc!$E$147))=0,"",INDEX('Licences'!$O$4:$O$503,_calc!$E$147)))</f>
        <v/>
      </c>
      <c r="I145" s="44">
        <f>IF(_calc!$E$147="","",IF(LEN(INDEX('Licences'!$P$4:$P$503,_calc!$E$147))=0,"",INDEX('Licences'!$P$4:$P$503,_calc!$E$147)))</f>
        <v/>
      </c>
      <c r="K145" s="44">
        <f>IF(_calc!$E$147="","",IF(LEN(INDEX('Licences'!$G$4:$G$503,_calc!$E$147))=0,"",INDEX('Licences'!$G$4:$G$503,_calc!$E$147)))</f>
        <v/>
      </c>
    </row>
    <row r="146">
      <c r="A146" s="44">
        <f>IF(_calc!$E$148="","",IF(LEN(INDEX('Licences'!$A$4:$A$503,_calc!$E$148))=0,"",INDEX('Licences'!$A$4:$A$503,_calc!$E$148)))</f>
        <v/>
      </c>
      <c r="B146" s="44">
        <f>IF(_calc!$E$148="","",IF(ISNUMBER(INDEX('Licences'!$J$4:$J$503,_calc!$E$148)),TEXT(INDEX('Licences'!$J$4:$J$503,_calc!$E$148),"yyyy-mm-dd"),""))</f>
        <v/>
      </c>
      <c r="C146" s="44">
        <f>IF(_calc!$E$148="","",IF(LEN(INDEX('Licences'!$B$4:$B$503,_calc!$E$148))=0,"",INDEX('Licences'!$B$4:$B$503,_calc!$E$148)))</f>
        <v/>
      </c>
      <c r="D146" s="44">
        <f>IF(_calc!$E$148="","",IF(ISNUMBER(INDEX('Licences'!$I$4:$I$503,_calc!$E$148)),TEXT(INDEX('Licences'!$I$4:$I$503,_calc!$E$148),"yyyy-mm-dd"),""))</f>
        <v/>
      </c>
      <c r="E146" s="44">
        <f>IF(_calc!$E$148="","",IF(LEN(INDEX('Licences'!$H$4:$H$503,_calc!$E$148))=0,"",INDEX('Licences'!$H$4:$H$503,_calc!$E$148)))</f>
        <v/>
      </c>
      <c r="F146" s="44">
        <f>IF(_calc!$E$148="","",TRIM(IF(LEN(IF(LEN(INDEX('Licences'!$D$4:$D$503,_calc!$E$148))=0,"",INDEX('Licences'!$D$4:$D$503,_calc!$E$148)))=0,"","Ref: "&amp;IF(LEN(INDEX('Licences'!$D$4:$D$503,_calc!$E$148))=0,"",INDEX('Licences'!$D$4:$D$503,_calc!$E$148))&amp;". ")&amp;IF(LEN(IF(LEN(INDEX('Licences'!$C$4:$C$503,_calc!$E$148))=0,"",INDEX('Licences'!$C$4:$C$503,_calc!$E$148)))=0,"","Issuer: "&amp;IF(LEN(INDEX('Licences'!$C$4:$C$503,_calc!$E$148))=0,"",INDEX('Licences'!$C$4:$C$503,_calc!$E$148))&amp;". ")&amp;IF(LEN(IF(LEN(INDEX('Licences'!$E$4:$E$503,_calc!$E$148))=0,"",INDEX('Licences'!$E$4:$E$503,_calc!$E$148)))=0,"","Site: "&amp;IF(LEN(INDEX('Licences'!$E$4:$E$503,_calc!$E$148))=0,"",INDEX('Licences'!$E$4:$E$503,_calc!$E$148))&amp;". ")&amp;IF(LEN(IF(LEN(INDEX('Licences'!$F$4:$F$503,_calc!$E$148))=0,"",INDEX('Licences'!$F$4:$F$503,_calc!$E$148)))=0,"","Owner: "&amp;IF(LEN(INDEX('Licences'!$F$4:$F$503,_calc!$E$148))=0,"",INDEX('Licences'!$F$4:$F$503,_calc!$E$148))&amp;". ")&amp;IF(LEN(IF(LEN(INDEX('Licences'!$R$4:$R$503,_calc!$E$148))=0,"",INDEX('Licences'!$R$4:$R$503,_calc!$E$148)))=0,"",IF(LEN(INDEX('Licences'!$R$4:$R$503,_calc!$E$148))=0,"",INDEX('Licences'!$R$4:$R$503,_calc!$E$148)))))</f>
        <v/>
      </c>
      <c r="G146" s="44">
        <f>IF(_calc!$E$148="","",IF(LEN(INDEX('Licences'!$Q$4:$Q$503,_calc!$E$148))=0,"",INDEX('Licences'!$Q$4:$Q$503,_calc!$E$148)))</f>
        <v/>
      </c>
      <c r="H146" s="44">
        <f>IF(_calc!$E$148="","",IF(LEN(INDEX('Licences'!$O$4:$O$503,_calc!$E$148))=0,"",INDEX('Licences'!$O$4:$O$503,_calc!$E$148)))</f>
        <v/>
      </c>
      <c r="I146" s="44">
        <f>IF(_calc!$E$148="","",IF(LEN(INDEX('Licences'!$P$4:$P$503,_calc!$E$148))=0,"",INDEX('Licences'!$P$4:$P$503,_calc!$E$148)))</f>
        <v/>
      </c>
      <c r="K146" s="44">
        <f>IF(_calc!$E$148="","",IF(LEN(INDEX('Licences'!$G$4:$G$503,_calc!$E$148))=0,"",INDEX('Licences'!$G$4:$G$503,_calc!$E$148)))</f>
        <v/>
      </c>
    </row>
    <row r="147">
      <c r="A147" s="44">
        <f>IF(_calc!$E$149="","",IF(LEN(INDEX('Licences'!$A$4:$A$503,_calc!$E$149))=0,"",INDEX('Licences'!$A$4:$A$503,_calc!$E$149)))</f>
        <v/>
      </c>
      <c r="B147" s="44">
        <f>IF(_calc!$E$149="","",IF(ISNUMBER(INDEX('Licences'!$J$4:$J$503,_calc!$E$149)),TEXT(INDEX('Licences'!$J$4:$J$503,_calc!$E$149),"yyyy-mm-dd"),""))</f>
        <v/>
      </c>
      <c r="C147" s="44">
        <f>IF(_calc!$E$149="","",IF(LEN(INDEX('Licences'!$B$4:$B$503,_calc!$E$149))=0,"",INDEX('Licences'!$B$4:$B$503,_calc!$E$149)))</f>
        <v/>
      </c>
      <c r="D147" s="44">
        <f>IF(_calc!$E$149="","",IF(ISNUMBER(INDEX('Licences'!$I$4:$I$503,_calc!$E$149)),TEXT(INDEX('Licences'!$I$4:$I$503,_calc!$E$149),"yyyy-mm-dd"),""))</f>
        <v/>
      </c>
      <c r="E147" s="44">
        <f>IF(_calc!$E$149="","",IF(LEN(INDEX('Licences'!$H$4:$H$503,_calc!$E$149))=0,"",INDEX('Licences'!$H$4:$H$503,_calc!$E$149)))</f>
        <v/>
      </c>
      <c r="F147" s="44">
        <f>IF(_calc!$E$149="","",TRIM(IF(LEN(IF(LEN(INDEX('Licences'!$D$4:$D$503,_calc!$E$149))=0,"",INDEX('Licences'!$D$4:$D$503,_calc!$E$149)))=0,"","Ref: "&amp;IF(LEN(INDEX('Licences'!$D$4:$D$503,_calc!$E$149))=0,"",INDEX('Licences'!$D$4:$D$503,_calc!$E$149))&amp;". ")&amp;IF(LEN(IF(LEN(INDEX('Licences'!$C$4:$C$503,_calc!$E$149))=0,"",INDEX('Licences'!$C$4:$C$503,_calc!$E$149)))=0,"","Issuer: "&amp;IF(LEN(INDEX('Licences'!$C$4:$C$503,_calc!$E$149))=0,"",INDEX('Licences'!$C$4:$C$503,_calc!$E$149))&amp;". ")&amp;IF(LEN(IF(LEN(INDEX('Licences'!$E$4:$E$503,_calc!$E$149))=0,"",INDEX('Licences'!$E$4:$E$503,_calc!$E$149)))=0,"","Site: "&amp;IF(LEN(INDEX('Licences'!$E$4:$E$503,_calc!$E$149))=0,"",INDEX('Licences'!$E$4:$E$503,_calc!$E$149))&amp;". ")&amp;IF(LEN(IF(LEN(INDEX('Licences'!$F$4:$F$503,_calc!$E$149))=0,"",INDEX('Licences'!$F$4:$F$503,_calc!$E$149)))=0,"","Owner: "&amp;IF(LEN(INDEX('Licences'!$F$4:$F$503,_calc!$E$149))=0,"",INDEX('Licences'!$F$4:$F$503,_calc!$E$149))&amp;". ")&amp;IF(LEN(IF(LEN(INDEX('Licences'!$R$4:$R$503,_calc!$E$149))=0,"",INDEX('Licences'!$R$4:$R$503,_calc!$E$149)))=0,"",IF(LEN(INDEX('Licences'!$R$4:$R$503,_calc!$E$149))=0,"",INDEX('Licences'!$R$4:$R$503,_calc!$E$149)))))</f>
        <v/>
      </c>
      <c r="G147" s="44">
        <f>IF(_calc!$E$149="","",IF(LEN(INDEX('Licences'!$Q$4:$Q$503,_calc!$E$149))=0,"",INDEX('Licences'!$Q$4:$Q$503,_calc!$E$149)))</f>
        <v/>
      </c>
      <c r="H147" s="44">
        <f>IF(_calc!$E$149="","",IF(LEN(INDEX('Licences'!$O$4:$O$503,_calc!$E$149))=0,"",INDEX('Licences'!$O$4:$O$503,_calc!$E$149)))</f>
        <v/>
      </c>
      <c r="I147" s="44">
        <f>IF(_calc!$E$149="","",IF(LEN(INDEX('Licences'!$P$4:$P$503,_calc!$E$149))=0,"",INDEX('Licences'!$P$4:$P$503,_calc!$E$149)))</f>
        <v/>
      </c>
      <c r="K147" s="44">
        <f>IF(_calc!$E$149="","",IF(LEN(INDEX('Licences'!$G$4:$G$503,_calc!$E$149))=0,"",INDEX('Licences'!$G$4:$G$503,_calc!$E$149)))</f>
        <v/>
      </c>
    </row>
    <row r="148">
      <c r="A148" s="44">
        <f>IF(_calc!$E$150="","",IF(LEN(INDEX('Licences'!$A$4:$A$503,_calc!$E$150))=0,"",INDEX('Licences'!$A$4:$A$503,_calc!$E$150)))</f>
        <v/>
      </c>
      <c r="B148" s="44">
        <f>IF(_calc!$E$150="","",IF(ISNUMBER(INDEX('Licences'!$J$4:$J$503,_calc!$E$150)),TEXT(INDEX('Licences'!$J$4:$J$503,_calc!$E$150),"yyyy-mm-dd"),""))</f>
        <v/>
      </c>
      <c r="C148" s="44">
        <f>IF(_calc!$E$150="","",IF(LEN(INDEX('Licences'!$B$4:$B$503,_calc!$E$150))=0,"",INDEX('Licences'!$B$4:$B$503,_calc!$E$150)))</f>
        <v/>
      </c>
      <c r="D148" s="44">
        <f>IF(_calc!$E$150="","",IF(ISNUMBER(INDEX('Licences'!$I$4:$I$503,_calc!$E$150)),TEXT(INDEX('Licences'!$I$4:$I$503,_calc!$E$150),"yyyy-mm-dd"),""))</f>
        <v/>
      </c>
      <c r="E148" s="44">
        <f>IF(_calc!$E$150="","",IF(LEN(INDEX('Licences'!$H$4:$H$503,_calc!$E$150))=0,"",INDEX('Licences'!$H$4:$H$503,_calc!$E$150)))</f>
        <v/>
      </c>
      <c r="F148" s="44">
        <f>IF(_calc!$E$150="","",TRIM(IF(LEN(IF(LEN(INDEX('Licences'!$D$4:$D$503,_calc!$E$150))=0,"",INDEX('Licences'!$D$4:$D$503,_calc!$E$150)))=0,"","Ref: "&amp;IF(LEN(INDEX('Licences'!$D$4:$D$503,_calc!$E$150))=0,"",INDEX('Licences'!$D$4:$D$503,_calc!$E$150))&amp;". ")&amp;IF(LEN(IF(LEN(INDEX('Licences'!$C$4:$C$503,_calc!$E$150))=0,"",INDEX('Licences'!$C$4:$C$503,_calc!$E$150)))=0,"","Issuer: "&amp;IF(LEN(INDEX('Licences'!$C$4:$C$503,_calc!$E$150))=0,"",INDEX('Licences'!$C$4:$C$503,_calc!$E$150))&amp;". ")&amp;IF(LEN(IF(LEN(INDEX('Licences'!$E$4:$E$503,_calc!$E$150))=0,"",INDEX('Licences'!$E$4:$E$503,_calc!$E$150)))=0,"","Site: "&amp;IF(LEN(INDEX('Licences'!$E$4:$E$503,_calc!$E$150))=0,"",INDEX('Licences'!$E$4:$E$503,_calc!$E$150))&amp;". ")&amp;IF(LEN(IF(LEN(INDEX('Licences'!$F$4:$F$503,_calc!$E$150))=0,"",INDEX('Licences'!$F$4:$F$503,_calc!$E$150)))=0,"","Owner: "&amp;IF(LEN(INDEX('Licences'!$F$4:$F$503,_calc!$E$150))=0,"",INDEX('Licences'!$F$4:$F$503,_calc!$E$150))&amp;". ")&amp;IF(LEN(IF(LEN(INDEX('Licences'!$R$4:$R$503,_calc!$E$150))=0,"",INDEX('Licences'!$R$4:$R$503,_calc!$E$150)))=0,"",IF(LEN(INDEX('Licences'!$R$4:$R$503,_calc!$E$150))=0,"",INDEX('Licences'!$R$4:$R$503,_calc!$E$150)))))</f>
        <v/>
      </c>
      <c r="G148" s="44">
        <f>IF(_calc!$E$150="","",IF(LEN(INDEX('Licences'!$Q$4:$Q$503,_calc!$E$150))=0,"",INDEX('Licences'!$Q$4:$Q$503,_calc!$E$150)))</f>
        <v/>
      </c>
      <c r="H148" s="44">
        <f>IF(_calc!$E$150="","",IF(LEN(INDEX('Licences'!$O$4:$O$503,_calc!$E$150))=0,"",INDEX('Licences'!$O$4:$O$503,_calc!$E$150)))</f>
        <v/>
      </c>
      <c r="I148" s="44">
        <f>IF(_calc!$E$150="","",IF(LEN(INDEX('Licences'!$P$4:$P$503,_calc!$E$150))=0,"",INDEX('Licences'!$P$4:$P$503,_calc!$E$150)))</f>
        <v/>
      </c>
      <c r="K148" s="44">
        <f>IF(_calc!$E$150="","",IF(LEN(INDEX('Licences'!$G$4:$G$503,_calc!$E$150))=0,"",INDEX('Licences'!$G$4:$G$503,_calc!$E$150)))</f>
        <v/>
      </c>
    </row>
    <row r="149">
      <c r="A149" s="44">
        <f>IF(_calc!$E$151="","",IF(LEN(INDEX('Licences'!$A$4:$A$503,_calc!$E$151))=0,"",INDEX('Licences'!$A$4:$A$503,_calc!$E$151)))</f>
        <v/>
      </c>
      <c r="B149" s="44">
        <f>IF(_calc!$E$151="","",IF(ISNUMBER(INDEX('Licences'!$J$4:$J$503,_calc!$E$151)),TEXT(INDEX('Licences'!$J$4:$J$503,_calc!$E$151),"yyyy-mm-dd"),""))</f>
        <v/>
      </c>
      <c r="C149" s="44">
        <f>IF(_calc!$E$151="","",IF(LEN(INDEX('Licences'!$B$4:$B$503,_calc!$E$151))=0,"",INDEX('Licences'!$B$4:$B$503,_calc!$E$151)))</f>
        <v/>
      </c>
      <c r="D149" s="44">
        <f>IF(_calc!$E$151="","",IF(ISNUMBER(INDEX('Licences'!$I$4:$I$503,_calc!$E$151)),TEXT(INDEX('Licences'!$I$4:$I$503,_calc!$E$151),"yyyy-mm-dd"),""))</f>
        <v/>
      </c>
      <c r="E149" s="44">
        <f>IF(_calc!$E$151="","",IF(LEN(INDEX('Licences'!$H$4:$H$503,_calc!$E$151))=0,"",INDEX('Licences'!$H$4:$H$503,_calc!$E$151)))</f>
        <v/>
      </c>
      <c r="F149" s="44">
        <f>IF(_calc!$E$151="","",TRIM(IF(LEN(IF(LEN(INDEX('Licences'!$D$4:$D$503,_calc!$E$151))=0,"",INDEX('Licences'!$D$4:$D$503,_calc!$E$151)))=0,"","Ref: "&amp;IF(LEN(INDEX('Licences'!$D$4:$D$503,_calc!$E$151))=0,"",INDEX('Licences'!$D$4:$D$503,_calc!$E$151))&amp;". ")&amp;IF(LEN(IF(LEN(INDEX('Licences'!$C$4:$C$503,_calc!$E$151))=0,"",INDEX('Licences'!$C$4:$C$503,_calc!$E$151)))=0,"","Issuer: "&amp;IF(LEN(INDEX('Licences'!$C$4:$C$503,_calc!$E$151))=0,"",INDEX('Licences'!$C$4:$C$503,_calc!$E$151))&amp;". ")&amp;IF(LEN(IF(LEN(INDEX('Licences'!$E$4:$E$503,_calc!$E$151))=0,"",INDEX('Licences'!$E$4:$E$503,_calc!$E$151)))=0,"","Site: "&amp;IF(LEN(INDEX('Licences'!$E$4:$E$503,_calc!$E$151))=0,"",INDEX('Licences'!$E$4:$E$503,_calc!$E$151))&amp;". ")&amp;IF(LEN(IF(LEN(INDEX('Licences'!$F$4:$F$503,_calc!$E$151))=0,"",INDEX('Licences'!$F$4:$F$503,_calc!$E$151)))=0,"","Owner: "&amp;IF(LEN(INDEX('Licences'!$F$4:$F$503,_calc!$E$151))=0,"",INDEX('Licences'!$F$4:$F$503,_calc!$E$151))&amp;". ")&amp;IF(LEN(IF(LEN(INDEX('Licences'!$R$4:$R$503,_calc!$E$151))=0,"",INDEX('Licences'!$R$4:$R$503,_calc!$E$151)))=0,"",IF(LEN(INDEX('Licences'!$R$4:$R$503,_calc!$E$151))=0,"",INDEX('Licences'!$R$4:$R$503,_calc!$E$151)))))</f>
        <v/>
      </c>
      <c r="G149" s="44">
        <f>IF(_calc!$E$151="","",IF(LEN(INDEX('Licences'!$Q$4:$Q$503,_calc!$E$151))=0,"",INDEX('Licences'!$Q$4:$Q$503,_calc!$E$151)))</f>
        <v/>
      </c>
      <c r="H149" s="44">
        <f>IF(_calc!$E$151="","",IF(LEN(INDEX('Licences'!$O$4:$O$503,_calc!$E$151))=0,"",INDEX('Licences'!$O$4:$O$503,_calc!$E$151)))</f>
        <v/>
      </c>
      <c r="I149" s="44">
        <f>IF(_calc!$E$151="","",IF(LEN(INDEX('Licences'!$P$4:$P$503,_calc!$E$151))=0,"",INDEX('Licences'!$P$4:$P$503,_calc!$E$151)))</f>
        <v/>
      </c>
      <c r="K149" s="44">
        <f>IF(_calc!$E$151="","",IF(LEN(INDEX('Licences'!$G$4:$G$503,_calc!$E$151))=0,"",INDEX('Licences'!$G$4:$G$503,_calc!$E$151)))</f>
        <v/>
      </c>
    </row>
    <row r="150">
      <c r="A150" s="44">
        <f>IF(_calc!$E$152="","",IF(LEN(INDEX('Licences'!$A$4:$A$503,_calc!$E$152))=0,"",INDEX('Licences'!$A$4:$A$503,_calc!$E$152)))</f>
        <v/>
      </c>
      <c r="B150" s="44">
        <f>IF(_calc!$E$152="","",IF(ISNUMBER(INDEX('Licences'!$J$4:$J$503,_calc!$E$152)),TEXT(INDEX('Licences'!$J$4:$J$503,_calc!$E$152),"yyyy-mm-dd"),""))</f>
        <v/>
      </c>
      <c r="C150" s="44">
        <f>IF(_calc!$E$152="","",IF(LEN(INDEX('Licences'!$B$4:$B$503,_calc!$E$152))=0,"",INDEX('Licences'!$B$4:$B$503,_calc!$E$152)))</f>
        <v/>
      </c>
      <c r="D150" s="44">
        <f>IF(_calc!$E$152="","",IF(ISNUMBER(INDEX('Licences'!$I$4:$I$503,_calc!$E$152)),TEXT(INDEX('Licences'!$I$4:$I$503,_calc!$E$152),"yyyy-mm-dd"),""))</f>
        <v/>
      </c>
      <c r="E150" s="44">
        <f>IF(_calc!$E$152="","",IF(LEN(INDEX('Licences'!$H$4:$H$503,_calc!$E$152))=0,"",INDEX('Licences'!$H$4:$H$503,_calc!$E$152)))</f>
        <v/>
      </c>
      <c r="F150" s="44">
        <f>IF(_calc!$E$152="","",TRIM(IF(LEN(IF(LEN(INDEX('Licences'!$D$4:$D$503,_calc!$E$152))=0,"",INDEX('Licences'!$D$4:$D$503,_calc!$E$152)))=0,"","Ref: "&amp;IF(LEN(INDEX('Licences'!$D$4:$D$503,_calc!$E$152))=0,"",INDEX('Licences'!$D$4:$D$503,_calc!$E$152))&amp;". ")&amp;IF(LEN(IF(LEN(INDEX('Licences'!$C$4:$C$503,_calc!$E$152))=0,"",INDEX('Licences'!$C$4:$C$503,_calc!$E$152)))=0,"","Issuer: "&amp;IF(LEN(INDEX('Licences'!$C$4:$C$503,_calc!$E$152))=0,"",INDEX('Licences'!$C$4:$C$503,_calc!$E$152))&amp;". ")&amp;IF(LEN(IF(LEN(INDEX('Licences'!$E$4:$E$503,_calc!$E$152))=0,"",INDEX('Licences'!$E$4:$E$503,_calc!$E$152)))=0,"","Site: "&amp;IF(LEN(INDEX('Licences'!$E$4:$E$503,_calc!$E$152))=0,"",INDEX('Licences'!$E$4:$E$503,_calc!$E$152))&amp;". ")&amp;IF(LEN(IF(LEN(INDEX('Licences'!$F$4:$F$503,_calc!$E$152))=0,"",INDEX('Licences'!$F$4:$F$503,_calc!$E$152)))=0,"","Owner: "&amp;IF(LEN(INDEX('Licences'!$F$4:$F$503,_calc!$E$152))=0,"",INDEX('Licences'!$F$4:$F$503,_calc!$E$152))&amp;". ")&amp;IF(LEN(IF(LEN(INDEX('Licences'!$R$4:$R$503,_calc!$E$152))=0,"",INDEX('Licences'!$R$4:$R$503,_calc!$E$152)))=0,"",IF(LEN(INDEX('Licences'!$R$4:$R$503,_calc!$E$152))=0,"",INDEX('Licences'!$R$4:$R$503,_calc!$E$152)))))</f>
        <v/>
      </c>
      <c r="G150" s="44">
        <f>IF(_calc!$E$152="","",IF(LEN(INDEX('Licences'!$Q$4:$Q$503,_calc!$E$152))=0,"",INDEX('Licences'!$Q$4:$Q$503,_calc!$E$152)))</f>
        <v/>
      </c>
      <c r="H150" s="44">
        <f>IF(_calc!$E$152="","",IF(LEN(INDEX('Licences'!$O$4:$O$503,_calc!$E$152))=0,"",INDEX('Licences'!$O$4:$O$503,_calc!$E$152)))</f>
        <v/>
      </c>
      <c r="I150" s="44">
        <f>IF(_calc!$E$152="","",IF(LEN(INDEX('Licences'!$P$4:$P$503,_calc!$E$152))=0,"",INDEX('Licences'!$P$4:$P$503,_calc!$E$152)))</f>
        <v/>
      </c>
      <c r="K150" s="44">
        <f>IF(_calc!$E$152="","",IF(LEN(INDEX('Licences'!$G$4:$G$503,_calc!$E$152))=0,"",INDEX('Licences'!$G$4:$G$503,_calc!$E$152)))</f>
        <v/>
      </c>
    </row>
    <row r="151">
      <c r="A151" s="44">
        <f>IF(_calc!$E$153="","",IF(LEN(INDEX('Licences'!$A$4:$A$503,_calc!$E$153))=0,"",INDEX('Licences'!$A$4:$A$503,_calc!$E$153)))</f>
        <v/>
      </c>
      <c r="B151" s="44">
        <f>IF(_calc!$E$153="","",IF(ISNUMBER(INDEX('Licences'!$J$4:$J$503,_calc!$E$153)),TEXT(INDEX('Licences'!$J$4:$J$503,_calc!$E$153),"yyyy-mm-dd"),""))</f>
        <v/>
      </c>
      <c r="C151" s="44">
        <f>IF(_calc!$E$153="","",IF(LEN(INDEX('Licences'!$B$4:$B$503,_calc!$E$153))=0,"",INDEX('Licences'!$B$4:$B$503,_calc!$E$153)))</f>
        <v/>
      </c>
      <c r="D151" s="44">
        <f>IF(_calc!$E$153="","",IF(ISNUMBER(INDEX('Licences'!$I$4:$I$503,_calc!$E$153)),TEXT(INDEX('Licences'!$I$4:$I$503,_calc!$E$153),"yyyy-mm-dd"),""))</f>
        <v/>
      </c>
      <c r="E151" s="44">
        <f>IF(_calc!$E$153="","",IF(LEN(INDEX('Licences'!$H$4:$H$503,_calc!$E$153))=0,"",INDEX('Licences'!$H$4:$H$503,_calc!$E$153)))</f>
        <v/>
      </c>
      <c r="F151" s="44">
        <f>IF(_calc!$E$153="","",TRIM(IF(LEN(IF(LEN(INDEX('Licences'!$D$4:$D$503,_calc!$E$153))=0,"",INDEX('Licences'!$D$4:$D$503,_calc!$E$153)))=0,"","Ref: "&amp;IF(LEN(INDEX('Licences'!$D$4:$D$503,_calc!$E$153))=0,"",INDEX('Licences'!$D$4:$D$503,_calc!$E$153))&amp;". ")&amp;IF(LEN(IF(LEN(INDEX('Licences'!$C$4:$C$503,_calc!$E$153))=0,"",INDEX('Licences'!$C$4:$C$503,_calc!$E$153)))=0,"","Issuer: "&amp;IF(LEN(INDEX('Licences'!$C$4:$C$503,_calc!$E$153))=0,"",INDEX('Licences'!$C$4:$C$503,_calc!$E$153))&amp;". ")&amp;IF(LEN(IF(LEN(INDEX('Licences'!$E$4:$E$503,_calc!$E$153))=0,"",INDEX('Licences'!$E$4:$E$503,_calc!$E$153)))=0,"","Site: "&amp;IF(LEN(INDEX('Licences'!$E$4:$E$503,_calc!$E$153))=0,"",INDEX('Licences'!$E$4:$E$503,_calc!$E$153))&amp;". ")&amp;IF(LEN(IF(LEN(INDEX('Licences'!$F$4:$F$503,_calc!$E$153))=0,"",INDEX('Licences'!$F$4:$F$503,_calc!$E$153)))=0,"","Owner: "&amp;IF(LEN(INDEX('Licences'!$F$4:$F$503,_calc!$E$153))=0,"",INDEX('Licences'!$F$4:$F$503,_calc!$E$153))&amp;". ")&amp;IF(LEN(IF(LEN(INDEX('Licences'!$R$4:$R$503,_calc!$E$153))=0,"",INDEX('Licences'!$R$4:$R$503,_calc!$E$153)))=0,"",IF(LEN(INDEX('Licences'!$R$4:$R$503,_calc!$E$153))=0,"",INDEX('Licences'!$R$4:$R$503,_calc!$E$153)))))</f>
        <v/>
      </c>
      <c r="G151" s="44">
        <f>IF(_calc!$E$153="","",IF(LEN(INDEX('Licences'!$Q$4:$Q$503,_calc!$E$153))=0,"",INDEX('Licences'!$Q$4:$Q$503,_calc!$E$153)))</f>
        <v/>
      </c>
      <c r="H151" s="44">
        <f>IF(_calc!$E$153="","",IF(LEN(INDEX('Licences'!$O$4:$O$503,_calc!$E$153))=0,"",INDEX('Licences'!$O$4:$O$503,_calc!$E$153)))</f>
        <v/>
      </c>
      <c r="I151" s="44">
        <f>IF(_calc!$E$153="","",IF(LEN(INDEX('Licences'!$P$4:$P$503,_calc!$E$153))=0,"",INDEX('Licences'!$P$4:$P$503,_calc!$E$153)))</f>
        <v/>
      </c>
      <c r="K151" s="44">
        <f>IF(_calc!$E$153="","",IF(LEN(INDEX('Licences'!$G$4:$G$503,_calc!$E$153))=0,"",INDEX('Licences'!$G$4:$G$503,_calc!$E$153)))</f>
        <v/>
      </c>
    </row>
    <row r="152">
      <c r="A152" s="44">
        <f>IF(_calc!$E$154="","",IF(LEN(INDEX('Licences'!$A$4:$A$503,_calc!$E$154))=0,"",INDEX('Licences'!$A$4:$A$503,_calc!$E$154)))</f>
        <v/>
      </c>
      <c r="B152" s="44">
        <f>IF(_calc!$E$154="","",IF(ISNUMBER(INDEX('Licences'!$J$4:$J$503,_calc!$E$154)),TEXT(INDEX('Licences'!$J$4:$J$503,_calc!$E$154),"yyyy-mm-dd"),""))</f>
        <v/>
      </c>
      <c r="C152" s="44">
        <f>IF(_calc!$E$154="","",IF(LEN(INDEX('Licences'!$B$4:$B$503,_calc!$E$154))=0,"",INDEX('Licences'!$B$4:$B$503,_calc!$E$154)))</f>
        <v/>
      </c>
      <c r="D152" s="44">
        <f>IF(_calc!$E$154="","",IF(ISNUMBER(INDEX('Licences'!$I$4:$I$503,_calc!$E$154)),TEXT(INDEX('Licences'!$I$4:$I$503,_calc!$E$154),"yyyy-mm-dd"),""))</f>
        <v/>
      </c>
      <c r="E152" s="44">
        <f>IF(_calc!$E$154="","",IF(LEN(INDEX('Licences'!$H$4:$H$503,_calc!$E$154))=0,"",INDEX('Licences'!$H$4:$H$503,_calc!$E$154)))</f>
        <v/>
      </c>
      <c r="F152" s="44">
        <f>IF(_calc!$E$154="","",TRIM(IF(LEN(IF(LEN(INDEX('Licences'!$D$4:$D$503,_calc!$E$154))=0,"",INDEX('Licences'!$D$4:$D$503,_calc!$E$154)))=0,"","Ref: "&amp;IF(LEN(INDEX('Licences'!$D$4:$D$503,_calc!$E$154))=0,"",INDEX('Licences'!$D$4:$D$503,_calc!$E$154))&amp;". ")&amp;IF(LEN(IF(LEN(INDEX('Licences'!$C$4:$C$503,_calc!$E$154))=0,"",INDEX('Licences'!$C$4:$C$503,_calc!$E$154)))=0,"","Issuer: "&amp;IF(LEN(INDEX('Licences'!$C$4:$C$503,_calc!$E$154))=0,"",INDEX('Licences'!$C$4:$C$503,_calc!$E$154))&amp;". ")&amp;IF(LEN(IF(LEN(INDEX('Licences'!$E$4:$E$503,_calc!$E$154))=0,"",INDEX('Licences'!$E$4:$E$503,_calc!$E$154)))=0,"","Site: "&amp;IF(LEN(INDEX('Licences'!$E$4:$E$503,_calc!$E$154))=0,"",INDEX('Licences'!$E$4:$E$503,_calc!$E$154))&amp;". ")&amp;IF(LEN(IF(LEN(INDEX('Licences'!$F$4:$F$503,_calc!$E$154))=0,"",INDEX('Licences'!$F$4:$F$503,_calc!$E$154)))=0,"","Owner: "&amp;IF(LEN(INDEX('Licences'!$F$4:$F$503,_calc!$E$154))=0,"",INDEX('Licences'!$F$4:$F$503,_calc!$E$154))&amp;". ")&amp;IF(LEN(IF(LEN(INDEX('Licences'!$R$4:$R$503,_calc!$E$154))=0,"",INDEX('Licences'!$R$4:$R$503,_calc!$E$154)))=0,"",IF(LEN(INDEX('Licences'!$R$4:$R$503,_calc!$E$154))=0,"",INDEX('Licences'!$R$4:$R$503,_calc!$E$154)))))</f>
        <v/>
      </c>
      <c r="G152" s="44">
        <f>IF(_calc!$E$154="","",IF(LEN(INDEX('Licences'!$Q$4:$Q$503,_calc!$E$154))=0,"",INDEX('Licences'!$Q$4:$Q$503,_calc!$E$154)))</f>
        <v/>
      </c>
      <c r="H152" s="44">
        <f>IF(_calc!$E$154="","",IF(LEN(INDEX('Licences'!$O$4:$O$503,_calc!$E$154))=0,"",INDEX('Licences'!$O$4:$O$503,_calc!$E$154)))</f>
        <v/>
      </c>
      <c r="I152" s="44">
        <f>IF(_calc!$E$154="","",IF(LEN(INDEX('Licences'!$P$4:$P$503,_calc!$E$154))=0,"",INDEX('Licences'!$P$4:$P$503,_calc!$E$154)))</f>
        <v/>
      </c>
      <c r="K152" s="44">
        <f>IF(_calc!$E$154="","",IF(LEN(INDEX('Licences'!$G$4:$G$503,_calc!$E$154))=0,"",INDEX('Licences'!$G$4:$G$503,_calc!$E$154)))</f>
        <v/>
      </c>
    </row>
    <row r="153">
      <c r="A153" s="44">
        <f>IF(_calc!$E$155="","",IF(LEN(INDEX('Licences'!$A$4:$A$503,_calc!$E$155))=0,"",INDEX('Licences'!$A$4:$A$503,_calc!$E$155)))</f>
        <v/>
      </c>
      <c r="B153" s="44">
        <f>IF(_calc!$E$155="","",IF(ISNUMBER(INDEX('Licences'!$J$4:$J$503,_calc!$E$155)),TEXT(INDEX('Licences'!$J$4:$J$503,_calc!$E$155),"yyyy-mm-dd"),""))</f>
        <v/>
      </c>
      <c r="C153" s="44">
        <f>IF(_calc!$E$155="","",IF(LEN(INDEX('Licences'!$B$4:$B$503,_calc!$E$155))=0,"",INDEX('Licences'!$B$4:$B$503,_calc!$E$155)))</f>
        <v/>
      </c>
      <c r="D153" s="44">
        <f>IF(_calc!$E$155="","",IF(ISNUMBER(INDEX('Licences'!$I$4:$I$503,_calc!$E$155)),TEXT(INDEX('Licences'!$I$4:$I$503,_calc!$E$155),"yyyy-mm-dd"),""))</f>
        <v/>
      </c>
      <c r="E153" s="44">
        <f>IF(_calc!$E$155="","",IF(LEN(INDEX('Licences'!$H$4:$H$503,_calc!$E$155))=0,"",INDEX('Licences'!$H$4:$H$503,_calc!$E$155)))</f>
        <v/>
      </c>
      <c r="F153" s="44">
        <f>IF(_calc!$E$155="","",TRIM(IF(LEN(IF(LEN(INDEX('Licences'!$D$4:$D$503,_calc!$E$155))=0,"",INDEX('Licences'!$D$4:$D$503,_calc!$E$155)))=0,"","Ref: "&amp;IF(LEN(INDEX('Licences'!$D$4:$D$503,_calc!$E$155))=0,"",INDEX('Licences'!$D$4:$D$503,_calc!$E$155))&amp;". ")&amp;IF(LEN(IF(LEN(INDEX('Licences'!$C$4:$C$503,_calc!$E$155))=0,"",INDEX('Licences'!$C$4:$C$503,_calc!$E$155)))=0,"","Issuer: "&amp;IF(LEN(INDEX('Licences'!$C$4:$C$503,_calc!$E$155))=0,"",INDEX('Licences'!$C$4:$C$503,_calc!$E$155))&amp;". ")&amp;IF(LEN(IF(LEN(INDEX('Licences'!$E$4:$E$503,_calc!$E$155))=0,"",INDEX('Licences'!$E$4:$E$503,_calc!$E$155)))=0,"","Site: "&amp;IF(LEN(INDEX('Licences'!$E$4:$E$503,_calc!$E$155))=0,"",INDEX('Licences'!$E$4:$E$503,_calc!$E$155))&amp;". ")&amp;IF(LEN(IF(LEN(INDEX('Licences'!$F$4:$F$503,_calc!$E$155))=0,"",INDEX('Licences'!$F$4:$F$503,_calc!$E$155)))=0,"","Owner: "&amp;IF(LEN(INDEX('Licences'!$F$4:$F$503,_calc!$E$155))=0,"",INDEX('Licences'!$F$4:$F$503,_calc!$E$155))&amp;". ")&amp;IF(LEN(IF(LEN(INDEX('Licences'!$R$4:$R$503,_calc!$E$155))=0,"",INDEX('Licences'!$R$4:$R$503,_calc!$E$155)))=0,"",IF(LEN(INDEX('Licences'!$R$4:$R$503,_calc!$E$155))=0,"",INDEX('Licences'!$R$4:$R$503,_calc!$E$155)))))</f>
        <v/>
      </c>
      <c r="G153" s="44">
        <f>IF(_calc!$E$155="","",IF(LEN(INDEX('Licences'!$Q$4:$Q$503,_calc!$E$155))=0,"",INDEX('Licences'!$Q$4:$Q$503,_calc!$E$155)))</f>
        <v/>
      </c>
      <c r="H153" s="44">
        <f>IF(_calc!$E$155="","",IF(LEN(INDEX('Licences'!$O$4:$O$503,_calc!$E$155))=0,"",INDEX('Licences'!$O$4:$O$503,_calc!$E$155)))</f>
        <v/>
      </c>
      <c r="I153" s="44">
        <f>IF(_calc!$E$155="","",IF(LEN(INDEX('Licences'!$P$4:$P$503,_calc!$E$155))=0,"",INDEX('Licences'!$P$4:$P$503,_calc!$E$155)))</f>
        <v/>
      </c>
      <c r="K153" s="44">
        <f>IF(_calc!$E$155="","",IF(LEN(INDEX('Licences'!$G$4:$G$503,_calc!$E$155))=0,"",INDEX('Licences'!$G$4:$G$503,_calc!$E$155)))</f>
        <v/>
      </c>
    </row>
    <row r="154">
      <c r="A154" s="44">
        <f>IF(_calc!$E$156="","",IF(LEN(INDEX('Licences'!$A$4:$A$503,_calc!$E$156))=0,"",INDEX('Licences'!$A$4:$A$503,_calc!$E$156)))</f>
        <v/>
      </c>
      <c r="B154" s="44">
        <f>IF(_calc!$E$156="","",IF(ISNUMBER(INDEX('Licences'!$J$4:$J$503,_calc!$E$156)),TEXT(INDEX('Licences'!$J$4:$J$503,_calc!$E$156),"yyyy-mm-dd"),""))</f>
        <v/>
      </c>
      <c r="C154" s="44">
        <f>IF(_calc!$E$156="","",IF(LEN(INDEX('Licences'!$B$4:$B$503,_calc!$E$156))=0,"",INDEX('Licences'!$B$4:$B$503,_calc!$E$156)))</f>
        <v/>
      </c>
      <c r="D154" s="44">
        <f>IF(_calc!$E$156="","",IF(ISNUMBER(INDEX('Licences'!$I$4:$I$503,_calc!$E$156)),TEXT(INDEX('Licences'!$I$4:$I$503,_calc!$E$156),"yyyy-mm-dd"),""))</f>
        <v/>
      </c>
      <c r="E154" s="44">
        <f>IF(_calc!$E$156="","",IF(LEN(INDEX('Licences'!$H$4:$H$503,_calc!$E$156))=0,"",INDEX('Licences'!$H$4:$H$503,_calc!$E$156)))</f>
        <v/>
      </c>
      <c r="F154" s="44">
        <f>IF(_calc!$E$156="","",TRIM(IF(LEN(IF(LEN(INDEX('Licences'!$D$4:$D$503,_calc!$E$156))=0,"",INDEX('Licences'!$D$4:$D$503,_calc!$E$156)))=0,"","Ref: "&amp;IF(LEN(INDEX('Licences'!$D$4:$D$503,_calc!$E$156))=0,"",INDEX('Licences'!$D$4:$D$503,_calc!$E$156))&amp;". ")&amp;IF(LEN(IF(LEN(INDEX('Licences'!$C$4:$C$503,_calc!$E$156))=0,"",INDEX('Licences'!$C$4:$C$503,_calc!$E$156)))=0,"","Issuer: "&amp;IF(LEN(INDEX('Licences'!$C$4:$C$503,_calc!$E$156))=0,"",INDEX('Licences'!$C$4:$C$503,_calc!$E$156))&amp;". ")&amp;IF(LEN(IF(LEN(INDEX('Licences'!$E$4:$E$503,_calc!$E$156))=0,"",INDEX('Licences'!$E$4:$E$503,_calc!$E$156)))=0,"","Site: "&amp;IF(LEN(INDEX('Licences'!$E$4:$E$503,_calc!$E$156))=0,"",INDEX('Licences'!$E$4:$E$503,_calc!$E$156))&amp;". ")&amp;IF(LEN(IF(LEN(INDEX('Licences'!$F$4:$F$503,_calc!$E$156))=0,"",INDEX('Licences'!$F$4:$F$503,_calc!$E$156)))=0,"","Owner: "&amp;IF(LEN(INDEX('Licences'!$F$4:$F$503,_calc!$E$156))=0,"",INDEX('Licences'!$F$4:$F$503,_calc!$E$156))&amp;". ")&amp;IF(LEN(IF(LEN(INDEX('Licences'!$R$4:$R$503,_calc!$E$156))=0,"",INDEX('Licences'!$R$4:$R$503,_calc!$E$156)))=0,"",IF(LEN(INDEX('Licences'!$R$4:$R$503,_calc!$E$156))=0,"",INDEX('Licences'!$R$4:$R$503,_calc!$E$156)))))</f>
        <v/>
      </c>
      <c r="G154" s="44">
        <f>IF(_calc!$E$156="","",IF(LEN(INDEX('Licences'!$Q$4:$Q$503,_calc!$E$156))=0,"",INDEX('Licences'!$Q$4:$Q$503,_calc!$E$156)))</f>
        <v/>
      </c>
      <c r="H154" s="44">
        <f>IF(_calc!$E$156="","",IF(LEN(INDEX('Licences'!$O$4:$O$503,_calc!$E$156))=0,"",INDEX('Licences'!$O$4:$O$503,_calc!$E$156)))</f>
        <v/>
      </c>
      <c r="I154" s="44">
        <f>IF(_calc!$E$156="","",IF(LEN(INDEX('Licences'!$P$4:$P$503,_calc!$E$156))=0,"",INDEX('Licences'!$P$4:$P$503,_calc!$E$156)))</f>
        <v/>
      </c>
      <c r="K154" s="44">
        <f>IF(_calc!$E$156="","",IF(LEN(INDEX('Licences'!$G$4:$G$503,_calc!$E$156))=0,"",INDEX('Licences'!$G$4:$G$503,_calc!$E$156)))</f>
        <v/>
      </c>
    </row>
    <row r="155">
      <c r="A155" s="44">
        <f>IF(_calc!$E$157="","",IF(LEN(INDEX('Licences'!$A$4:$A$503,_calc!$E$157))=0,"",INDEX('Licences'!$A$4:$A$503,_calc!$E$157)))</f>
        <v/>
      </c>
      <c r="B155" s="44">
        <f>IF(_calc!$E$157="","",IF(ISNUMBER(INDEX('Licences'!$J$4:$J$503,_calc!$E$157)),TEXT(INDEX('Licences'!$J$4:$J$503,_calc!$E$157),"yyyy-mm-dd"),""))</f>
        <v/>
      </c>
      <c r="C155" s="44">
        <f>IF(_calc!$E$157="","",IF(LEN(INDEX('Licences'!$B$4:$B$503,_calc!$E$157))=0,"",INDEX('Licences'!$B$4:$B$503,_calc!$E$157)))</f>
        <v/>
      </c>
      <c r="D155" s="44">
        <f>IF(_calc!$E$157="","",IF(ISNUMBER(INDEX('Licences'!$I$4:$I$503,_calc!$E$157)),TEXT(INDEX('Licences'!$I$4:$I$503,_calc!$E$157),"yyyy-mm-dd"),""))</f>
        <v/>
      </c>
      <c r="E155" s="44">
        <f>IF(_calc!$E$157="","",IF(LEN(INDEX('Licences'!$H$4:$H$503,_calc!$E$157))=0,"",INDEX('Licences'!$H$4:$H$503,_calc!$E$157)))</f>
        <v/>
      </c>
      <c r="F155" s="44">
        <f>IF(_calc!$E$157="","",TRIM(IF(LEN(IF(LEN(INDEX('Licences'!$D$4:$D$503,_calc!$E$157))=0,"",INDEX('Licences'!$D$4:$D$503,_calc!$E$157)))=0,"","Ref: "&amp;IF(LEN(INDEX('Licences'!$D$4:$D$503,_calc!$E$157))=0,"",INDEX('Licences'!$D$4:$D$503,_calc!$E$157))&amp;". ")&amp;IF(LEN(IF(LEN(INDEX('Licences'!$C$4:$C$503,_calc!$E$157))=0,"",INDEX('Licences'!$C$4:$C$503,_calc!$E$157)))=0,"","Issuer: "&amp;IF(LEN(INDEX('Licences'!$C$4:$C$503,_calc!$E$157))=0,"",INDEX('Licences'!$C$4:$C$503,_calc!$E$157))&amp;". ")&amp;IF(LEN(IF(LEN(INDEX('Licences'!$E$4:$E$503,_calc!$E$157))=0,"",INDEX('Licences'!$E$4:$E$503,_calc!$E$157)))=0,"","Site: "&amp;IF(LEN(INDEX('Licences'!$E$4:$E$503,_calc!$E$157))=0,"",INDEX('Licences'!$E$4:$E$503,_calc!$E$157))&amp;". ")&amp;IF(LEN(IF(LEN(INDEX('Licences'!$F$4:$F$503,_calc!$E$157))=0,"",INDEX('Licences'!$F$4:$F$503,_calc!$E$157)))=0,"","Owner: "&amp;IF(LEN(INDEX('Licences'!$F$4:$F$503,_calc!$E$157))=0,"",INDEX('Licences'!$F$4:$F$503,_calc!$E$157))&amp;". ")&amp;IF(LEN(IF(LEN(INDEX('Licences'!$R$4:$R$503,_calc!$E$157))=0,"",INDEX('Licences'!$R$4:$R$503,_calc!$E$157)))=0,"",IF(LEN(INDEX('Licences'!$R$4:$R$503,_calc!$E$157))=0,"",INDEX('Licences'!$R$4:$R$503,_calc!$E$157)))))</f>
        <v/>
      </c>
      <c r="G155" s="44">
        <f>IF(_calc!$E$157="","",IF(LEN(INDEX('Licences'!$Q$4:$Q$503,_calc!$E$157))=0,"",INDEX('Licences'!$Q$4:$Q$503,_calc!$E$157)))</f>
        <v/>
      </c>
      <c r="H155" s="44">
        <f>IF(_calc!$E$157="","",IF(LEN(INDEX('Licences'!$O$4:$O$503,_calc!$E$157))=0,"",INDEX('Licences'!$O$4:$O$503,_calc!$E$157)))</f>
        <v/>
      </c>
      <c r="I155" s="44">
        <f>IF(_calc!$E$157="","",IF(LEN(INDEX('Licences'!$P$4:$P$503,_calc!$E$157))=0,"",INDEX('Licences'!$P$4:$P$503,_calc!$E$157)))</f>
        <v/>
      </c>
      <c r="K155" s="44">
        <f>IF(_calc!$E$157="","",IF(LEN(INDEX('Licences'!$G$4:$G$503,_calc!$E$157))=0,"",INDEX('Licences'!$G$4:$G$503,_calc!$E$157)))</f>
        <v/>
      </c>
    </row>
    <row r="156">
      <c r="A156" s="44">
        <f>IF(_calc!$E$158="","",IF(LEN(INDEX('Licences'!$A$4:$A$503,_calc!$E$158))=0,"",INDEX('Licences'!$A$4:$A$503,_calc!$E$158)))</f>
        <v/>
      </c>
      <c r="B156" s="44">
        <f>IF(_calc!$E$158="","",IF(ISNUMBER(INDEX('Licences'!$J$4:$J$503,_calc!$E$158)),TEXT(INDEX('Licences'!$J$4:$J$503,_calc!$E$158),"yyyy-mm-dd"),""))</f>
        <v/>
      </c>
      <c r="C156" s="44">
        <f>IF(_calc!$E$158="","",IF(LEN(INDEX('Licences'!$B$4:$B$503,_calc!$E$158))=0,"",INDEX('Licences'!$B$4:$B$503,_calc!$E$158)))</f>
        <v/>
      </c>
      <c r="D156" s="44">
        <f>IF(_calc!$E$158="","",IF(ISNUMBER(INDEX('Licences'!$I$4:$I$503,_calc!$E$158)),TEXT(INDEX('Licences'!$I$4:$I$503,_calc!$E$158),"yyyy-mm-dd"),""))</f>
        <v/>
      </c>
      <c r="E156" s="44">
        <f>IF(_calc!$E$158="","",IF(LEN(INDEX('Licences'!$H$4:$H$503,_calc!$E$158))=0,"",INDEX('Licences'!$H$4:$H$503,_calc!$E$158)))</f>
        <v/>
      </c>
      <c r="F156" s="44">
        <f>IF(_calc!$E$158="","",TRIM(IF(LEN(IF(LEN(INDEX('Licences'!$D$4:$D$503,_calc!$E$158))=0,"",INDEX('Licences'!$D$4:$D$503,_calc!$E$158)))=0,"","Ref: "&amp;IF(LEN(INDEX('Licences'!$D$4:$D$503,_calc!$E$158))=0,"",INDEX('Licences'!$D$4:$D$503,_calc!$E$158))&amp;". ")&amp;IF(LEN(IF(LEN(INDEX('Licences'!$C$4:$C$503,_calc!$E$158))=0,"",INDEX('Licences'!$C$4:$C$503,_calc!$E$158)))=0,"","Issuer: "&amp;IF(LEN(INDEX('Licences'!$C$4:$C$503,_calc!$E$158))=0,"",INDEX('Licences'!$C$4:$C$503,_calc!$E$158))&amp;". ")&amp;IF(LEN(IF(LEN(INDEX('Licences'!$E$4:$E$503,_calc!$E$158))=0,"",INDEX('Licences'!$E$4:$E$503,_calc!$E$158)))=0,"","Site: "&amp;IF(LEN(INDEX('Licences'!$E$4:$E$503,_calc!$E$158))=0,"",INDEX('Licences'!$E$4:$E$503,_calc!$E$158))&amp;". ")&amp;IF(LEN(IF(LEN(INDEX('Licences'!$F$4:$F$503,_calc!$E$158))=0,"",INDEX('Licences'!$F$4:$F$503,_calc!$E$158)))=0,"","Owner: "&amp;IF(LEN(INDEX('Licences'!$F$4:$F$503,_calc!$E$158))=0,"",INDEX('Licences'!$F$4:$F$503,_calc!$E$158))&amp;". ")&amp;IF(LEN(IF(LEN(INDEX('Licences'!$R$4:$R$503,_calc!$E$158))=0,"",INDEX('Licences'!$R$4:$R$503,_calc!$E$158)))=0,"",IF(LEN(INDEX('Licences'!$R$4:$R$503,_calc!$E$158))=0,"",INDEX('Licences'!$R$4:$R$503,_calc!$E$158)))))</f>
        <v/>
      </c>
      <c r="G156" s="44">
        <f>IF(_calc!$E$158="","",IF(LEN(INDEX('Licences'!$Q$4:$Q$503,_calc!$E$158))=0,"",INDEX('Licences'!$Q$4:$Q$503,_calc!$E$158)))</f>
        <v/>
      </c>
      <c r="H156" s="44">
        <f>IF(_calc!$E$158="","",IF(LEN(INDEX('Licences'!$O$4:$O$503,_calc!$E$158))=0,"",INDEX('Licences'!$O$4:$O$503,_calc!$E$158)))</f>
        <v/>
      </c>
      <c r="I156" s="44">
        <f>IF(_calc!$E$158="","",IF(LEN(INDEX('Licences'!$P$4:$P$503,_calc!$E$158))=0,"",INDEX('Licences'!$P$4:$P$503,_calc!$E$158)))</f>
        <v/>
      </c>
      <c r="K156" s="44">
        <f>IF(_calc!$E$158="","",IF(LEN(INDEX('Licences'!$G$4:$G$503,_calc!$E$158))=0,"",INDEX('Licences'!$G$4:$G$503,_calc!$E$158)))</f>
        <v/>
      </c>
    </row>
    <row r="157">
      <c r="A157" s="44">
        <f>IF(_calc!$E$159="","",IF(LEN(INDEX('Licences'!$A$4:$A$503,_calc!$E$159))=0,"",INDEX('Licences'!$A$4:$A$503,_calc!$E$159)))</f>
        <v/>
      </c>
      <c r="B157" s="44">
        <f>IF(_calc!$E$159="","",IF(ISNUMBER(INDEX('Licences'!$J$4:$J$503,_calc!$E$159)),TEXT(INDEX('Licences'!$J$4:$J$503,_calc!$E$159),"yyyy-mm-dd"),""))</f>
        <v/>
      </c>
      <c r="C157" s="44">
        <f>IF(_calc!$E$159="","",IF(LEN(INDEX('Licences'!$B$4:$B$503,_calc!$E$159))=0,"",INDEX('Licences'!$B$4:$B$503,_calc!$E$159)))</f>
        <v/>
      </c>
      <c r="D157" s="44">
        <f>IF(_calc!$E$159="","",IF(ISNUMBER(INDEX('Licences'!$I$4:$I$503,_calc!$E$159)),TEXT(INDEX('Licences'!$I$4:$I$503,_calc!$E$159),"yyyy-mm-dd"),""))</f>
        <v/>
      </c>
      <c r="E157" s="44">
        <f>IF(_calc!$E$159="","",IF(LEN(INDEX('Licences'!$H$4:$H$503,_calc!$E$159))=0,"",INDEX('Licences'!$H$4:$H$503,_calc!$E$159)))</f>
        <v/>
      </c>
      <c r="F157" s="44">
        <f>IF(_calc!$E$159="","",TRIM(IF(LEN(IF(LEN(INDEX('Licences'!$D$4:$D$503,_calc!$E$159))=0,"",INDEX('Licences'!$D$4:$D$503,_calc!$E$159)))=0,"","Ref: "&amp;IF(LEN(INDEX('Licences'!$D$4:$D$503,_calc!$E$159))=0,"",INDEX('Licences'!$D$4:$D$503,_calc!$E$159))&amp;". ")&amp;IF(LEN(IF(LEN(INDEX('Licences'!$C$4:$C$503,_calc!$E$159))=0,"",INDEX('Licences'!$C$4:$C$503,_calc!$E$159)))=0,"","Issuer: "&amp;IF(LEN(INDEX('Licences'!$C$4:$C$503,_calc!$E$159))=0,"",INDEX('Licences'!$C$4:$C$503,_calc!$E$159))&amp;". ")&amp;IF(LEN(IF(LEN(INDEX('Licences'!$E$4:$E$503,_calc!$E$159))=0,"",INDEX('Licences'!$E$4:$E$503,_calc!$E$159)))=0,"","Site: "&amp;IF(LEN(INDEX('Licences'!$E$4:$E$503,_calc!$E$159))=0,"",INDEX('Licences'!$E$4:$E$503,_calc!$E$159))&amp;". ")&amp;IF(LEN(IF(LEN(INDEX('Licences'!$F$4:$F$503,_calc!$E$159))=0,"",INDEX('Licences'!$F$4:$F$503,_calc!$E$159)))=0,"","Owner: "&amp;IF(LEN(INDEX('Licences'!$F$4:$F$503,_calc!$E$159))=0,"",INDEX('Licences'!$F$4:$F$503,_calc!$E$159))&amp;". ")&amp;IF(LEN(IF(LEN(INDEX('Licences'!$R$4:$R$503,_calc!$E$159))=0,"",INDEX('Licences'!$R$4:$R$503,_calc!$E$159)))=0,"",IF(LEN(INDEX('Licences'!$R$4:$R$503,_calc!$E$159))=0,"",INDEX('Licences'!$R$4:$R$503,_calc!$E$159)))))</f>
        <v/>
      </c>
      <c r="G157" s="44">
        <f>IF(_calc!$E$159="","",IF(LEN(INDEX('Licences'!$Q$4:$Q$503,_calc!$E$159))=0,"",INDEX('Licences'!$Q$4:$Q$503,_calc!$E$159)))</f>
        <v/>
      </c>
      <c r="H157" s="44">
        <f>IF(_calc!$E$159="","",IF(LEN(INDEX('Licences'!$O$4:$O$503,_calc!$E$159))=0,"",INDEX('Licences'!$O$4:$O$503,_calc!$E$159)))</f>
        <v/>
      </c>
      <c r="I157" s="44">
        <f>IF(_calc!$E$159="","",IF(LEN(INDEX('Licences'!$P$4:$P$503,_calc!$E$159))=0,"",INDEX('Licences'!$P$4:$P$503,_calc!$E$159)))</f>
        <v/>
      </c>
      <c r="K157" s="44">
        <f>IF(_calc!$E$159="","",IF(LEN(INDEX('Licences'!$G$4:$G$503,_calc!$E$159))=0,"",INDEX('Licences'!$G$4:$G$503,_calc!$E$159)))</f>
        <v/>
      </c>
    </row>
    <row r="158">
      <c r="A158" s="44">
        <f>IF(_calc!$E$160="","",IF(LEN(INDEX('Licences'!$A$4:$A$503,_calc!$E$160))=0,"",INDEX('Licences'!$A$4:$A$503,_calc!$E$160)))</f>
        <v/>
      </c>
      <c r="B158" s="44">
        <f>IF(_calc!$E$160="","",IF(ISNUMBER(INDEX('Licences'!$J$4:$J$503,_calc!$E$160)),TEXT(INDEX('Licences'!$J$4:$J$503,_calc!$E$160),"yyyy-mm-dd"),""))</f>
        <v/>
      </c>
      <c r="C158" s="44">
        <f>IF(_calc!$E$160="","",IF(LEN(INDEX('Licences'!$B$4:$B$503,_calc!$E$160))=0,"",INDEX('Licences'!$B$4:$B$503,_calc!$E$160)))</f>
        <v/>
      </c>
      <c r="D158" s="44">
        <f>IF(_calc!$E$160="","",IF(ISNUMBER(INDEX('Licences'!$I$4:$I$503,_calc!$E$160)),TEXT(INDEX('Licences'!$I$4:$I$503,_calc!$E$160),"yyyy-mm-dd"),""))</f>
        <v/>
      </c>
      <c r="E158" s="44">
        <f>IF(_calc!$E$160="","",IF(LEN(INDEX('Licences'!$H$4:$H$503,_calc!$E$160))=0,"",INDEX('Licences'!$H$4:$H$503,_calc!$E$160)))</f>
        <v/>
      </c>
      <c r="F158" s="44">
        <f>IF(_calc!$E$160="","",TRIM(IF(LEN(IF(LEN(INDEX('Licences'!$D$4:$D$503,_calc!$E$160))=0,"",INDEX('Licences'!$D$4:$D$503,_calc!$E$160)))=0,"","Ref: "&amp;IF(LEN(INDEX('Licences'!$D$4:$D$503,_calc!$E$160))=0,"",INDEX('Licences'!$D$4:$D$503,_calc!$E$160))&amp;". ")&amp;IF(LEN(IF(LEN(INDEX('Licences'!$C$4:$C$503,_calc!$E$160))=0,"",INDEX('Licences'!$C$4:$C$503,_calc!$E$160)))=0,"","Issuer: "&amp;IF(LEN(INDEX('Licences'!$C$4:$C$503,_calc!$E$160))=0,"",INDEX('Licences'!$C$4:$C$503,_calc!$E$160))&amp;". ")&amp;IF(LEN(IF(LEN(INDEX('Licences'!$E$4:$E$503,_calc!$E$160))=0,"",INDEX('Licences'!$E$4:$E$503,_calc!$E$160)))=0,"","Site: "&amp;IF(LEN(INDEX('Licences'!$E$4:$E$503,_calc!$E$160))=0,"",INDEX('Licences'!$E$4:$E$503,_calc!$E$160))&amp;". ")&amp;IF(LEN(IF(LEN(INDEX('Licences'!$F$4:$F$503,_calc!$E$160))=0,"",INDEX('Licences'!$F$4:$F$503,_calc!$E$160)))=0,"","Owner: "&amp;IF(LEN(INDEX('Licences'!$F$4:$F$503,_calc!$E$160))=0,"",INDEX('Licences'!$F$4:$F$503,_calc!$E$160))&amp;". ")&amp;IF(LEN(IF(LEN(INDEX('Licences'!$R$4:$R$503,_calc!$E$160))=0,"",INDEX('Licences'!$R$4:$R$503,_calc!$E$160)))=0,"",IF(LEN(INDEX('Licences'!$R$4:$R$503,_calc!$E$160))=0,"",INDEX('Licences'!$R$4:$R$503,_calc!$E$160)))))</f>
        <v/>
      </c>
      <c r="G158" s="44">
        <f>IF(_calc!$E$160="","",IF(LEN(INDEX('Licences'!$Q$4:$Q$503,_calc!$E$160))=0,"",INDEX('Licences'!$Q$4:$Q$503,_calc!$E$160)))</f>
        <v/>
      </c>
      <c r="H158" s="44">
        <f>IF(_calc!$E$160="","",IF(LEN(INDEX('Licences'!$O$4:$O$503,_calc!$E$160))=0,"",INDEX('Licences'!$O$4:$O$503,_calc!$E$160)))</f>
        <v/>
      </c>
      <c r="I158" s="44">
        <f>IF(_calc!$E$160="","",IF(LEN(INDEX('Licences'!$P$4:$P$503,_calc!$E$160))=0,"",INDEX('Licences'!$P$4:$P$503,_calc!$E$160)))</f>
        <v/>
      </c>
      <c r="K158" s="44">
        <f>IF(_calc!$E$160="","",IF(LEN(INDEX('Licences'!$G$4:$G$503,_calc!$E$160))=0,"",INDEX('Licences'!$G$4:$G$503,_calc!$E$160)))</f>
        <v/>
      </c>
    </row>
    <row r="159">
      <c r="A159" s="44">
        <f>IF(_calc!$E$161="","",IF(LEN(INDEX('Licences'!$A$4:$A$503,_calc!$E$161))=0,"",INDEX('Licences'!$A$4:$A$503,_calc!$E$161)))</f>
        <v/>
      </c>
      <c r="B159" s="44">
        <f>IF(_calc!$E$161="","",IF(ISNUMBER(INDEX('Licences'!$J$4:$J$503,_calc!$E$161)),TEXT(INDEX('Licences'!$J$4:$J$503,_calc!$E$161),"yyyy-mm-dd"),""))</f>
        <v/>
      </c>
      <c r="C159" s="44">
        <f>IF(_calc!$E$161="","",IF(LEN(INDEX('Licences'!$B$4:$B$503,_calc!$E$161))=0,"",INDEX('Licences'!$B$4:$B$503,_calc!$E$161)))</f>
        <v/>
      </c>
      <c r="D159" s="44">
        <f>IF(_calc!$E$161="","",IF(ISNUMBER(INDEX('Licences'!$I$4:$I$503,_calc!$E$161)),TEXT(INDEX('Licences'!$I$4:$I$503,_calc!$E$161),"yyyy-mm-dd"),""))</f>
        <v/>
      </c>
      <c r="E159" s="44">
        <f>IF(_calc!$E$161="","",IF(LEN(INDEX('Licences'!$H$4:$H$503,_calc!$E$161))=0,"",INDEX('Licences'!$H$4:$H$503,_calc!$E$161)))</f>
        <v/>
      </c>
      <c r="F159" s="44">
        <f>IF(_calc!$E$161="","",TRIM(IF(LEN(IF(LEN(INDEX('Licences'!$D$4:$D$503,_calc!$E$161))=0,"",INDEX('Licences'!$D$4:$D$503,_calc!$E$161)))=0,"","Ref: "&amp;IF(LEN(INDEX('Licences'!$D$4:$D$503,_calc!$E$161))=0,"",INDEX('Licences'!$D$4:$D$503,_calc!$E$161))&amp;". ")&amp;IF(LEN(IF(LEN(INDEX('Licences'!$C$4:$C$503,_calc!$E$161))=0,"",INDEX('Licences'!$C$4:$C$503,_calc!$E$161)))=0,"","Issuer: "&amp;IF(LEN(INDEX('Licences'!$C$4:$C$503,_calc!$E$161))=0,"",INDEX('Licences'!$C$4:$C$503,_calc!$E$161))&amp;". ")&amp;IF(LEN(IF(LEN(INDEX('Licences'!$E$4:$E$503,_calc!$E$161))=0,"",INDEX('Licences'!$E$4:$E$503,_calc!$E$161)))=0,"","Site: "&amp;IF(LEN(INDEX('Licences'!$E$4:$E$503,_calc!$E$161))=0,"",INDEX('Licences'!$E$4:$E$503,_calc!$E$161))&amp;". ")&amp;IF(LEN(IF(LEN(INDEX('Licences'!$F$4:$F$503,_calc!$E$161))=0,"",INDEX('Licences'!$F$4:$F$503,_calc!$E$161)))=0,"","Owner: "&amp;IF(LEN(INDEX('Licences'!$F$4:$F$503,_calc!$E$161))=0,"",INDEX('Licences'!$F$4:$F$503,_calc!$E$161))&amp;". ")&amp;IF(LEN(IF(LEN(INDEX('Licences'!$R$4:$R$503,_calc!$E$161))=0,"",INDEX('Licences'!$R$4:$R$503,_calc!$E$161)))=0,"",IF(LEN(INDEX('Licences'!$R$4:$R$503,_calc!$E$161))=0,"",INDEX('Licences'!$R$4:$R$503,_calc!$E$161)))))</f>
        <v/>
      </c>
      <c r="G159" s="44">
        <f>IF(_calc!$E$161="","",IF(LEN(INDEX('Licences'!$Q$4:$Q$503,_calc!$E$161))=0,"",INDEX('Licences'!$Q$4:$Q$503,_calc!$E$161)))</f>
        <v/>
      </c>
      <c r="H159" s="44">
        <f>IF(_calc!$E$161="","",IF(LEN(INDEX('Licences'!$O$4:$O$503,_calc!$E$161))=0,"",INDEX('Licences'!$O$4:$O$503,_calc!$E$161)))</f>
        <v/>
      </c>
      <c r="I159" s="44">
        <f>IF(_calc!$E$161="","",IF(LEN(INDEX('Licences'!$P$4:$P$503,_calc!$E$161))=0,"",INDEX('Licences'!$P$4:$P$503,_calc!$E$161)))</f>
        <v/>
      </c>
      <c r="K159" s="44">
        <f>IF(_calc!$E$161="","",IF(LEN(INDEX('Licences'!$G$4:$G$503,_calc!$E$161))=0,"",INDEX('Licences'!$G$4:$G$503,_calc!$E$161)))</f>
        <v/>
      </c>
    </row>
    <row r="160">
      <c r="A160" s="44">
        <f>IF(_calc!$E$162="","",IF(LEN(INDEX('Licences'!$A$4:$A$503,_calc!$E$162))=0,"",INDEX('Licences'!$A$4:$A$503,_calc!$E$162)))</f>
        <v/>
      </c>
      <c r="B160" s="44">
        <f>IF(_calc!$E$162="","",IF(ISNUMBER(INDEX('Licences'!$J$4:$J$503,_calc!$E$162)),TEXT(INDEX('Licences'!$J$4:$J$503,_calc!$E$162),"yyyy-mm-dd"),""))</f>
        <v/>
      </c>
      <c r="C160" s="44">
        <f>IF(_calc!$E$162="","",IF(LEN(INDEX('Licences'!$B$4:$B$503,_calc!$E$162))=0,"",INDEX('Licences'!$B$4:$B$503,_calc!$E$162)))</f>
        <v/>
      </c>
      <c r="D160" s="44">
        <f>IF(_calc!$E$162="","",IF(ISNUMBER(INDEX('Licences'!$I$4:$I$503,_calc!$E$162)),TEXT(INDEX('Licences'!$I$4:$I$503,_calc!$E$162),"yyyy-mm-dd"),""))</f>
        <v/>
      </c>
      <c r="E160" s="44">
        <f>IF(_calc!$E$162="","",IF(LEN(INDEX('Licences'!$H$4:$H$503,_calc!$E$162))=0,"",INDEX('Licences'!$H$4:$H$503,_calc!$E$162)))</f>
        <v/>
      </c>
      <c r="F160" s="44">
        <f>IF(_calc!$E$162="","",TRIM(IF(LEN(IF(LEN(INDEX('Licences'!$D$4:$D$503,_calc!$E$162))=0,"",INDEX('Licences'!$D$4:$D$503,_calc!$E$162)))=0,"","Ref: "&amp;IF(LEN(INDEX('Licences'!$D$4:$D$503,_calc!$E$162))=0,"",INDEX('Licences'!$D$4:$D$503,_calc!$E$162))&amp;". ")&amp;IF(LEN(IF(LEN(INDEX('Licences'!$C$4:$C$503,_calc!$E$162))=0,"",INDEX('Licences'!$C$4:$C$503,_calc!$E$162)))=0,"","Issuer: "&amp;IF(LEN(INDEX('Licences'!$C$4:$C$503,_calc!$E$162))=0,"",INDEX('Licences'!$C$4:$C$503,_calc!$E$162))&amp;". ")&amp;IF(LEN(IF(LEN(INDEX('Licences'!$E$4:$E$503,_calc!$E$162))=0,"",INDEX('Licences'!$E$4:$E$503,_calc!$E$162)))=0,"","Site: "&amp;IF(LEN(INDEX('Licences'!$E$4:$E$503,_calc!$E$162))=0,"",INDEX('Licences'!$E$4:$E$503,_calc!$E$162))&amp;". ")&amp;IF(LEN(IF(LEN(INDEX('Licences'!$F$4:$F$503,_calc!$E$162))=0,"",INDEX('Licences'!$F$4:$F$503,_calc!$E$162)))=0,"","Owner: "&amp;IF(LEN(INDEX('Licences'!$F$4:$F$503,_calc!$E$162))=0,"",INDEX('Licences'!$F$4:$F$503,_calc!$E$162))&amp;". ")&amp;IF(LEN(IF(LEN(INDEX('Licences'!$R$4:$R$503,_calc!$E$162))=0,"",INDEX('Licences'!$R$4:$R$503,_calc!$E$162)))=0,"",IF(LEN(INDEX('Licences'!$R$4:$R$503,_calc!$E$162))=0,"",INDEX('Licences'!$R$4:$R$503,_calc!$E$162)))))</f>
        <v/>
      </c>
      <c r="G160" s="44">
        <f>IF(_calc!$E$162="","",IF(LEN(INDEX('Licences'!$Q$4:$Q$503,_calc!$E$162))=0,"",INDEX('Licences'!$Q$4:$Q$503,_calc!$E$162)))</f>
        <v/>
      </c>
      <c r="H160" s="44">
        <f>IF(_calc!$E$162="","",IF(LEN(INDEX('Licences'!$O$4:$O$503,_calc!$E$162))=0,"",INDEX('Licences'!$O$4:$O$503,_calc!$E$162)))</f>
        <v/>
      </c>
      <c r="I160" s="44">
        <f>IF(_calc!$E$162="","",IF(LEN(INDEX('Licences'!$P$4:$P$503,_calc!$E$162))=0,"",INDEX('Licences'!$P$4:$P$503,_calc!$E$162)))</f>
        <v/>
      </c>
      <c r="K160" s="44">
        <f>IF(_calc!$E$162="","",IF(LEN(INDEX('Licences'!$G$4:$G$503,_calc!$E$162))=0,"",INDEX('Licences'!$G$4:$G$503,_calc!$E$162)))</f>
        <v/>
      </c>
    </row>
    <row r="161">
      <c r="A161" s="44">
        <f>IF(_calc!$E$163="","",IF(LEN(INDEX('Licences'!$A$4:$A$503,_calc!$E$163))=0,"",INDEX('Licences'!$A$4:$A$503,_calc!$E$163)))</f>
        <v/>
      </c>
      <c r="B161" s="44">
        <f>IF(_calc!$E$163="","",IF(ISNUMBER(INDEX('Licences'!$J$4:$J$503,_calc!$E$163)),TEXT(INDEX('Licences'!$J$4:$J$503,_calc!$E$163),"yyyy-mm-dd"),""))</f>
        <v/>
      </c>
      <c r="C161" s="44">
        <f>IF(_calc!$E$163="","",IF(LEN(INDEX('Licences'!$B$4:$B$503,_calc!$E$163))=0,"",INDEX('Licences'!$B$4:$B$503,_calc!$E$163)))</f>
        <v/>
      </c>
      <c r="D161" s="44">
        <f>IF(_calc!$E$163="","",IF(ISNUMBER(INDEX('Licences'!$I$4:$I$503,_calc!$E$163)),TEXT(INDEX('Licences'!$I$4:$I$503,_calc!$E$163),"yyyy-mm-dd"),""))</f>
        <v/>
      </c>
      <c r="E161" s="44">
        <f>IF(_calc!$E$163="","",IF(LEN(INDEX('Licences'!$H$4:$H$503,_calc!$E$163))=0,"",INDEX('Licences'!$H$4:$H$503,_calc!$E$163)))</f>
        <v/>
      </c>
      <c r="F161" s="44">
        <f>IF(_calc!$E$163="","",TRIM(IF(LEN(IF(LEN(INDEX('Licences'!$D$4:$D$503,_calc!$E$163))=0,"",INDEX('Licences'!$D$4:$D$503,_calc!$E$163)))=0,"","Ref: "&amp;IF(LEN(INDEX('Licences'!$D$4:$D$503,_calc!$E$163))=0,"",INDEX('Licences'!$D$4:$D$503,_calc!$E$163))&amp;". ")&amp;IF(LEN(IF(LEN(INDEX('Licences'!$C$4:$C$503,_calc!$E$163))=0,"",INDEX('Licences'!$C$4:$C$503,_calc!$E$163)))=0,"","Issuer: "&amp;IF(LEN(INDEX('Licences'!$C$4:$C$503,_calc!$E$163))=0,"",INDEX('Licences'!$C$4:$C$503,_calc!$E$163))&amp;". ")&amp;IF(LEN(IF(LEN(INDEX('Licences'!$E$4:$E$503,_calc!$E$163))=0,"",INDEX('Licences'!$E$4:$E$503,_calc!$E$163)))=0,"","Site: "&amp;IF(LEN(INDEX('Licences'!$E$4:$E$503,_calc!$E$163))=0,"",INDEX('Licences'!$E$4:$E$503,_calc!$E$163))&amp;". ")&amp;IF(LEN(IF(LEN(INDEX('Licences'!$F$4:$F$503,_calc!$E$163))=0,"",INDEX('Licences'!$F$4:$F$503,_calc!$E$163)))=0,"","Owner: "&amp;IF(LEN(INDEX('Licences'!$F$4:$F$503,_calc!$E$163))=0,"",INDEX('Licences'!$F$4:$F$503,_calc!$E$163))&amp;". ")&amp;IF(LEN(IF(LEN(INDEX('Licences'!$R$4:$R$503,_calc!$E$163))=0,"",INDEX('Licences'!$R$4:$R$503,_calc!$E$163)))=0,"",IF(LEN(INDEX('Licences'!$R$4:$R$503,_calc!$E$163))=0,"",INDEX('Licences'!$R$4:$R$503,_calc!$E$163)))))</f>
        <v/>
      </c>
      <c r="G161" s="44">
        <f>IF(_calc!$E$163="","",IF(LEN(INDEX('Licences'!$Q$4:$Q$503,_calc!$E$163))=0,"",INDEX('Licences'!$Q$4:$Q$503,_calc!$E$163)))</f>
        <v/>
      </c>
      <c r="H161" s="44">
        <f>IF(_calc!$E$163="","",IF(LEN(INDEX('Licences'!$O$4:$O$503,_calc!$E$163))=0,"",INDEX('Licences'!$O$4:$O$503,_calc!$E$163)))</f>
        <v/>
      </c>
      <c r="I161" s="44">
        <f>IF(_calc!$E$163="","",IF(LEN(INDEX('Licences'!$P$4:$P$503,_calc!$E$163))=0,"",INDEX('Licences'!$P$4:$P$503,_calc!$E$163)))</f>
        <v/>
      </c>
      <c r="K161" s="44">
        <f>IF(_calc!$E$163="","",IF(LEN(INDEX('Licences'!$G$4:$G$503,_calc!$E$163))=0,"",INDEX('Licences'!$G$4:$G$503,_calc!$E$163)))</f>
        <v/>
      </c>
    </row>
    <row r="162">
      <c r="A162" s="44">
        <f>IF(_calc!$E$164="","",IF(LEN(INDEX('Licences'!$A$4:$A$503,_calc!$E$164))=0,"",INDEX('Licences'!$A$4:$A$503,_calc!$E$164)))</f>
        <v/>
      </c>
      <c r="B162" s="44">
        <f>IF(_calc!$E$164="","",IF(ISNUMBER(INDEX('Licences'!$J$4:$J$503,_calc!$E$164)),TEXT(INDEX('Licences'!$J$4:$J$503,_calc!$E$164),"yyyy-mm-dd"),""))</f>
        <v/>
      </c>
      <c r="C162" s="44">
        <f>IF(_calc!$E$164="","",IF(LEN(INDEX('Licences'!$B$4:$B$503,_calc!$E$164))=0,"",INDEX('Licences'!$B$4:$B$503,_calc!$E$164)))</f>
        <v/>
      </c>
      <c r="D162" s="44">
        <f>IF(_calc!$E$164="","",IF(ISNUMBER(INDEX('Licences'!$I$4:$I$503,_calc!$E$164)),TEXT(INDEX('Licences'!$I$4:$I$503,_calc!$E$164),"yyyy-mm-dd"),""))</f>
        <v/>
      </c>
      <c r="E162" s="44">
        <f>IF(_calc!$E$164="","",IF(LEN(INDEX('Licences'!$H$4:$H$503,_calc!$E$164))=0,"",INDEX('Licences'!$H$4:$H$503,_calc!$E$164)))</f>
        <v/>
      </c>
      <c r="F162" s="44">
        <f>IF(_calc!$E$164="","",TRIM(IF(LEN(IF(LEN(INDEX('Licences'!$D$4:$D$503,_calc!$E$164))=0,"",INDEX('Licences'!$D$4:$D$503,_calc!$E$164)))=0,"","Ref: "&amp;IF(LEN(INDEX('Licences'!$D$4:$D$503,_calc!$E$164))=0,"",INDEX('Licences'!$D$4:$D$503,_calc!$E$164))&amp;". ")&amp;IF(LEN(IF(LEN(INDEX('Licences'!$C$4:$C$503,_calc!$E$164))=0,"",INDEX('Licences'!$C$4:$C$503,_calc!$E$164)))=0,"","Issuer: "&amp;IF(LEN(INDEX('Licences'!$C$4:$C$503,_calc!$E$164))=0,"",INDEX('Licences'!$C$4:$C$503,_calc!$E$164))&amp;". ")&amp;IF(LEN(IF(LEN(INDEX('Licences'!$E$4:$E$503,_calc!$E$164))=0,"",INDEX('Licences'!$E$4:$E$503,_calc!$E$164)))=0,"","Site: "&amp;IF(LEN(INDEX('Licences'!$E$4:$E$503,_calc!$E$164))=0,"",INDEX('Licences'!$E$4:$E$503,_calc!$E$164))&amp;". ")&amp;IF(LEN(IF(LEN(INDEX('Licences'!$F$4:$F$503,_calc!$E$164))=0,"",INDEX('Licences'!$F$4:$F$503,_calc!$E$164)))=0,"","Owner: "&amp;IF(LEN(INDEX('Licences'!$F$4:$F$503,_calc!$E$164))=0,"",INDEX('Licences'!$F$4:$F$503,_calc!$E$164))&amp;". ")&amp;IF(LEN(IF(LEN(INDEX('Licences'!$R$4:$R$503,_calc!$E$164))=0,"",INDEX('Licences'!$R$4:$R$503,_calc!$E$164)))=0,"",IF(LEN(INDEX('Licences'!$R$4:$R$503,_calc!$E$164))=0,"",INDEX('Licences'!$R$4:$R$503,_calc!$E$164)))))</f>
        <v/>
      </c>
      <c r="G162" s="44">
        <f>IF(_calc!$E$164="","",IF(LEN(INDEX('Licences'!$Q$4:$Q$503,_calc!$E$164))=0,"",INDEX('Licences'!$Q$4:$Q$503,_calc!$E$164)))</f>
        <v/>
      </c>
      <c r="H162" s="44">
        <f>IF(_calc!$E$164="","",IF(LEN(INDEX('Licences'!$O$4:$O$503,_calc!$E$164))=0,"",INDEX('Licences'!$O$4:$O$503,_calc!$E$164)))</f>
        <v/>
      </c>
      <c r="I162" s="44">
        <f>IF(_calc!$E$164="","",IF(LEN(INDEX('Licences'!$P$4:$P$503,_calc!$E$164))=0,"",INDEX('Licences'!$P$4:$P$503,_calc!$E$164)))</f>
        <v/>
      </c>
      <c r="K162" s="44">
        <f>IF(_calc!$E$164="","",IF(LEN(INDEX('Licences'!$G$4:$G$503,_calc!$E$164))=0,"",INDEX('Licences'!$G$4:$G$503,_calc!$E$164)))</f>
        <v/>
      </c>
    </row>
    <row r="163">
      <c r="A163" s="44">
        <f>IF(_calc!$E$165="","",IF(LEN(INDEX('Licences'!$A$4:$A$503,_calc!$E$165))=0,"",INDEX('Licences'!$A$4:$A$503,_calc!$E$165)))</f>
        <v/>
      </c>
      <c r="B163" s="44">
        <f>IF(_calc!$E$165="","",IF(ISNUMBER(INDEX('Licences'!$J$4:$J$503,_calc!$E$165)),TEXT(INDEX('Licences'!$J$4:$J$503,_calc!$E$165),"yyyy-mm-dd"),""))</f>
        <v/>
      </c>
      <c r="C163" s="44">
        <f>IF(_calc!$E$165="","",IF(LEN(INDEX('Licences'!$B$4:$B$503,_calc!$E$165))=0,"",INDEX('Licences'!$B$4:$B$503,_calc!$E$165)))</f>
        <v/>
      </c>
      <c r="D163" s="44">
        <f>IF(_calc!$E$165="","",IF(ISNUMBER(INDEX('Licences'!$I$4:$I$503,_calc!$E$165)),TEXT(INDEX('Licences'!$I$4:$I$503,_calc!$E$165),"yyyy-mm-dd"),""))</f>
        <v/>
      </c>
      <c r="E163" s="44">
        <f>IF(_calc!$E$165="","",IF(LEN(INDEX('Licences'!$H$4:$H$503,_calc!$E$165))=0,"",INDEX('Licences'!$H$4:$H$503,_calc!$E$165)))</f>
        <v/>
      </c>
      <c r="F163" s="44">
        <f>IF(_calc!$E$165="","",TRIM(IF(LEN(IF(LEN(INDEX('Licences'!$D$4:$D$503,_calc!$E$165))=0,"",INDEX('Licences'!$D$4:$D$503,_calc!$E$165)))=0,"","Ref: "&amp;IF(LEN(INDEX('Licences'!$D$4:$D$503,_calc!$E$165))=0,"",INDEX('Licences'!$D$4:$D$503,_calc!$E$165))&amp;". ")&amp;IF(LEN(IF(LEN(INDEX('Licences'!$C$4:$C$503,_calc!$E$165))=0,"",INDEX('Licences'!$C$4:$C$503,_calc!$E$165)))=0,"","Issuer: "&amp;IF(LEN(INDEX('Licences'!$C$4:$C$503,_calc!$E$165))=0,"",INDEX('Licences'!$C$4:$C$503,_calc!$E$165))&amp;". ")&amp;IF(LEN(IF(LEN(INDEX('Licences'!$E$4:$E$503,_calc!$E$165))=0,"",INDEX('Licences'!$E$4:$E$503,_calc!$E$165)))=0,"","Site: "&amp;IF(LEN(INDEX('Licences'!$E$4:$E$503,_calc!$E$165))=0,"",INDEX('Licences'!$E$4:$E$503,_calc!$E$165))&amp;". ")&amp;IF(LEN(IF(LEN(INDEX('Licences'!$F$4:$F$503,_calc!$E$165))=0,"",INDEX('Licences'!$F$4:$F$503,_calc!$E$165)))=0,"","Owner: "&amp;IF(LEN(INDEX('Licences'!$F$4:$F$503,_calc!$E$165))=0,"",INDEX('Licences'!$F$4:$F$503,_calc!$E$165))&amp;". ")&amp;IF(LEN(IF(LEN(INDEX('Licences'!$R$4:$R$503,_calc!$E$165))=0,"",INDEX('Licences'!$R$4:$R$503,_calc!$E$165)))=0,"",IF(LEN(INDEX('Licences'!$R$4:$R$503,_calc!$E$165))=0,"",INDEX('Licences'!$R$4:$R$503,_calc!$E$165)))))</f>
        <v/>
      </c>
      <c r="G163" s="44">
        <f>IF(_calc!$E$165="","",IF(LEN(INDEX('Licences'!$Q$4:$Q$503,_calc!$E$165))=0,"",INDEX('Licences'!$Q$4:$Q$503,_calc!$E$165)))</f>
        <v/>
      </c>
      <c r="H163" s="44">
        <f>IF(_calc!$E$165="","",IF(LEN(INDEX('Licences'!$O$4:$O$503,_calc!$E$165))=0,"",INDEX('Licences'!$O$4:$O$503,_calc!$E$165)))</f>
        <v/>
      </c>
      <c r="I163" s="44">
        <f>IF(_calc!$E$165="","",IF(LEN(INDEX('Licences'!$P$4:$P$503,_calc!$E$165))=0,"",INDEX('Licences'!$P$4:$P$503,_calc!$E$165)))</f>
        <v/>
      </c>
      <c r="K163" s="44">
        <f>IF(_calc!$E$165="","",IF(LEN(INDEX('Licences'!$G$4:$G$503,_calc!$E$165))=0,"",INDEX('Licences'!$G$4:$G$503,_calc!$E$165)))</f>
        <v/>
      </c>
    </row>
    <row r="164">
      <c r="A164" s="44">
        <f>IF(_calc!$E$166="","",IF(LEN(INDEX('Licences'!$A$4:$A$503,_calc!$E$166))=0,"",INDEX('Licences'!$A$4:$A$503,_calc!$E$166)))</f>
        <v/>
      </c>
      <c r="B164" s="44">
        <f>IF(_calc!$E$166="","",IF(ISNUMBER(INDEX('Licences'!$J$4:$J$503,_calc!$E$166)),TEXT(INDEX('Licences'!$J$4:$J$503,_calc!$E$166),"yyyy-mm-dd"),""))</f>
        <v/>
      </c>
      <c r="C164" s="44">
        <f>IF(_calc!$E$166="","",IF(LEN(INDEX('Licences'!$B$4:$B$503,_calc!$E$166))=0,"",INDEX('Licences'!$B$4:$B$503,_calc!$E$166)))</f>
        <v/>
      </c>
      <c r="D164" s="44">
        <f>IF(_calc!$E$166="","",IF(ISNUMBER(INDEX('Licences'!$I$4:$I$503,_calc!$E$166)),TEXT(INDEX('Licences'!$I$4:$I$503,_calc!$E$166),"yyyy-mm-dd"),""))</f>
        <v/>
      </c>
      <c r="E164" s="44">
        <f>IF(_calc!$E$166="","",IF(LEN(INDEX('Licences'!$H$4:$H$503,_calc!$E$166))=0,"",INDEX('Licences'!$H$4:$H$503,_calc!$E$166)))</f>
        <v/>
      </c>
      <c r="F164" s="44">
        <f>IF(_calc!$E$166="","",TRIM(IF(LEN(IF(LEN(INDEX('Licences'!$D$4:$D$503,_calc!$E$166))=0,"",INDEX('Licences'!$D$4:$D$503,_calc!$E$166)))=0,"","Ref: "&amp;IF(LEN(INDEX('Licences'!$D$4:$D$503,_calc!$E$166))=0,"",INDEX('Licences'!$D$4:$D$503,_calc!$E$166))&amp;". ")&amp;IF(LEN(IF(LEN(INDEX('Licences'!$C$4:$C$503,_calc!$E$166))=0,"",INDEX('Licences'!$C$4:$C$503,_calc!$E$166)))=0,"","Issuer: "&amp;IF(LEN(INDEX('Licences'!$C$4:$C$503,_calc!$E$166))=0,"",INDEX('Licences'!$C$4:$C$503,_calc!$E$166))&amp;". ")&amp;IF(LEN(IF(LEN(INDEX('Licences'!$E$4:$E$503,_calc!$E$166))=0,"",INDEX('Licences'!$E$4:$E$503,_calc!$E$166)))=0,"","Site: "&amp;IF(LEN(INDEX('Licences'!$E$4:$E$503,_calc!$E$166))=0,"",INDEX('Licences'!$E$4:$E$503,_calc!$E$166))&amp;". ")&amp;IF(LEN(IF(LEN(INDEX('Licences'!$F$4:$F$503,_calc!$E$166))=0,"",INDEX('Licences'!$F$4:$F$503,_calc!$E$166)))=0,"","Owner: "&amp;IF(LEN(INDEX('Licences'!$F$4:$F$503,_calc!$E$166))=0,"",INDEX('Licences'!$F$4:$F$503,_calc!$E$166))&amp;". ")&amp;IF(LEN(IF(LEN(INDEX('Licences'!$R$4:$R$503,_calc!$E$166))=0,"",INDEX('Licences'!$R$4:$R$503,_calc!$E$166)))=0,"",IF(LEN(INDEX('Licences'!$R$4:$R$503,_calc!$E$166))=0,"",INDEX('Licences'!$R$4:$R$503,_calc!$E$166)))))</f>
        <v/>
      </c>
      <c r="G164" s="44">
        <f>IF(_calc!$E$166="","",IF(LEN(INDEX('Licences'!$Q$4:$Q$503,_calc!$E$166))=0,"",INDEX('Licences'!$Q$4:$Q$503,_calc!$E$166)))</f>
        <v/>
      </c>
      <c r="H164" s="44">
        <f>IF(_calc!$E$166="","",IF(LEN(INDEX('Licences'!$O$4:$O$503,_calc!$E$166))=0,"",INDEX('Licences'!$O$4:$O$503,_calc!$E$166)))</f>
        <v/>
      </c>
      <c r="I164" s="44">
        <f>IF(_calc!$E$166="","",IF(LEN(INDEX('Licences'!$P$4:$P$503,_calc!$E$166))=0,"",INDEX('Licences'!$P$4:$P$503,_calc!$E$166)))</f>
        <v/>
      </c>
      <c r="K164" s="44">
        <f>IF(_calc!$E$166="","",IF(LEN(INDEX('Licences'!$G$4:$G$503,_calc!$E$166))=0,"",INDEX('Licences'!$G$4:$G$503,_calc!$E$166)))</f>
        <v/>
      </c>
    </row>
    <row r="165">
      <c r="A165" s="44">
        <f>IF(_calc!$E$167="","",IF(LEN(INDEX('Licences'!$A$4:$A$503,_calc!$E$167))=0,"",INDEX('Licences'!$A$4:$A$503,_calc!$E$167)))</f>
        <v/>
      </c>
      <c r="B165" s="44">
        <f>IF(_calc!$E$167="","",IF(ISNUMBER(INDEX('Licences'!$J$4:$J$503,_calc!$E$167)),TEXT(INDEX('Licences'!$J$4:$J$503,_calc!$E$167),"yyyy-mm-dd"),""))</f>
        <v/>
      </c>
      <c r="C165" s="44">
        <f>IF(_calc!$E$167="","",IF(LEN(INDEX('Licences'!$B$4:$B$503,_calc!$E$167))=0,"",INDEX('Licences'!$B$4:$B$503,_calc!$E$167)))</f>
        <v/>
      </c>
      <c r="D165" s="44">
        <f>IF(_calc!$E$167="","",IF(ISNUMBER(INDEX('Licences'!$I$4:$I$503,_calc!$E$167)),TEXT(INDEX('Licences'!$I$4:$I$503,_calc!$E$167),"yyyy-mm-dd"),""))</f>
        <v/>
      </c>
      <c r="E165" s="44">
        <f>IF(_calc!$E$167="","",IF(LEN(INDEX('Licences'!$H$4:$H$503,_calc!$E$167))=0,"",INDEX('Licences'!$H$4:$H$503,_calc!$E$167)))</f>
        <v/>
      </c>
      <c r="F165" s="44">
        <f>IF(_calc!$E$167="","",TRIM(IF(LEN(IF(LEN(INDEX('Licences'!$D$4:$D$503,_calc!$E$167))=0,"",INDEX('Licences'!$D$4:$D$503,_calc!$E$167)))=0,"","Ref: "&amp;IF(LEN(INDEX('Licences'!$D$4:$D$503,_calc!$E$167))=0,"",INDEX('Licences'!$D$4:$D$503,_calc!$E$167))&amp;". ")&amp;IF(LEN(IF(LEN(INDEX('Licences'!$C$4:$C$503,_calc!$E$167))=0,"",INDEX('Licences'!$C$4:$C$503,_calc!$E$167)))=0,"","Issuer: "&amp;IF(LEN(INDEX('Licences'!$C$4:$C$503,_calc!$E$167))=0,"",INDEX('Licences'!$C$4:$C$503,_calc!$E$167))&amp;". ")&amp;IF(LEN(IF(LEN(INDEX('Licences'!$E$4:$E$503,_calc!$E$167))=0,"",INDEX('Licences'!$E$4:$E$503,_calc!$E$167)))=0,"","Site: "&amp;IF(LEN(INDEX('Licences'!$E$4:$E$503,_calc!$E$167))=0,"",INDEX('Licences'!$E$4:$E$503,_calc!$E$167))&amp;". ")&amp;IF(LEN(IF(LEN(INDEX('Licences'!$F$4:$F$503,_calc!$E$167))=0,"",INDEX('Licences'!$F$4:$F$503,_calc!$E$167)))=0,"","Owner: "&amp;IF(LEN(INDEX('Licences'!$F$4:$F$503,_calc!$E$167))=0,"",INDEX('Licences'!$F$4:$F$503,_calc!$E$167))&amp;". ")&amp;IF(LEN(IF(LEN(INDEX('Licences'!$R$4:$R$503,_calc!$E$167))=0,"",INDEX('Licences'!$R$4:$R$503,_calc!$E$167)))=0,"",IF(LEN(INDEX('Licences'!$R$4:$R$503,_calc!$E$167))=0,"",INDEX('Licences'!$R$4:$R$503,_calc!$E$167)))))</f>
        <v/>
      </c>
      <c r="G165" s="44">
        <f>IF(_calc!$E$167="","",IF(LEN(INDEX('Licences'!$Q$4:$Q$503,_calc!$E$167))=0,"",INDEX('Licences'!$Q$4:$Q$503,_calc!$E$167)))</f>
        <v/>
      </c>
      <c r="H165" s="44">
        <f>IF(_calc!$E$167="","",IF(LEN(INDEX('Licences'!$O$4:$O$503,_calc!$E$167))=0,"",INDEX('Licences'!$O$4:$O$503,_calc!$E$167)))</f>
        <v/>
      </c>
      <c r="I165" s="44">
        <f>IF(_calc!$E$167="","",IF(LEN(INDEX('Licences'!$P$4:$P$503,_calc!$E$167))=0,"",INDEX('Licences'!$P$4:$P$503,_calc!$E$167)))</f>
        <v/>
      </c>
      <c r="K165" s="44">
        <f>IF(_calc!$E$167="","",IF(LEN(INDEX('Licences'!$G$4:$G$503,_calc!$E$167))=0,"",INDEX('Licences'!$G$4:$G$503,_calc!$E$167)))</f>
        <v/>
      </c>
    </row>
    <row r="166">
      <c r="A166" s="44">
        <f>IF(_calc!$E$168="","",IF(LEN(INDEX('Licences'!$A$4:$A$503,_calc!$E$168))=0,"",INDEX('Licences'!$A$4:$A$503,_calc!$E$168)))</f>
        <v/>
      </c>
      <c r="B166" s="44">
        <f>IF(_calc!$E$168="","",IF(ISNUMBER(INDEX('Licences'!$J$4:$J$503,_calc!$E$168)),TEXT(INDEX('Licences'!$J$4:$J$503,_calc!$E$168),"yyyy-mm-dd"),""))</f>
        <v/>
      </c>
      <c r="C166" s="44">
        <f>IF(_calc!$E$168="","",IF(LEN(INDEX('Licences'!$B$4:$B$503,_calc!$E$168))=0,"",INDEX('Licences'!$B$4:$B$503,_calc!$E$168)))</f>
        <v/>
      </c>
      <c r="D166" s="44">
        <f>IF(_calc!$E$168="","",IF(ISNUMBER(INDEX('Licences'!$I$4:$I$503,_calc!$E$168)),TEXT(INDEX('Licences'!$I$4:$I$503,_calc!$E$168),"yyyy-mm-dd"),""))</f>
        <v/>
      </c>
      <c r="E166" s="44">
        <f>IF(_calc!$E$168="","",IF(LEN(INDEX('Licences'!$H$4:$H$503,_calc!$E$168))=0,"",INDEX('Licences'!$H$4:$H$503,_calc!$E$168)))</f>
        <v/>
      </c>
      <c r="F166" s="44">
        <f>IF(_calc!$E$168="","",TRIM(IF(LEN(IF(LEN(INDEX('Licences'!$D$4:$D$503,_calc!$E$168))=0,"",INDEX('Licences'!$D$4:$D$503,_calc!$E$168)))=0,"","Ref: "&amp;IF(LEN(INDEX('Licences'!$D$4:$D$503,_calc!$E$168))=0,"",INDEX('Licences'!$D$4:$D$503,_calc!$E$168))&amp;". ")&amp;IF(LEN(IF(LEN(INDEX('Licences'!$C$4:$C$503,_calc!$E$168))=0,"",INDEX('Licences'!$C$4:$C$503,_calc!$E$168)))=0,"","Issuer: "&amp;IF(LEN(INDEX('Licences'!$C$4:$C$503,_calc!$E$168))=0,"",INDEX('Licences'!$C$4:$C$503,_calc!$E$168))&amp;". ")&amp;IF(LEN(IF(LEN(INDEX('Licences'!$E$4:$E$503,_calc!$E$168))=0,"",INDEX('Licences'!$E$4:$E$503,_calc!$E$168)))=0,"","Site: "&amp;IF(LEN(INDEX('Licences'!$E$4:$E$503,_calc!$E$168))=0,"",INDEX('Licences'!$E$4:$E$503,_calc!$E$168))&amp;". ")&amp;IF(LEN(IF(LEN(INDEX('Licences'!$F$4:$F$503,_calc!$E$168))=0,"",INDEX('Licences'!$F$4:$F$503,_calc!$E$168)))=0,"","Owner: "&amp;IF(LEN(INDEX('Licences'!$F$4:$F$503,_calc!$E$168))=0,"",INDEX('Licences'!$F$4:$F$503,_calc!$E$168))&amp;". ")&amp;IF(LEN(IF(LEN(INDEX('Licences'!$R$4:$R$503,_calc!$E$168))=0,"",INDEX('Licences'!$R$4:$R$503,_calc!$E$168)))=0,"",IF(LEN(INDEX('Licences'!$R$4:$R$503,_calc!$E$168))=0,"",INDEX('Licences'!$R$4:$R$503,_calc!$E$168)))))</f>
        <v/>
      </c>
      <c r="G166" s="44">
        <f>IF(_calc!$E$168="","",IF(LEN(INDEX('Licences'!$Q$4:$Q$503,_calc!$E$168))=0,"",INDEX('Licences'!$Q$4:$Q$503,_calc!$E$168)))</f>
        <v/>
      </c>
      <c r="H166" s="44">
        <f>IF(_calc!$E$168="","",IF(LEN(INDEX('Licences'!$O$4:$O$503,_calc!$E$168))=0,"",INDEX('Licences'!$O$4:$O$503,_calc!$E$168)))</f>
        <v/>
      </c>
      <c r="I166" s="44">
        <f>IF(_calc!$E$168="","",IF(LEN(INDEX('Licences'!$P$4:$P$503,_calc!$E$168))=0,"",INDEX('Licences'!$P$4:$P$503,_calc!$E$168)))</f>
        <v/>
      </c>
      <c r="K166" s="44">
        <f>IF(_calc!$E$168="","",IF(LEN(INDEX('Licences'!$G$4:$G$503,_calc!$E$168))=0,"",INDEX('Licences'!$G$4:$G$503,_calc!$E$168)))</f>
        <v/>
      </c>
    </row>
    <row r="167">
      <c r="A167" s="44">
        <f>IF(_calc!$E$169="","",IF(LEN(INDEX('Licences'!$A$4:$A$503,_calc!$E$169))=0,"",INDEX('Licences'!$A$4:$A$503,_calc!$E$169)))</f>
        <v/>
      </c>
      <c r="B167" s="44">
        <f>IF(_calc!$E$169="","",IF(ISNUMBER(INDEX('Licences'!$J$4:$J$503,_calc!$E$169)),TEXT(INDEX('Licences'!$J$4:$J$503,_calc!$E$169),"yyyy-mm-dd"),""))</f>
        <v/>
      </c>
      <c r="C167" s="44">
        <f>IF(_calc!$E$169="","",IF(LEN(INDEX('Licences'!$B$4:$B$503,_calc!$E$169))=0,"",INDEX('Licences'!$B$4:$B$503,_calc!$E$169)))</f>
        <v/>
      </c>
      <c r="D167" s="44">
        <f>IF(_calc!$E$169="","",IF(ISNUMBER(INDEX('Licences'!$I$4:$I$503,_calc!$E$169)),TEXT(INDEX('Licences'!$I$4:$I$503,_calc!$E$169),"yyyy-mm-dd"),""))</f>
        <v/>
      </c>
      <c r="E167" s="44">
        <f>IF(_calc!$E$169="","",IF(LEN(INDEX('Licences'!$H$4:$H$503,_calc!$E$169))=0,"",INDEX('Licences'!$H$4:$H$503,_calc!$E$169)))</f>
        <v/>
      </c>
      <c r="F167" s="44">
        <f>IF(_calc!$E$169="","",TRIM(IF(LEN(IF(LEN(INDEX('Licences'!$D$4:$D$503,_calc!$E$169))=0,"",INDEX('Licences'!$D$4:$D$503,_calc!$E$169)))=0,"","Ref: "&amp;IF(LEN(INDEX('Licences'!$D$4:$D$503,_calc!$E$169))=0,"",INDEX('Licences'!$D$4:$D$503,_calc!$E$169))&amp;". ")&amp;IF(LEN(IF(LEN(INDEX('Licences'!$C$4:$C$503,_calc!$E$169))=0,"",INDEX('Licences'!$C$4:$C$503,_calc!$E$169)))=0,"","Issuer: "&amp;IF(LEN(INDEX('Licences'!$C$4:$C$503,_calc!$E$169))=0,"",INDEX('Licences'!$C$4:$C$503,_calc!$E$169))&amp;". ")&amp;IF(LEN(IF(LEN(INDEX('Licences'!$E$4:$E$503,_calc!$E$169))=0,"",INDEX('Licences'!$E$4:$E$503,_calc!$E$169)))=0,"","Site: "&amp;IF(LEN(INDEX('Licences'!$E$4:$E$503,_calc!$E$169))=0,"",INDEX('Licences'!$E$4:$E$503,_calc!$E$169))&amp;". ")&amp;IF(LEN(IF(LEN(INDEX('Licences'!$F$4:$F$503,_calc!$E$169))=0,"",INDEX('Licences'!$F$4:$F$503,_calc!$E$169)))=0,"","Owner: "&amp;IF(LEN(INDEX('Licences'!$F$4:$F$503,_calc!$E$169))=0,"",INDEX('Licences'!$F$4:$F$503,_calc!$E$169))&amp;". ")&amp;IF(LEN(IF(LEN(INDEX('Licences'!$R$4:$R$503,_calc!$E$169))=0,"",INDEX('Licences'!$R$4:$R$503,_calc!$E$169)))=0,"",IF(LEN(INDEX('Licences'!$R$4:$R$503,_calc!$E$169))=0,"",INDEX('Licences'!$R$4:$R$503,_calc!$E$169)))))</f>
        <v/>
      </c>
      <c r="G167" s="44">
        <f>IF(_calc!$E$169="","",IF(LEN(INDEX('Licences'!$Q$4:$Q$503,_calc!$E$169))=0,"",INDEX('Licences'!$Q$4:$Q$503,_calc!$E$169)))</f>
        <v/>
      </c>
      <c r="H167" s="44">
        <f>IF(_calc!$E$169="","",IF(LEN(INDEX('Licences'!$O$4:$O$503,_calc!$E$169))=0,"",INDEX('Licences'!$O$4:$O$503,_calc!$E$169)))</f>
        <v/>
      </c>
      <c r="I167" s="44">
        <f>IF(_calc!$E$169="","",IF(LEN(INDEX('Licences'!$P$4:$P$503,_calc!$E$169))=0,"",INDEX('Licences'!$P$4:$P$503,_calc!$E$169)))</f>
        <v/>
      </c>
      <c r="K167" s="44">
        <f>IF(_calc!$E$169="","",IF(LEN(INDEX('Licences'!$G$4:$G$503,_calc!$E$169))=0,"",INDEX('Licences'!$G$4:$G$503,_calc!$E$169)))</f>
        <v/>
      </c>
    </row>
    <row r="168">
      <c r="A168" s="44">
        <f>IF(_calc!$E$170="","",IF(LEN(INDEX('Licences'!$A$4:$A$503,_calc!$E$170))=0,"",INDEX('Licences'!$A$4:$A$503,_calc!$E$170)))</f>
        <v/>
      </c>
      <c r="B168" s="44">
        <f>IF(_calc!$E$170="","",IF(ISNUMBER(INDEX('Licences'!$J$4:$J$503,_calc!$E$170)),TEXT(INDEX('Licences'!$J$4:$J$503,_calc!$E$170),"yyyy-mm-dd"),""))</f>
        <v/>
      </c>
      <c r="C168" s="44">
        <f>IF(_calc!$E$170="","",IF(LEN(INDEX('Licences'!$B$4:$B$503,_calc!$E$170))=0,"",INDEX('Licences'!$B$4:$B$503,_calc!$E$170)))</f>
        <v/>
      </c>
      <c r="D168" s="44">
        <f>IF(_calc!$E$170="","",IF(ISNUMBER(INDEX('Licences'!$I$4:$I$503,_calc!$E$170)),TEXT(INDEX('Licences'!$I$4:$I$503,_calc!$E$170),"yyyy-mm-dd"),""))</f>
        <v/>
      </c>
      <c r="E168" s="44">
        <f>IF(_calc!$E$170="","",IF(LEN(INDEX('Licences'!$H$4:$H$503,_calc!$E$170))=0,"",INDEX('Licences'!$H$4:$H$503,_calc!$E$170)))</f>
        <v/>
      </c>
      <c r="F168" s="44">
        <f>IF(_calc!$E$170="","",TRIM(IF(LEN(IF(LEN(INDEX('Licences'!$D$4:$D$503,_calc!$E$170))=0,"",INDEX('Licences'!$D$4:$D$503,_calc!$E$170)))=0,"","Ref: "&amp;IF(LEN(INDEX('Licences'!$D$4:$D$503,_calc!$E$170))=0,"",INDEX('Licences'!$D$4:$D$503,_calc!$E$170))&amp;". ")&amp;IF(LEN(IF(LEN(INDEX('Licences'!$C$4:$C$503,_calc!$E$170))=0,"",INDEX('Licences'!$C$4:$C$503,_calc!$E$170)))=0,"","Issuer: "&amp;IF(LEN(INDEX('Licences'!$C$4:$C$503,_calc!$E$170))=0,"",INDEX('Licences'!$C$4:$C$503,_calc!$E$170))&amp;". ")&amp;IF(LEN(IF(LEN(INDEX('Licences'!$E$4:$E$503,_calc!$E$170))=0,"",INDEX('Licences'!$E$4:$E$503,_calc!$E$170)))=0,"","Site: "&amp;IF(LEN(INDEX('Licences'!$E$4:$E$503,_calc!$E$170))=0,"",INDEX('Licences'!$E$4:$E$503,_calc!$E$170))&amp;". ")&amp;IF(LEN(IF(LEN(INDEX('Licences'!$F$4:$F$503,_calc!$E$170))=0,"",INDEX('Licences'!$F$4:$F$503,_calc!$E$170)))=0,"","Owner: "&amp;IF(LEN(INDEX('Licences'!$F$4:$F$503,_calc!$E$170))=0,"",INDEX('Licences'!$F$4:$F$503,_calc!$E$170))&amp;". ")&amp;IF(LEN(IF(LEN(INDEX('Licences'!$R$4:$R$503,_calc!$E$170))=0,"",INDEX('Licences'!$R$4:$R$503,_calc!$E$170)))=0,"",IF(LEN(INDEX('Licences'!$R$4:$R$503,_calc!$E$170))=0,"",INDEX('Licences'!$R$4:$R$503,_calc!$E$170)))))</f>
        <v/>
      </c>
      <c r="G168" s="44">
        <f>IF(_calc!$E$170="","",IF(LEN(INDEX('Licences'!$Q$4:$Q$503,_calc!$E$170))=0,"",INDEX('Licences'!$Q$4:$Q$503,_calc!$E$170)))</f>
        <v/>
      </c>
      <c r="H168" s="44">
        <f>IF(_calc!$E$170="","",IF(LEN(INDEX('Licences'!$O$4:$O$503,_calc!$E$170))=0,"",INDEX('Licences'!$O$4:$O$503,_calc!$E$170)))</f>
        <v/>
      </c>
      <c r="I168" s="44">
        <f>IF(_calc!$E$170="","",IF(LEN(INDEX('Licences'!$P$4:$P$503,_calc!$E$170))=0,"",INDEX('Licences'!$P$4:$P$503,_calc!$E$170)))</f>
        <v/>
      </c>
      <c r="K168" s="44">
        <f>IF(_calc!$E$170="","",IF(LEN(INDEX('Licences'!$G$4:$G$503,_calc!$E$170))=0,"",INDEX('Licences'!$G$4:$G$503,_calc!$E$170)))</f>
        <v/>
      </c>
    </row>
    <row r="169">
      <c r="A169" s="44">
        <f>IF(_calc!$E$171="","",IF(LEN(INDEX('Licences'!$A$4:$A$503,_calc!$E$171))=0,"",INDEX('Licences'!$A$4:$A$503,_calc!$E$171)))</f>
        <v/>
      </c>
      <c r="B169" s="44">
        <f>IF(_calc!$E$171="","",IF(ISNUMBER(INDEX('Licences'!$J$4:$J$503,_calc!$E$171)),TEXT(INDEX('Licences'!$J$4:$J$503,_calc!$E$171),"yyyy-mm-dd"),""))</f>
        <v/>
      </c>
      <c r="C169" s="44">
        <f>IF(_calc!$E$171="","",IF(LEN(INDEX('Licences'!$B$4:$B$503,_calc!$E$171))=0,"",INDEX('Licences'!$B$4:$B$503,_calc!$E$171)))</f>
        <v/>
      </c>
      <c r="D169" s="44">
        <f>IF(_calc!$E$171="","",IF(ISNUMBER(INDEX('Licences'!$I$4:$I$503,_calc!$E$171)),TEXT(INDEX('Licences'!$I$4:$I$503,_calc!$E$171),"yyyy-mm-dd"),""))</f>
        <v/>
      </c>
      <c r="E169" s="44">
        <f>IF(_calc!$E$171="","",IF(LEN(INDEX('Licences'!$H$4:$H$503,_calc!$E$171))=0,"",INDEX('Licences'!$H$4:$H$503,_calc!$E$171)))</f>
        <v/>
      </c>
      <c r="F169" s="44">
        <f>IF(_calc!$E$171="","",TRIM(IF(LEN(IF(LEN(INDEX('Licences'!$D$4:$D$503,_calc!$E$171))=0,"",INDEX('Licences'!$D$4:$D$503,_calc!$E$171)))=0,"","Ref: "&amp;IF(LEN(INDEX('Licences'!$D$4:$D$503,_calc!$E$171))=0,"",INDEX('Licences'!$D$4:$D$503,_calc!$E$171))&amp;". ")&amp;IF(LEN(IF(LEN(INDEX('Licences'!$C$4:$C$503,_calc!$E$171))=0,"",INDEX('Licences'!$C$4:$C$503,_calc!$E$171)))=0,"","Issuer: "&amp;IF(LEN(INDEX('Licences'!$C$4:$C$503,_calc!$E$171))=0,"",INDEX('Licences'!$C$4:$C$503,_calc!$E$171))&amp;". ")&amp;IF(LEN(IF(LEN(INDEX('Licences'!$E$4:$E$503,_calc!$E$171))=0,"",INDEX('Licences'!$E$4:$E$503,_calc!$E$171)))=0,"","Site: "&amp;IF(LEN(INDEX('Licences'!$E$4:$E$503,_calc!$E$171))=0,"",INDEX('Licences'!$E$4:$E$503,_calc!$E$171))&amp;". ")&amp;IF(LEN(IF(LEN(INDEX('Licences'!$F$4:$F$503,_calc!$E$171))=0,"",INDEX('Licences'!$F$4:$F$503,_calc!$E$171)))=0,"","Owner: "&amp;IF(LEN(INDEX('Licences'!$F$4:$F$503,_calc!$E$171))=0,"",INDEX('Licences'!$F$4:$F$503,_calc!$E$171))&amp;". ")&amp;IF(LEN(IF(LEN(INDEX('Licences'!$R$4:$R$503,_calc!$E$171))=0,"",INDEX('Licences'!$R$4:$R$503,_calc!$E$171)))=0,"",IF(LEN(INDEX('Licences'!$R$4:$R$503,_calc!$E$171))=0,"",INDEX('Licences'!$R$4:$R$503,_calc!$E$171)))))</f>
        <v/>
      </c>
      <c r="G169" s="44">
        <f>IF(_calc!$E$171="","",IF(LEN(INDEX('Licences'!$Q$4:$Q$503,_calc!$E$171))=0,"",INDEX('Licences'!$Q$4:$Q$503,_calc!$E$171)))</f>
        <v/>
      </c>
      <c r="H169" s="44">
        <f>IF(_calc!$E$171="","",IF(LEN(INDEX('Licences'!$O$4:$O$503,_calc!$E$171))=0,"",INDEX('Licences'!$O$4:$O$503,_calc!$E$171)))</f>
        <v/>
      </c>
      <c r="I169" s="44">
        <f>IF(_calc!$E$171="","",IF(LEN(INDEX('Licences'!$P$4:$P$503,_calc!$E$171))=0,"",INDEX('Licences'!$P$4:$P$503,_calc!$E$171)))</f>
        <v/>
      </c>
      <c r="K169" s="44">
        <f>IF(_calc!$E$171="","",IF(LEN(INDEX('Licences'!$G$4:$G$503,_calc!$E$171))=0,"",INDEX('Licences'!$G$4:$G$503,_calc!$E$171)))</f>
        <v/>
      </c>
    </row>
    <row r="170">
      <c r="A170" s="44">
        <f>IF(_calc!$E$172="","",IF(LEN(INDEX('Licences'!$A$4:$A$503,_calc!$E$172))=0,"",INDEX('Licences'!$A$4:$A$503,_calc!$E$172)))</f>
        <v/>
      </c>
      <c r="B170" s="44">
        <f>IF(_calc!$E$172="","",IF(ISNUMBER(INDEX('Licences'!$J$4:$J$503,_calc!$E$172)),TEXT(INDEX('Licences'!$J$4:$J$503,_calc!$E$172),"yyyy-mm-dd"),""))</f>
        <v/>
      </c>
      <c r="C170" s="44">
        <f>IF(_calc!$E$172="","",IF(LEN(INDEX('Licences'!$B$4:$B$503,_calc!$E$172))=0,"",INDEX('Licences'!$B$4:$B$503,_calc!$E$172)))</f>
        <v/>
      </c>
      <c r="D170" s="44">
        <f>IF(_calc!$E$172="","",IF(ISNUMBER(INDEX('Licences'!$I$4:$I$503,_calc!$E$172)),TEXT(INDEX('Licences'!$I$4:$I$503,_calc!$E$172),"yyyy-mm-dd"),""))</f>
        <v/>
      </c>
      <c r="E170" s="44">
        <f>IF(_calc!$E$172="","",IF(LEN(INDEX('Licences'!$H$4:$H$503,_calc!$E$172))=0,"",INDEX('Licences'!$H$4:$H$503,_calc!$E$172)))</f>
        <v/>
      </c>
      <c r="F170" s="44">
        <f>IF(_calc!$E$172="","",TRIM(IF(LEN(IF(LEN(INDEX('Licences'!$D$4:$D$503,_calc!$E$172))=0,"",INDEX('Licences'!$D$4:$D$503,_calc!$E$172)))=0,"","Ref: "&amp;IF(LEN(INDEX('Licences'!$D$4:$D$503,_calc!$E$172))=0,"",INDEX('Licences'!$D$4:$D$503,_calc!$E$172))&amp;". ")&amp;IF(LEN(IF(LEN(INDEX('Licences'!$C$4:$C$503,_calc!$E$172))=0,"",INDEX('Licences'!$C$4:$C$503,_calc!$E$172)))=0,"","Issuer: "&amp;IF(LEN(INDEX('Licences'!$C$4:$C$503,_calc!$E$172))=0,"",INDEX('Licences'!$C$4:$C$503,_calc!$E$172))&amp;". ")&amp;IF(LEN(IF(LEN(INDEX('Licences'!$E$4:$E$503,_calc!$E$172))=0,"",INDEX('Licences'!$E$4:$E$503,_calc!$E$172)))=0,"","Site: "&amp;IF(LEN(INDEX('Licences'!$E$4:$E$503,_calc!$E$172))=0,"",INDEX('Licences'!$E$4:$E$503,_calc!$E$172))&amp;". ")&amp;IF(LEN(IF(LEN(INDEX('Licences'!$F$4:$F$503,_calc!$E$172))=0,"",INDEX('Licences'!$F$4:$F$503,_calc!$E$172)))=0,"","Owner: "&amp;IF(LEN(INDEX('Licences'!$F$4:$F$503,_calc!$E$172))=0,"",INDEX('Licences'!$F$4:$F$503,_calc!$E$172))&amp;". ")&amp;IF(LEN(IF(LEN(INDEX('Licences'!$R$4:$R$503,_calc!$E$172))=0,"",INDEX('Licences'!$R$4:$R$503,_calc!$E$172)))=0,"",IF(LEN(INDEX('Licences'!$R$4:$R$503,_calc!$E$172))=0,"",INDEX('Licences'!$R$4:$R$503,_calc!$E$172)))))</f>
        <v/>
      </c>
      <c r="G170" s="44">
        <f>IF(_calc!$E$172="","",IF(LEN(INDEX('Licences'!$Q$4:$Q$503,_calc!$E$172))=0,"",INDEX('Licences'!$Q$4:$Q$503,_calc!$E$172)))</f>
        <v/>
      </c>
      <c r="H170" s="44">
        <f>IF(_calc!$E$172="","",IF(LEN(INDEX('Licences'!$O$4:$O$503,_calc!$E$172))=0,"",INDEX('Licences'!$O$4:$O$503,_calc!$E$172)))</f>
        <v/>
      </c>
      <c r="I170" s="44">
        <f>IF(_calc!$E$172="","",IF(LEN(INDEX('Licences'!$P$4:$P$503,_calc!$E$172))=0,"",INDEX('Licences'!$P$4:$P$503,_calc!$E$172)))</f>
        <v/>
      </c>
      <c r="K170" s="44">
        <f>IF(_calc!$E$172="","",IF(LEN(INDEX('Licences'!$G$4:$G$503,_calc!$E$172))=0,"",INDEX('Licences'!$G$4:$G$503,_calc!$E$172)))</f>
        <v/>
      </c>
    </row>
    <row r="171">
      <c r="A171" s="44">
        <f>IF(_calc!$E$173="","",IF(LEN(INDEX('Licences'!$A$4:$A$503,_calc!$E$173))=0,"",INDEX('Licences'!$A$4:$A$503,_calc!$E$173)))</f>
        <v/>
      </c>
      <c r="B171" s="44">
        <f>IF(_calc!$E$173="","",IF(ISNUMBER(INDEX('Licences'!$J$4:$J$503,_calc!$E$173)),TEXT(INDEX('Licences'!$J$4:$J$503,_calc!$E$173),"yyyy-mm-dd"),""))</f>
        <v/>
      </c>
      <c r="C171" s="44">
        <f>IF(_calc!$E$173="","",IF(LEN(INDEX('Licences'!$B$4:$B$503,_calc!$E$173))=0,"",INDEX('Licences'!$B$4:$B$503,_calc!$E$173)))</f>
        <v/>
      </c>
      <c r="D171" s="44">
        <f>IF(_calc!$E$173="","",IF(ISNUMBER(INDEX('Licences'!$I$4:$I$503,_calc!$E$173)),TEXT(INDEX('Licences'!$I$4:$I$503,_calc!$E$173),"yyyy-mm-dd"),""))</f>
        <v/>
      </c>
      <c r="E171" s="44">
        <f>IF(_calc!$E$173="","",IF(LEN(INDEX('Licences'!$H$4:$H$503,_calc!$E$173))=0,"",INDEX('Licences'!$H$4:$H$503,_calc!$E$173)))</f>
        <v/>
      </c>
      <c r="F171" s="44">
        <f>IF(_calc!$E$173="","",TRIM(IF(LEN(IF(LEN(INDEX('Licences'!$D$4:$D$503,_calc!$E$173))=0,"",INDEX('Licences'!$D$4:$D$503,_calc!$E$173)))=0,"","Ref: "&amp;IF(LEN(INDEX('Licences'!$D$4:$D$503,_calc!$E$173))=0,"",INDEX('Licences'!$D$4:$D$503,_calc!$E$173))&amp;". ")&amp;IF(LEN(IF(LEN(INDEX('Licences'!$C$4:$C$503,_calc!$E$173))=0,"",INDEX('Licences'!$C$4:$C$503,_calc!$E$173)))=0,"","Issuer: "&amp;IF(LEN(INDEX('Licences'!$C$4:$C$503,_calc!$E$173))=0,"",INDEX('Licences'!$C$4:$C$503,_calc!$E$173))&amp;". ")&amp;IF(LEN(IF(LEN(INDEX('Licences'!$E$4:$E$503,_calc!$E$173))=0,"",INDEX('Licences'!$E$4:$E$503,_calc!$E$173)))=0,"","Site: "&amp;IF(LEN(INDEX('Licences'!$E$4:$E$503,_calc!$E$173))=0,"",INDEX('Licences'!$E$4:$E$503,_calc!$E$173))&amp;". ")&amp;IF(LEN(IF(LEN(INDEX('Licences'!$F$4:$F$503,_calc!$E$173))=0,"",INDEX('Licences'!$F$4:$F$503,_calc!$E$173)))=0,"","Owner: "&amp;IF(LEN(INDEX('Licences'!$F$4:$F$503,_calc!$E$173))=0,"",INDEX('Licences'!$F$4:$F$503,_calc!$E$173))&amp;". ")&amp;IF(LEN(IF(LEN(INDEX('Licences'!$R$4:$R$503,_calc!$E$173))=0,"",INDEX('Licences'!$R$4:$R$503,_calc!$E$173)))=0,"",IF(LEN(INDEX('Licences'!$R$4:$R$503,_calc!$E$173))=0,"",INDEX('Licences'!$R$4:$R$503,_calc!$E$173)))))</f>
        <v/>
      </c>
      <c r="G171" s="44">
        <f>IF(_calc!$E$173="","",IF(LEN(INDEX('Licences'!$Q$4:$Q$503,_calc!$E$173))=0,"",INDEX('Licences'!$Q$4:$Q$503,_calc!$E$173)))</f>
        <v/>
      </c>
      <c r="H171" s="44">
        <f>IF(_calc!$E$173="","",IF(LEN(INDEX('Licences'!$O$4:$O$503,_calc!$E$173))=0,"",INDEX('Licences'!$O$4:$O$503,_calc!$E$173)))</f>
        <v/>
      </c>
      <c r="I171" s="44">
        <f>IF(_calc!$E$173="","",IF(LEN(INDEX('Licences'!$P$4:$P$503,_calc!$E$173))=0,"",INDEX('Licences'!$P$4:$P$503,_calc!$E$173)))</f>
        <v/>
      </c>
      <c r="K171" s="44">
        <f>IF(_calc!$E$173="","",IF(LEN(INDEX('Licences'!$G$4:$G$503,_calc!$E$173))=0,"",INDEX('Licences'!$G$4:$G$503,_calc!$E$173)))</f>
        <v/>
      </c>
    </row>
    <row r="172">
      <c r="A172" s="44">
        <f>IF(_calc!$E$174="","",IF(LEN(INDEX('Licences'!$A$4:$A$503,_calc!$E$174))=0,"",INDEX('Licences'!$A$4:$A$503,_calc!$E$174)))</f>
        <v/>
      </c>
      <c r="B172" s="44">
        <f>IF(_calc!$E$174="","",IF(ISNUMBER(INDEX('Licences'!$J$4:$J$503,_calc!$E$174)),TEXT(INDEX('Licences'!$J$4:$J$503,_calc!$E$174),"yyyy-mm-dd"),""))</f>
        <v/>
      </c>
      <c r="C172" s="44">
        <f>IF(_calc!$E$174="","",IF(LEN(INDEX('Licences'!$B$4:$B$503,_calc!$E$174))=0,"",INDEX('Licences'!$B$4:$B$503,_calc!$E$174)))</f>
        <v/>
      </c>
      <c r="D172" s="44">
        <f>IF(_calc!$E$174="","",IF(ISNUMBER(INDEX('Licences'!$I$4:$I$503,_calc!$E$174)),TEXT(INDEX('Licences'!$I$4:$I$503,_calc!$E$174),"yyyy-mm-dd"),""))</f>
        <v/>
      </c>
      <c r="E172" s="44">
        <f>IF(_calc!$E$174="","",IF(LEN(INDEX('Licences'!$H$4:$H$503,_calc!$E$174))=0,"",INDEX('Licences'!$H$4:$H$503,_calc!$E$174)))</f>
        <v/>
      </c>
      <c r="F172" s="44">
        <f>IF(_calc!$E$174="","",TRIM(IF(LEN(IF(LEN(INDEX('Licences'!$D$4:$D$503,_calc!$E$174))=0,"",INDEX('Licences'!$D$4:$D$503,_calc!$E$174)))=0,"","Ref: "&amp;IF(LEN(INDEX('Licences'!$D$4:$D$503,_calc!$E$174))=0,"",INDEX('Licences'!$D$4:$D$503,_calc!$E$174))&amp;". ")&amp;IF(LEN(IF(LEN(INDEX('Licences'!$C$4:$C$503,_calc!$E$174))=0,"",INDEX('Licences'!$C$4:$C$503,_calc!$E$174)))=0,"","Issuer: "&amp;IF(LEN(INDEX('Licences'!$C$4:$C$503,_calc!$E$174))=0,"",INDEX('Licences'!$C$4:$C$503,_calc!$E$174))&amp;". ")&amp;IF(LEN(IF(LEN(INDEX('Licences'!$E$4:$E$503,_calc!$E$174))=0,"",INDEX('Licences'!$E$4:$E$503,_calc!$E$174)))=0,"","Site: "&amp;IF(LEN(INDEX('Licences'!$E$4:$E$503,_calc!$E$174))=0,"",INDEX('Licences'!$E$4:$E$503,_calc!$E$174))&amp;". ")&amp;IF(LEN(IF(LEN(INDEX('Licences'!$F$4:$F$503,_calc!$E$174))=0,"",INDEX('Licences'!$F$4:$F$503,_calc!$E$174)))=0,"","Owner: "&amp;IF(LEN(INDEX('Licences'!$F$4:$F$503,_calc!$E$174))=0,"",INDEX('Licences'!$F$4:$F$503,_calc!$E$174))&amp;". ")&amp;IF(LEN(IF(LEN(INDEX('Licences'!$R$4:$R$503,_calc!$E$174))=0,"",INDEX('Licences'!$R$4:$R$503,_calc!$E$174)))=0,"",IF(LEN(INDEX('Licences'!$R$4:$R$503,_calc!$E$174))=0,"",INDEX('Licences'!$R$4:$R$503,_calc!$E$174)))))</f>
        <v/>
      </c>
      <c r="G172" s="44">
        <f>IF(_calc!$E$174="","",IF(LEN(INDEX('Licences'!$Q$4:$Q$503,_calc!$E$174))=0,"",INDEX('Licences'!$Q$4:$Q$503,_calc!$E$174)))</f>
        <v/>
      </c>
      <c r="H172" s="44">
        <f>IF(_calc!$E$174="","",IF(LEN(INDEX('Licences'!$O$4:$O$503,_calc!$E$174))=0,"",INDEX('Licences'!$O$4:$O$503,_calc!$E$174)))</f>
        <v/>
      </c>
      <c r="I172" s="44">
        <f>IF(_calc!$E$174="","",IF(LEN(INDEX('Licences'!$P$4:$P$503,_calc!$E$174))=0,"",INDEX('Licences'!$P$4:$P$503,_calc!$E$174)))</f>
        <v/>
      </c>
      <c r="K172" s="44">
        <f>IF(_calc!$E$174="","",IF(LEN(INDEX('Licences'!$G$4:$G$503,_calc!$E$174))=0,"",INDEX('Licences'!$G$4:$G$503,_calc!$E$174)))</f>
        <v/>
      </c>
    </row>
    <row r="173">
      <c r="A173" s="44">
        <f>IF(_calc!$E$175="","",IF(LEN(INDEX('Licences'!$A$4:$A$503,_calc!$E$175))=0,"",INDEX('Licences'!$A$4:$A$503,_calc!$E$175)))</f>
        <v/>
      </c>
      <c r="B173" s="44">
        <f>IF(_calc!$E$175="","",IF(ISNUMBER(INDEX('Licences'!$J$4:$J$503,_calc!$E$175)),TEXT(INDEX('Licences'!$J$4:$J$503,_calc!$E$175),"yyyy-mm-dd"),""))</f>
        <v/>
      </c>
      <c r="C173" s="44">
        <f>IF(_calc!$E$175="","",IF(LEN(INDEX('Licences'!$B$4:$B$503,_calc!$E$175))=0,"",INDEX('Licences'!$B$4:$B$503,_calc!$E$175)))</f>
        <v/>
      </c>
      <c r="D173" s="44">
        <f>IF(_calc!$E$175="","",IF(ISNUMBER(INDEX('Licences'!$I$4:$I$503,_calc!$E$175)),TEXT(INDEX('Licences'!$I$4:$I$503,_calc!$E$175),"yyyy-mm-dd"),""))</f>
        <v/>
      </c>
      <c r="E173" s="44">
        <f>IF(_calc!$E$175="","",IF(LEN(INDEX('Licences'!$H$4:$H$503,_calc!$E$175))=0,"",INDEX('Licences'!$H$4:$H$503,_calc!$E$175)))</f>
        <v/>
      </c>
      <c r="F173" s="44">
        <f>IF(_calc!$E$175="","",TRIM(IF(LEN(IF(LEN(INDEX('Licences'!$D$4:$D$503,_calc!$E$175))=0,"",INDEX('Licences'!$D$4:$D$503,_calc!$E$175)))=0,"","Ref: "&amp;IF(LEN(INDEX('Licences'!$D$4:$D$503,_calc!$E$175))=0,"",INDEX('Licences'!$D$4:$D$503,_calc!$E$175))&amp;". ")&amp;IF(LEN(IF(LEN(INDEX('Licences'!$C$4:$C$503,_calc!$E$175))=0,"",INDEX('Licences'!$C$4:$C$503,_calc!$E$175)))=0,"","Issuer: "&amp;IF(LEN(INDEX('Licences'!$C$4:$C$503,_calc!$E$175))=0,"",INDEX('Licences'!$C$4:$C$503,_calc!$E$175))&amp;". ")&amp;IF(LEN(IF(LEN(INDEX('Licences'!$E$4:$E$503,_calc!$E$175))=0,"",INDEX('Licences'!$E$4:$E$503,_calc!$E$175)))=0,"","Site: "&amp;IF(LEN(INDEX('Licences'!$E$4:$E$503,_calc!$E$175))=0,"",INDEX('Licences'!$E$4:$E$503,_calc!$E$175))&amp;". ")&amp;IF(LEN(IF(LEN(INDEX('Licences'!$F$4:$F$503,_calc!$E$175))=0,"",INDEX('Licences'!$F$4:$F$503,_calc!$E$175)))=0,"","Owner: "&amp;IF(LEN(INDEX('Licences'!$F$4:$F$503,_calc!$E$175))=0,"",INDEX('Licences'!$F$4:$F$503,_calc!$E$175))&amp;". ")&amp;IF(LEN(IF(LEN(INDEX('Licences'!$R$4:$R$503,_calc!$E$175))=0,"",INDEX('Licences'!$R$4:$R$503,_calc!$E$175)))=0,"",IF(LEN(INDEX('Licences'!$R$4:$R$503,_calc!$E$175))=0,"",INDEX('Licences'!$R$4:$R$503,_calc!$E$175)))))</f>
        <v/>
      </c>
      <c r="G173" s="44">
        <f>IF(_calc!$E$175="","",IF(LEN(INDEX('Licences'!$Q$4:$Q$503,_calc!$E$175))=0,"",INDEX('Licences'!$Q$4:$Q$503,_calc!$E$175)))</f>
        <v/>
      </c>
      <c r="H173" s="44">
        <f>IF(_calc!$E$175="","",IF(LEN(INDEX('Licences'!$O$4:$O$503,_calc!$E$175))=0,"",INDEX('Licences'!$O$4:$O$503,_calc!$E$175)))</f>
        <v/>
      </c>
      <c r="I173" s="44">
        <f>IF(_calc!$E$175="","",IF(LEN(INDEX('Licences'!$P$4:$P$503,_calc!$E$175))=0,"",INDEX('Licences'!$P$4:$P$503,_calc!$E$175)))</f>
        <v/>
      </c>
      <c r="K173" s="44">
        <f>IF(_calc!$E$175="","",IF(LEN(INDEX('Licences'!$G$4:$G$503,_calc!$E$175))=0,"",INDEX('Licences'!$G$4:$G$503,_calc!$E$175)))</f>
        <v/>
      </c>
    </row>
    <row r="174">
      <c r="A174" s="44">
        <f>IF(_calc!$E$176="","",IF(LEN(INDEX('Licences'!$A$4:$A$503,_calc!$E$176))=0,"",INDEX('Licences'!$A$4:$A$503,_calc!$E$176)))</f>
        <v/>
      </c>
      <c r="B174" s="44">
        <f>IF(_calc!$E$176="","",IF(ISNUMBER(INDEX('Licences'!$J$4:$J$503,_calc!$E$176)),TEXT(INDEX('Licences'!$J$4:$J$503,_calc!$E$176),"yyyy-mm-dd"),""))</f>
        <v/>
      </c>
      <c r="C174" s="44">
        <f>IF(_calc!$E$176="","",IF(LEN(INDEX('Licences'!$B$4:$B$503,_calc!$E$176))=0,"",INDEX('Licences'!$B$4:$B$503,_calc!$E$176)))</f>
        <v/>
      </c>
      <c r="D174" s="44">
        <f>IF(_calc!$E$176="","",IF(ISNUMBER(INDEX('Licences'!$I$4:$I$503,_calc!$E$176)),TEXT(INDEX('Licences'!$I$4:$I$503,_calc!$E$176),"yyyy-mm-dd"),""))</f>
        <v/>
      </c>
      <c r="E174" s="44">
        <f>IF(_calc!$E$176="","",IF(LEN(INDEX('Licences'!$H$4:$H$503,_calc!$E$176))=0,"",INDEX('Licences'!$H$4:$H$503,_calc!$E$176)))</f>
        <v/>
      </c>
      <c r="F174" s="44">
        <f>IF(_calc!$E$176="","",TRIM(IF(LEN(IF(LEN(INDEX('Licences'!$D$4:$D$503,_calc!$E$176))=0,"",INDEX('Licences'!$D$4:$D$503,_calc!$E$176)))=0,"","Ref: "&amp;IF(LEN(INDEX('Licences'!$D$4:$D$503,_calc!$E$176))=0,"",INDEX('Licences'!$D$4:$D$503,_calc!$E$176))&amp;". ")&amp;IF(LEN(IF(LEN(INDEX('Licences'!$C$4:$C$503,_calc!$E$176))=0,"",INDEX('Licences'!$C$4:$C$503,_calc!$E$176)))=0,"","Issuer: "&amp;IF(LEN(INDEX('Licences'!$C$4:$C$503,_calc!$E$176))=0,"",INDEX('Licences'!$C$4:$C$503,_calc!$E$176))&amp;". ")&amp;IF(LEN(IF(LEN(INDEX('Licences'!$E$4:$E$503,_calc!$E$176))=0,"",INDEX('Licences'!$E$4:$E$503,_calc!$E$176)))=0,"","Site: "&amp;IF(LEN(INDEX('Licences'!$E$4:$E$503,_calc!$E$176))=0,"",INDEX('Licences'!$E$4:$E$503,_calc!$E$176))&amp;". ")&amp;IF(LEN(IF(LEN(INDEX('Licences'!$F$4:$F$503,_calc!$E$176))=0,"",INDEX('Licences'!$F$4:$F$503,_calc!$E$176)))=0,"","Owner: "&amp;IF(LEN(INDEX('Licences'!$F$4:$F$503,_calc!$E$176))=0,"",INDEX('Licences'!$F$4:$F$503,_calc!$E$176))&amp;". ")&amp;IF(LEN(IF(LEN(INDEX('Licences'!$R$4:$R$503,_calc!$E$176))=0,"",INDEX('Licences'!$R$4:$R$503,_calc!$E$176)))=0,"",IF(LEN(INDEX('Licences'!$R$4:$R$503,_calc!$E$176))=0,"",INDEX('Licences'!$R$4:$R$503,_calc!$E$176)))))</f>
        <v/>
      </c>
      <c r="G174" s="44">
        <f>IF(_calc!$E$176="","",IF(LEN(INDEX('Licences'!$Q$4:$Q$503,_calc!$E$176))=0,"",INDEX('Licences'!$Q$4:$Q$503,_calc!$E$176)))</f>
        <v/>
      </c>
      <c r="H174" s="44">
        <f>IF(_calc!$E$176="","",IF(LEN(INDEX('Licences'!$O$4:$O$503,_calc!$E$176))=0,"",INDEX('Licences'!$O$4:$O$503,_calc!$E$176)))</f>
        <v/>
      </c>
      <c r="I174" s="44">
        <f>IF(_calc!$E$176="","",IF(LEN(INDEX('Licences'!$P$4:$P$503,_calc!$E$176))=0,"",INDEX('Licences'!$P$4:$P$503,_calc!$E$176)))</f>
        <v/>
      </c>
      <c r="K174" s="44">
        <f>IF(_calc!$E$176="","",IF(LEN(INDEX('Licences'!$G$4:$G$503,_calc!$E$176))=0,"",INDEX('Licences'!$G$4:$G$503,_calc!$E$176)))</f>
        <v/>
      </c>
    </row>
    <row r="175">
      <c r="A175" s="44">
        <f>IF(_calc!$E$177="","",IF(LEN(INDEX('Licences'!$A$4:$A$503,_calc!$E$177))=0,"",INDEX('Licences'!$A$4:$A$503,_calc!$E$177)))</f>
        <v/>
      </c>
      <c r="B175" s="44">
        <f>IF(_calc!$E$177="","",IF(ISNUMBER(INDEX('Licences'!$J$4:$J$503,_calc!$E$177)),TEXT(INDEX('Licences'!$J$4:$J$503,_calc!$E$177),"yyyy-mm-dd"),""))</f>
        <v/>
      </c>
      <c r="C175" s="44">
        <f>IF(_calc!$E$177="","",IF(LEN(INDEX('Licences'!$B$4:$B$503,_calc!$E$177))=0,"",INDEX('Licences'!$B$4:$B$503,_calc!$E$177)))</f>
        <v/>
      </c>
      <c r="D175" s="44">
        <f>IF(_calc!$E$177="","",IF(ISNUMBER(INDEX('Licences'!$I$4:$I$503,_calc!$E$177)),TEXT(INDEX('Licences'!$I$4:$I$503,_calc!$E$177),"yyyy-mm-dd"),""))</f>
        <v/>
      </c>
      <c r="E175" s="44">
        <f>IF(_calc!$E$177="","",IF(LEN(INDEX('Licences'!$H$4:$H$503,_calc!$E$177))=0,"",INDEX('Licences'!$H$4:$H$503,_calc!$E$177)))</f>
        <v/>
      </c>
      <c r="F175" s="44">
        <f>IF(_calc!$E$177="","",TRIM(IF(LEN(IF(LEN(INDEX('Licences'!$D$4:$D$503,_calc!$E$177))=0,"",INDEX('Licences'!$D$4:$D$503,_calc!$E$177)))=0,"","Ref: "&amp;IF(LEN(INDEX('Licences'!$D$4:$D$503,_calc!$E$177))=0,"",INDEX('Licences'!$D$4:$D$503,_calc!$E$177))&amp;". ")&amp;IF(LEN(IF(LEN(INDEX('Licences'!$C$4:$C$503,_calc!$E$177))=0,"",INDEX('Licences'!$C$4:$C$503,_calc!$E$177)))=0,"","Issuer: "&amp;IF(LEN(INDEX('Licences'!$C$4:$C$503,_calc!$E$177))=0,"",INDEX('Licences'!$C$4:$C$503,_calc!$E$177))&amp;". ")&amp;IF(LEN(IF(LEN(INDEX('Licences'!$E$4:$E$503,_calc!$E$177))=0,"",INDEX('Licences'!$E$4:$E$503,_calc!$E$177)))=0,"","Site: "&amp;IF(LEN(INDEX('Licences'!$E$4:$E$503,_calc!$E$177))=0,"",INDEX('Licences'!$E$4:$E$503,_calc!$E$177))&amp;". ")&amp;IF(LEN(IF(LEN(INDEX('Licences'!$F$4:$F$503,_calc!$E$177))=0,"",INDEX('Licences'!$F$4:$F$503,_calc!$E$177)))=0,"","Owner: "&amp;IF(LEN(INDEX('Licences'!$F$4:$F$503,_calc!$E$177))=0,"",INDEX('Licences'!$F$4:$F$503,_calc!$E$177))&amp;". ")&amp;IF(LEN(IF(LEN(INDEX('Licences'!$R$4:$R$503,_calc!$E$177))=0,"",INDEX('Licences'!$R$4:$R$503,_calc!$E$177)))=0,"",IF(LEN(INDEX('Licences'!$R$4:$R$503,_calc!$E$177))=0,"",INDEX('Licences'!$R$4:$R$503,_calc!$E$177)))))</f>
        <v/>
      </c>
      <c r="G175" s="44">
        <f>IF(_calc!$E$177="","",IF(LEN(INDEX('Licences'!$Q$4:$Q$503,_calc!$E$177))=0,"",INDEX('Licences'!$Q$4:$Q$503,_calc!$E$177)))</f>
        <v/>
      </c>
      <c r="H175" s="44">
        <f>IF(_calc!$E$177="","",IF(LEN(INDEX('Licences'!$O$4:$O$503,_calc!$E$177))=0,"",INDEX('Licences'!$O$4:$O$503,_calc!$E$177)))</f>
        <v/>
      </c>
      <c r="I175" s="44">
        <f>IF(_calc!$E$177="","",IF(LEN(INDEX('Licences'!$P$4:$P$503,_calc!$E$177))=0,"",INDEX('Licences'!$P$4:$P$503,_calc!$E$177)))</f>
        <v/>
      </c>
      <c r="K175" s="44">
        <f>IF(_calc!$E$177="","",IF(LEN(INDEX('Licences'!$G$4:$G$503,_calc!$E$177))=0,"",INDEX('Licences'!$G$4:$G$503,_calc!$E$177)))</f>
        <v/>
      </c>
    </row>
    <row r="176">
      <c r="A176" s="44">
        <f>IF(_calc!$E$178="","",IF(LEN(INDEX('Licences'!$A$4:$A$503,_calc!$E$178))=0,"",INDEX('Licences'!$A$4:$A$503,_calc!$E$178)))</f>
        <v/>
      </c>
      <c r="B176" s="44">
        <f>IF(_calc!$E$178="","",IF(ISNUMBER(INDEX('Licences'!$J$4:$J$503,_calc!$E$178)),TEXT(INDEX('Licences'!$J$4:$J$503,_calc!$E$178),"yyyy-mm-dd"),""))</f>
        <v/>
      </c>
      <c r="C176" s="44">
        <f>IF(_calc!$E$178="","",IF(LEN(INDEX('Licences'!$B$4:$B$503,_calc!$E$178))=0,"",INDEX('Licences'!$B$4:$B$503,_calc!$E$178)))</f>
        <v/>
      </c>
      <c r="D176" s="44">
        <f>IF(_calc!$E$178="","",IF(ISNUMBER(INDEX('Licences'!$I$4:$I$503,_calc!$E$178)),TEXT(INDEX('Licences'!$I$4:$I$503,_calc!$E$178),"yyyy-mm-dd"),""))</f>
        <v/>
      </c>
      <c r="E176" s="44">
        <f>IF(_calc!$E$178="","",IF(LEN(INDEX('Licences'!$H$4:$H$503,_calc!$E$178))=0,"",INDEX('Licences'!$H$4:$H$503,_calc!$E$178)))</f>
        <v/>
      </c>
      <c r="F176" s="44">
        <f>IF(_calc!$E$178="","",TRIM(IF(LEN(IF(LEN(INDEX('Licences'!$D$4:$D$503,_calc!$E$178))=0,"",INDEX('Licences'!$D$4:$D$503,_calc!$E$178)))=0,"","Ref: "&amp;IF(LEN(INDEX('Licences'!$D$4:$D$503,_calc!$E$178))=0,"",INDEX('Licences'!$D$4:$D$503,_calc!$E$178))&amp;". ")&amp;IF(LEN(IF(LEN(INDEX('Licences'!$C$4:$C$503,_calc!$E$178))=0,"",INDEX('Licences'!$C$4:$C$503,_calc!$E$178)))=0,"","Issuer: "&amp;IF(LEN(INDEX('Licences'!$C$4:$C$503,_calc!$E$178))=0,"",INDEX('Licences'!$C$4:$C$503,_calc!$E$178))&amp;". ")&amp;IF(LEN(IF(LEN(INDEX('Licences'!$E$4:$E$503,_calc!$E$178))=0,"",INDEX('Licences'!$E$4:$E$503,_calc!$E$178)))=0,"","Site: "&amp;IF(LEN(INDEX('Licences'!$E$4:$E$503,_calc!$E$178))=0,"",INDEX('Licences'!$E$4:$E$503,_calc!$E$178))&amp;". ")&amp;IF(LEN(IF(LEN(INDEX('Licences'!$F$4:$F$503,_calc!$E$178))=0,"",INDEX('Licences'!$F$4:$F$503,_calc!$E$178)))=0,"","Owner: "&amp;IF(LEN(INDEX('Licences'!$F$4:$F$503,_calc!$E$178))=0,"",INDEX('Licences'!$F$4:$F$503,_calc!$E$178))&amp;". ")&amp;IF(LEN(IF(LEN(INDEX('Licences'!$R$4:$R$503,_calc!$E$178))=0,"",INDEX('Licences'!$R$4:$R$503,_calc!$E$178)))=0,"",IF(LEN(INDEX('Licences'!$R$4:$R$503,_calc!$E$178))=0,"",INDEX('Licences'!$R$4:$R$503,_calc!$E$178)))))</f>
        <v/>
      </c>
      <c r="G176" s="44">
        <f>IF(_calc!$E$178="","",IF(LEN(INDEX('Licences'!$Q$4:$Q$503,_calc!$E$178))=0,"",INDEX('Licences'!$Q$4:$Q$503,_calc!$E$178)))</f>
        <v/>
      </c>
      <c r="H176" s="44">
        <f>IF(_calc!$E$178="","",IF(LEN(INDEX('Licences'!$O$4:$O$503,_calc!$E$178))=0,"",INDEX('Licences'!$O$4:$O$503,_calc!$E$178)))</f>
        <v/>
      </c>
      <c r="I176" s="44">
        <f>IF(_calc!$E$178="","",IF(LEN(INDEX('Licences'!$P$4:$P$503,_calc!$E$178))=0,"",INDEX('Licences'!$P$4:$P$503,_calc!$E$178)))</f>
        <v/>
      </c>
      <c r="K176" s="44">
        <f>IF(_calc!$E$178="","",IF(LEN(INDEX('Licences'!$G$4:$G$503,_calc!$E$178))=0,"",INDEX('Licences'!$G$4:$G$503,_calc!$E$178)))</f>
        <v/>
      </c>
    </row>
    <row r="177">
      <c r="A177" s="44">
        <f>IF(_calc!$E$179="","",IF(LEN(INDEX('Licences'!$A$4:$A$503,_calc!$E$179))=0,"",INDEX('Licences'!$A$4:$A$503,_calc!$E$179)))</f>
        <v/>
      </c>
      <c r="B177" s="44">
        <f>IF(_calc!$E$179="","",IF(ISNUMBER(INDEX('Licences'!$J$4:$J$503,_calc!$E$179)),TEXT(INDEX('Licences'!$J$4:$J$503,_calc!$E$179),"yyyy-mm-dd"),""))</f>
        <v/>
      </c>
      <c r="C177" s="44">
        <f>IF(_calc!$E$179="","",IF(LEN(INDEX('Licences'!$B$4:$B$503,_calc!$E$179))=0,"",INDEX('Licences'!$B$4:$B$503,_calc!$E$179)))</f>
        <v/>
      </c>
      <c r="D177" s="44">
        <f>IF(_calc!$E$179="","",IF(ISNUMBER(INDEX('Licences'!$I$4:$I$503,_calc!$E$179)),TEXT(INDEX('Licences'!$I$4:$I$503,_calc!$E$179),"yyyy-mm-dd"),""))</f>
        <v/>
      </c>
      <c r="E177" s="44">
        <f>IF(_calc!$E$179="","",IF(LEN(INDEX('Licences'!$H$4:$H$503,_calc!$E$179))=0,"",INDEX('Licences'!$H$4:$H$503,_calc!$E$179)))</f>
        <v/>
      </c>
      <c r="F177" s="44">
        <f>IF(_calc!$E$179="","",TRIM(IF(LEN(IF(LEN(INDEX('Licences'!$D$4:$D$503,_calc!$E$179))=0,"",INDEX('Licences'!$D$4:$D$503,_calc!$E$179)))=0,"","Ref: "&amp;IF(LEN(INDEX('Licences'!$D$4:$D$503,_calc!$E$179))=0,"",INDEX('Licences'!$D$4:$D$503,_calc!$E$179))&amp;". ")&amp;IF(LEN(IF(LEN(INDEX('Licences'!$C$4:$C$503,_calc!$E$179))=0,"",INDEX('Licences'!$C$4:$C$503,_calc!$E$179)))=0,"","Issuer: "&amp;IF(LEN(INDEX('Licences'!$C$4:$C$503,_calc!$E$179))=0,"",INDEX('Licences'!$C$4:$C$503,_calc!$E$179))&amp;". ")&amp;IF(LEN(IF(LEN(INDEX('Licences'!$E$4:$E$503,_calc!$E$179))=0,"",INDEX('Licences'!$E$4:$E$503,_calc!$E$179)))=0,"","Site: "&amp;IF(LEN(INDEX('Licences'!$E$4:$E$503,_calc!$E$179))=0,"",INDEX('Licences'!$E$4:$E$503,_calc!$E$179))&amp;". ")&amp;IF(LEN(IF(LEN(INDEX('Licences'!$F$4:$F$503,_calc!$E$179))=0,"",INDEX('Licences'!$F$4:$F$503,_calc!$E$179)))=0,"","Owner: "&amp;IF(LEN(INDEX('Licences'!$F$4:$F$503,_calc!$E$179))=0,"",INDEX('Licences'!$F$4:$F$503,_calc!$E$179))&amp;". ")&amp;IF(LEN(IF(LEN(INDEX('Licences'!$R$4:$R$503,_calc!$E$179))=0,"",INDEX('Licences'!$R$4:$R$503,_calc!$E$179)))=0,"",IF(LEN(INDEX('Licences'!$R$4:$R$503,_calc!$E$179))=0,"",INDEX('Licences'!$R$4:$R$503,_calc!$E$179)))))</f>
        <v/>
      </c>
      <c r="G177" s="44">
        <f>IF(_calc!$E$179="","",IF(LEN(INDEX('Licences'!$Q$4:$Q$503,_calc!$E$179))=0,"",INDEX('Licences'!$Q$4:$Q$503,_calc!$E$179)))</f>
        <v/>
      </c>
      <c r="H177" s="44">
        <f>IF(_calc!$E$179="","",IF(LEN(INDEX('Licences'!$O$4:$O$503,_calc!$E$179))=0,"",INDEX('Licences'!$O$4:$O$503,_calc!$E$179)))</f>
        <v/>
      </c>
      <c r="I177" s="44">
        <f>IF(_calc!$E$179="","",IF(LEN(INDEX('Licences'!$P$4:$P$503,_calc!$E$179))=0,"",INDEX('Licences'!$P$4:$P$503,_calc!$E$179)))</f>
        <v/>
      </c>
      <c r="K177" s="44">
        <f>IF(_calc!$E$179="","",IF(LEN(INDEX('Licences'!$G$4:$G$503,_calc!$E$179))=0,"",INDEX('Licences'!$G$4:$G$503,_calc!$E$179)))</f>
        <v/>
      </c>
    </row>
    <row r="178">
      <c r="A178" s="44">
        <f>IF(_calc!$E$180="","",IF(LEN(INDEX('Licences'!$A$4:$A$503,_calc!$E$180))=0,"",INDEX('Licences'!$A$4:$A$503,_calc!$E$180)))</f>
        <v/>
      </c>
      <c r="B178" s="44">
        <f>IF(_calc!$E$180="","",IF(ISNUMBER(INDEX('Licences'!$J$4:$J$503,_calc!$E$180)),TEXT(INDEX('Licences'!$J$4:$J$503,_calc!$E$180),"yyyy-mm-dd"),""))</f>
        <v/>
      </c>
      <c r="C178" s="44">
        <f>IF(_calc!$E$180="","",IF(LEN(INDEX('Licences'!$B$4:$B$503,_calc!$E$180))=0,"",INDEX('Licences'!$B$4:$B$503,_calc!$E$180)))</f>
        <v/>
      </c>
      <c r="D178" s="44">
        <f>IF(_calc!$E$180="","",IF(ISNUMBER(INDEX('Licences'!$I$4:$I$503,_calc!$E$180)),TEXT(INDEX('Licences'!$I$4:$I$503,_calc!$E$180),"yyyy-mm-dd"),""))</f>
        <v/>
      </c>
      <c r="E178" s="44">
        <f>IF(_calc!$E$180="","",IF(LEN(INDEX('Licences'!$H$4:$H$503,_calc!$E$180))=0,"",INDEX('Licences'!$H$4:$H$503,_calc!$E$180)))</f>
        <v/>
      </c>
      <c r="F178" s="44">
        <f>IF(_calc!$E$180="","",TRIM(IF(LEN(IF(LEN(INDEX('Licences'!$D$4:$D$503,_calc!$E$180))=0,"",INDEX('Licences'!$D$4:$D$503,_calc!$E$180)))=0,"","Ref: "&amp;IF(LEN(INDEX('Licences'!$D$4:$D$503,_calc!$E$180))=0,"",INDEX('Licences'!$D$4:$D$503,_calc!$E$180))&amp;". ")&amp;IF(LEN(IF(LEN(INDEX('Licences'!$C$4:$C$503,_calc!$E$180))=0,"",INDEX('Licences'!$C$4:$C$503,_calc!$E$180)))=0,"","Issuer: "&amp;IF(LEN(INDEX('Licences'!$C$4:$C$503,_calc!$E$180))=0,"",INDEX('Licences'!$C$4:$C$503,_calc!$E$180))&amp;". ")&amp;IF(LEN(IF(LEN(INDEX('Licences'!$E$4:$E$503,_calc!$E$180))=0,"",INDEX('Licences'!$E$4:$E$503,_calc!$E$180)))=0,"","Site: "&amp;IF(LEN(INDEX('Licences'!$E$4:$E$503,_calc!$E$180))=0,"",INDEX('Licences'!$E$4:$E$503,_calc!$E$180))&amp;". ")&amp;IF(LEN(IF(LEN(INDEX('Licences'!$F$4:$F$503,_calc!$E$180))=0,"",INDEX('Licences'!$F$4:$F$503,_calc!$E$180)))=0,"","Owner: "&amp;IF(LEN(INDEX('Licences'!$F$4:$F$503,_calc!$E$180))=0,"",INDEX('Licences'!$F$4:$F$503,_calc!$E$180))&amp;". ")&amp;IF(LEN(IF(LEN(INDEX('Licences'!$R$4:$R$503,_calc!$E$180))=0,"",INDEX('Licences'!$R$4:$R$503,_calc!$E$180)))=0,"",IF(LEN(INDEX('Licences'!$R$4:$R$503,_calc!$E$180))=0,"",INDEX('Licences'!$R$4:$R$503,_calc!$E$180)))))</f>
        <v/>
      </c>
      <c r="G178" s="44">
        <f>IF(_calc!$E$180="","",IF(LEN(INDEX('Licences'!$Q$4:$Q$503,_calc!$E$180))=0,"",INDEX('Licences'!$Q$4:$Q$503,_calc!$E$180)))</f>
        <v/>
      </c>
      <c r="H178" s="44">
        <f>IF(_calc!$E$180="","",IF(LEN(INDEX('Licences'!$O$4:$O$503,_calc!$E$180))=0,"",INDEX('Licences'!$O$4:$O$503,_calc!$E$180)))</f>
        <v/>
      </c>
      <c r="I178" s="44">
        <f>IF(_calc!$E$180="","",IF(LEN(INDEX('Licences'!$P$4:$P$503,_calc!$E$180))=0,"",INDEX('Licences'!$P$4:$P$503,_calc!$E$180)))</f>
        <v/>
      </c>
      <c r="K178" s="44">
        <f>IF(_calc!$E$180="","",IF(LEN(INDEX('Licences'!$G$4:$G$503,_calc!$E$180))=0,"",INDEX('Licences'!$G$4:$G$503,_calc!$E$180)))</f>
        <v/>
      </c>
    </row>
    <row r="179">
      <c r="A179" s="44">
        <f>IF(_calc!$E$181="","",IF(LEN(INDEX('Licences'!$A$4:$A$503,_calc!$E$181))=0,"",INDEX('Licences'!$A$4:$A$503,_calc!$E$181)))</f>
        <v/>
      </c>
      <c r="B179" s="44">
        <f>IF(_calc!$E$181="","",IF(ISNUMBER(INDEX('Licences'!$J$4:$J$503,_calc!$E$181)),TEXT(INDEX('Licences'!$J$4:$J$503,_calc!$E$181),"yyyy-mm-dd"),""))</f>
        <v/>
      </c>
      <c r="C179" s="44">
        <f>IF(_calc!$E$181="","",IF(LEN(INDEX('Licences'!$B$4:$B$503,_calc!$E$181))=0,"",INDEX('Licences'!$B$4:$B$503,_calc!$E$181)))</f>
        <v/>
      </c>
      <c r="D179" s="44">
        <f>IF(_calc!$E$181="","",IF(ISNUMBER(INDEX('Licences'!$I$4:$I$503,_calc!$E$181)),TEXT(INDEX('Licences'!$I$4:$I$503,_calc!$E$181),"yyyy-mm-dd"),""))</f>
        <v/>
      </c>
      <c r="E179" s="44">
        <f>IF(_calc!$E$181="","",IF(LEN(INDEX('Licences'!$H$4:$H$503,_calc!$E$181))=0,"",INDEX('Licences'!$H$4:$H$503,_calc!$E$181)))</f>
        <v/>
      </c>
      <c r="F179" s="44">
        <f>IF(_calc!$E$181="","",TRIM(IF(LEN(IF(LEN(INDEX('Licences'!$D$4:$D$503,_calc!$E$181))=0,"",INDEX('Licences'!$D$4:$D$503,_calc!$E$181)))=0,"","Ref: "&amp;IF(LEN(INDEX('Licences'!$D$4:$D$503,_calc!$E$181))=0,"",INDEX('Licences'!$D$4:$D$503,_calc!$E$181))&amp;". ")&amp;IF(LEN(IF(LEN(INDEX('Licences'!$C$4:$C$503,_calc!$E$181))=0,"",INDEX('Licences'!$C$4:$C$503,_calc!$E$181)))=0,"","Issuer: "&amp;IF(LEN(INDEX('Licences'!$C$4:$C$503,_calc!$E$181))=0,"",INDEX('Licences'!$C$4:$C$503,_calc!$E$181))&amp;". ")&amp;IF(LEN(IF(LEN(INDEX('Licences'!$E$4:$E$503,_calc!$E$181))=0,"",INDEX('Licences'!$E$4:$E$503,_calc!$E$181)))=0,"","Site: "&amp;IF(LEN(INDEX('Licences'!$E$4:$E$503,_calc!$E$181))=0,"",INDEX('Licences'!$E$4:$E$503,_calc!$E$181))&amp;". ")&amp;IF(LEN(IF(LEN(INDEX('Licences'!$F$4:$F$503,_calc!$E$181))=0,"",INDEX('Licences'!$F$4:$F$503,_calc!$E$181)))=0,"","Owner: "&amp;IF(LEN(INDEX('Licences'!$F$4:$F$503,_calc!$E$181))=0,"",INDEX('Licences'!$F$4:$F$503,_calc!$E$181))&amp;". ")&amp;IF(LEN(IF(LEN(INDEX('Licences'!$R$4:$R$503,_calc!$E$181))=0,"",INDEX('Licences'!$R$4:$R$503,_calc!$E$181)))=0,"",IF(LEN(INDEX('Licences'!$R$4:$R$503,_calc!$E$181))=0,"",INDEX('Licences'!$R$4:$R$503,_calc!$E$181)))))</f>
        <v/>
      </c>
      <c r="G179" s="44">
        <f>IF(_calc!$E$181="","",IF(LEN(INDEX('Licences'!$Q$4:$Q$503,_calc!$E$181))=0,"",INDEX('Licences'!$Q$4:$Q$503,_calc!$E$181)))</f>
        <v/>
      </c>
      <c r="H179" s="44">
        <f>IF(_calc!$E$181="","",IF(LEN(INDEX('Licences'!$O$4:$O$503,_calc!$E$181))=0,"",INDEX('Licences'!$O$4:$O$503,_calc!$E$181)))</f>
        <v/>
      </c>
      <c r="I179" s="44">
        <f>IF(_calc!$E$181="","",IF(LEN(INDEX('Licences'!$P$4:$P$503,_calc!$E$181))=0,"",INDEX('Licences'!$P$4:$P$503,_calc!$E$181)))</f>
        <v/>
      </c>
      <c r="K179" s="44">
        <f>IF(_calc!$E$181="","",IF(LEN(INDEX('Licences'!$G$4:$G$503,_calc!$E$181))=0,"",INDEX('Licences'!$G$4:$G$503,_calc!$E$181)))</f>
        <v/>
      </c>
    </row>
    <row r="180">
      <c r="A180" s="44">
        <f>IF(_calc!$E$182="","",IF(LEN(INDEX('Licences'!$A$4:$A$503,_calc!$E$182))=0,"",INDEX('Licences'!$A$4:$A$503,_calc!$E$182)))</f>
        <v/>
      </c>
      <c r="B180" s="44">
        <f>IF(_calc!$E$182="","",IF(ISNUMBER(INDEX('Licences'!$J$4:$J$503,_calc!$E$182)),TEXT(INDEX('Licences'!$J$4:$J$503,_calc!$E$182),"yyyy-mm-dd"),""))</f>
        <v/>
      </c>
      <c r="C180" s="44">
        <f>IF(_calc!$E$182="","",IF(LEN(INDEX('Licences'!$B$4:$B$503,_calc!$E$182))=0,"",INDEX('Licences'!$B$4:$B$503,_calc!$E$182)))</f>
        <v/>
      </c>
      <c r="D180" s="44">
        <f>IF(_calc!$E$182="","",IF(ISNUMBER(INDEX('Licences'!$I$4:$I$503,_calc!$E$182)),TEXT(INDEX('Licences'!$I$4:$I$503,_calc!$E$182),"yyyy-mm-dd"),""))</f>
        <v/>
      </c>
      <c r="E180" s="44">
        <f>IF(_calc!$E$182="","",IF(LEN(INDEX('Licences'!$H$4:$H$503,_calc!$E$182))=0,"",INDEX('Licences'!$H$4:$H$503,_calc!$E$182)))</f>
        <v/>
      </c>
      <c r="F180" s="44">
        <f>IF(_calc!$E$182="","",TRIM(IF(LEN(IF(LEN(INDEX('Licences'!$D$4:$D$503,_calc!$E$182))=0,"",INDEX('Licences'!$D$4:$D$503,_calc!$E$182)))=0,"","Ref: "&amp;IF(LEN(INDEX('Licences'!$D$4:$D$503,_calc!$E$182))=0,"",INDEX('Licences'!$D$4:$D$503,_calc!$E$182))&amp;". ")&amp;IF(LEN(IF(LEN(INDEX('Licences'!$C$4:$C$503,_calc!$E$182))=0,"",INDEX('Licences'!$C$4:$C$503,_calc!$E$182)))=0,"","Issuer: "&amp;IF(LEN(INDEX('Licences'!$C$4:$C$503,_calc!$E$182))=0,"",INDEX('Licences'!$C$4:$C$503,_calc!$E$182))&amp;". ")&amp;IF(LEN(IF(LEN(INDEX('Licences'!$E$4:$E$503,_calc!$E$182))=0,"",INDEX('Licences'!$E$4:$E$503,_calc!$E$182)))=0,"","Site: "&amp;IF(LEN(INDEX('Licences'!$E$4:$E$503,_calc!$E$182))=0,"",INDEX('Licences'!$E$4:$E$503,_calc!$E$182))&amp;". ")&amp;IF(LEN(IF(LEN(INDEX('Licences'!$F$4:$F$503,_calc!$E$182))=0,"",INDEX('Licences'!$F$4:$F$503,_calc!$E$182)))=0,"","Owner: "&amp;IF(LEN(INDEX('Licences'!$F$4:$F$503,_calc!$E$182))=0,"",INDEX('Licences'!$F$4:$F$503,_calc!$E$182))&amp;". ")&amp;IF(LEN(IF(LEN(INDEX('Licences'!$R$4:$R$503,_calc!$E$182))=0,"",INDEX('Licences'!$R$4:$R$503,_calc!$E$182)))=0,"",IF(LEN(INDEX('Licences'!$R$4:$R$503,_calc!$E$182))=0,"",INDEX('Licences'!$R$4:$R$503,_calc!$E$182)))))</f>
        <v/>
      </c>
      <c r="G180" s="44">
        <f>IF(_calc!$E$182="","",IF(LEN(INDEX('Licences'!$Q$4:$Q$503,_calc!$E$182))=0,"",INDEX('Licences'!$Q$4:$Q$503,_calc!$E$182)))</f>
        <v/>
      </c>
      <c r="H180" s="44">
        <f>IF(_calc!$E$182="","",IF(LEN(INDEX('Licences'!$O$4:$O$503,_calc!$E$182))=0,"",INDEX('Licences'!$O$4:$O$503,_calc!$E$182)))</f>
        <v/>
      </c>
      <c r="I180" s="44">
        <f>IF(_calc!$E$182="","",IF(LEN(INDEX('Licences'!$P$4:$P$503,_calc!$E$182))=0,"",INDEX('Licences'!$P$4:$P$503,_calc!$E$182)))</f>
        <v/>
      </c>
      <c r="K180" s="44">
        <f>IF(_calc!$E$182="","",IF(LEN(INDEX('Licences'!$G$4:$G$503,_calc!$E$182))=0,"",INDEX('Licences'!$G$4:$G$503,_calc!$E$182)))</f>
        <v/>
      </c>
    </row>
    <row r="181">
      <c r="A181" s="44">
        <f>IF(_calc!$E$183="","",IF(LEN(INDEX('Licences'!$A$4:$A$503,_calc!$E$183))=0,"",INDEX('Licences'!$A$4:$A$503,_calc!$E$183)))</f>
        <v/>
      </c>
      <c r="B181" s="44">
        <f>IF(_calc!$E$183="","",IF(ISNUMBER(INDEX('Licences'!$J$4:$J$503,_calc!$E$183)),TEXT(INDEX('Licences'!$J$4:$J$503,_calc!$E$183),"yyyy-mm-dd"),""))</f>
        <v/>
      </c>
      <c r="C181" s="44">
        <f>IF(_calc!$E$183="","",IF(LEN(INDEX('Licences'!$B$4:$B$503,_calc!$E$183))=0,"",INDEX('Licences'!$B$4:$B$503,_calc!$E$183)))</f>
        <v/>
      </c>
      <c r="D181" s="44">
        <f>IF(_calc!$E$183="","",IF(ISNUMBER(INDEX('Licences'!$I$4:$I$503,_calc!$E$183)),TEXT(INDEX('Licences'!$I$4:$I$503,_calc!$E$183),"yyyy-mm-dd"),""))</f>
        <v/>
      </c>
      <c r="E181" s="44">
        <f>IF(_calc!$E$183="","",IF(LEN(INDEX('Licences'!$H$4:$H$503,_calc!$E$183))=0,"",INDEX('Licences'!$H$4:$H$503,_calc!$E$183)))</f>
        <v/>
      </c>
      <c r="F181" s="44">
        <f>IF(_calc!$E$183="","",TRIM(IF(LEN(IF(LEN(INDEX('Licences'!$D$4:$D$503,_calc!$E$183))=0,"",INDEX('Licences'!$D$4:$D$503,_calc!$E$183)))=0,"","Ref: "&amp;IF(LEN(INDEX('Licences'!$D$4:$D$503,_calc!$E$183))=0,"",INDEX('Licences'!$D$4:$D$503,_calc!$E$183))&amp;". ")&amp;IF(LEN(IF(LEN(INDEX('Licences'!$C$4:$C$503,_calc!$E$183))=0,"",INDEX('Licences'!$C$4:$C$503,_calc!$E$183)))=0,"","Issuer: "&amp;IF(LEN(INDEX('Licences'!$C$4:$C$503,_calc!$E$183))=0,"",INDEX('Licences'!$C$4:$C$503,_calc!$E$183))&amp;". ")&amp;IF(LEN(IF(LEN(INDEX('Licences'!$E$4:$E$503,_calc!$E$183))=0,"",INDEX('Licences'!$E$4:$E$503,_calc!$E$183)))=0,"","Site: "&amp;IF(LEN(INDEX('Licences'!$E$4:$E$503,_calc!$E$183))=0,"",INDEX('Licences'!$E$4:$E$503,_calc!$E$183))&amp;". ")&amp;IF(LEN(IF(LEN(INDEX('Licences'!$F$4:$F$503,_calc!$E$183))=0,"",INDEX('Licences'!$F$4:$F$503,_calc!$E$183)))=0,"","Owner: "&amp;IF(LEN(INDEX('Licences'!$F$4:$F$503,_calc!$E$183))=0,"",INDEX('Licences'!$F$4:$F$503,_calc!$E$183))&amp;". ")&amp;IF(LEN(IF(LEN(INDEX('Licences'!$R$4:$R$503,_calc!$E$183))=0,"",INDEX('Licences'!$R$4:$R$503,_calc!$E$183)))=0,"",IF(LEN(INDEX('Licences'!$R$4:$R$503,_calc!$E$183))=0,"",INDEX('Licences'!$R$4:$R$503,_calc!$E$183)))))</f>
        <v/>
      </c>
      <c r="G181" s="44">
        <f>IF(_calc!$E$183="","",IF(LEN(INDEX('Licences'!$Q$4:$Q$503,_calc!$E$183))=0,"",INDEX('Licences'!$Q$4:$Q$503,_calc!$E$183)))</f>
        <v/>
      </c>
      <c r="H181" s="44">
        <f>IF(_calc!$E$183="","",IF(LEN(INDEX('Licences'!$O$4:$O$503,_calc!$E$183))=0,"",INDEX('Licences'!$O$4:$O$503,_calc!$E$183)))</f>
        <v/>
      </c>
      <c r="I181" s="44">
        <f>IF(_calc!$E$183="","",IF(LEN(INDEX('Licences'!$P$4:$P$503,_calc!$E$183))=0,"",INDEX('Licences'!$P$4:$P$503,_calc!$E$183)))</f>
        <v/>
      </c>
      <c r="K181" s="44">
        <f>IF(_calc!$E$183="","",IF(LEN(INDEX('Licences'!$G$4:$G$503,_calc!$E$183))=0,"",INDEX('Licences'!$G$4:$G$503,_calc!$E$183)))</f>
        <v/>
      </c>
    </row>
    <row r="182">
      <c r="A182" s="44">
        <f>IF(_calc!$E$184="","",IF(LEN(INDEX('Licences'!$A$4:$A$503,_calc!$E$184))=0,"",INDEX('Licences'!$A$4:$A$503,_calc!$E$184)))</f>
        <v/>
      </c>
      <c r="B182" s="44">
        <f>IF(_calc!$E$184="","",IF(ISNUMBER(INDEX('Licences'!$J$4:$J$503,_calc!$E$184)),TEXT(INDEX('Licences'!$J$4:$J$503,_calc!$E$184),"yyyy-mm-dd"),""))</f>
        <v/>
      </c>
      <c r="C182" s="44">
        <f>IF(_calc!$E$184="","",IF(LEN(INDEX('Licences'!$B$4:$B$503,_calc!$E$184))=0,"",INDEX('Licences'!$B$4:$B$503,_calc!$E$184)))</f>
        <v/>
      </c>
      <c r="D182" s="44">
        <f>IF(_calc!$E$184="","",IF(ISNUMBER(INDEX('Licences'!$I$4:$I$503,_calc!$E$184)),TEXT(INDEX('Licences'!$I$4:$I$503,_calc!$E$184),"yyyy-mm-dd"),""))</f>
        <v/>
      </c>
      <c r="E182" s="44">
        <f>IF(_calc!$E$184="","",IF(LEN(INDEX('Licences'!$H$4:$H$503,_calc!$E$184))=0,"",INDEX('Licences'!$H$4:$H$503,_calc!$E$184)))</f>
        <v/>
      </c>
      <c r="F182" s="44">
        <f>IF(_calc!$E$184="","",TRIM(IF(LEN(IF(LEN(INDEX('Licences'!$D$4:$D$503,_calc!$E$184))=0,"",INDEX('Licences'!$D$4:$D$503,_calc!$E$184)))=0,"","Ref: "&amp;IF(LEN(INDEX('Licences'!$D$4:$D$503,_calc!$E$184))=0,"",INDEX('Licences'!$D$4:$D$503,_calc!$E$184))&amp;". ")&amp;IF(LEN(IF(LEN(INDEX('Licences'!$C$4:$C$503,_calc!$E$184))=0,"",INDEX('Licences'!$C$4:$C$503,_calc!$E$184)))=0,"","Issuer: "&amp;IF(LEN(INDEX('Licences'!$C$4:$C$503,_calc!$E$184))=0,"",INDEX('Licences'!$C$4:$C$503,_calc!$E$184))&amp;". ")&amp;IF(LEN(IF(LEN(INDEX('Licences'!$E$4:$E$503,_calc!$E$184))=0,"",INDEX('Licences'!$E$4:$E$503,_calc!$E$184)))=0,"","Site: "&amp;IF(LEN(INDEX('Licences'!$E$4:$E$503,_calc!$E$184))=0,"",INDEX('Licences'!$E$4:$E$503,_calc!$E$184))&amp;". ")&amp;IF(LEN(IF(LEN(INDEX('Licences'!$F$4:$F$503,_calc!$E$184))=0,"",INDEX('Licences'!$F$4:$F$503,_calc!$E$184)))=0,"","Owner: "&amp;IF(LEN(INDEX('Licences'!$F$4:$F$503,_calc!$E$184))=0,"",INDEX('Licences'!$F$4:$F$503,_calc!$E$184))&amp;". ")&amp;IF(LEN(IF(LEN(INDEX('Licences'!$R$4:$R$503,_calc!$E$184))=0,"",INDEX('Licences'!$R$4:$R$503,_calc!$E$184)))=0,"",IF(LEN(INDEX('Licences'!$R$4:$R$503,_calc!$E$184))=0,"",INDEX('Licences'!$R$4:$R$503,_calc!$E$184)))))</f>
        <v/>
      </c>
      <c r="G182" s="44">
        <f>IF(_calc!$E$184="","",IF(LEN(INDEX('Licences'!$Q$4:$Q$503,_calc!$E$184))=0,"",INDEX('Licences'!$Q$4:$Q$503,_calc!$E$184)))</f>
        <v/>
      </c>
      <c r="H182" s="44">
        <f>IF(_calc!$E$184="","",IF(LEN(INDEX('Licences'!$O$4:$O$503,_calc!$E$184))=0,"",INDEX('Licences'!$O$4:$O$503,_calc!$E$184)))</f>
        <v/>
      </c>
      <c r="I182" s="44">
        <f>IF(_calc!$E$184="","",IF(LEN(INDEX('Licences'!$P$4:$P$503,_calc!$E$184))=0,"",INDEX('Licences'!$P$4:$P$503,_calc!$E$184)))</f>
        <v/>
      </c>
      <c r="K182" s="44">
        <f>IF(_calc!$E$184="","",IF(LEN(INDEX('Licences'!$G$4:$G$503,_calc!$E$184))=0,"",INDEX('Licences'!$G$4:$G$503,_calc!$E$184)))</f>
        <v/>
      </c>
    </row>
    <row r="183">
      <c r="A183" s="44">
        <f>IF(_calc!$E$185="","",IF(LEN(INDEX('Licences'!$A$4:$A$503,_calc!$E$185))=0,"",INDEX('Licences'!$A$4:$A$503,_calc!$E$185)))</f>
        <v/>
      </c>
      <c r="B183" s="44">
        <f>IF(_calc!$E$185="","",IF(ISNUMBER(INDEX('Licences'!$J$4:$J$503,_calc!$E$185)),TEXT(INDEX('Licences'!$J$4:$J$503,_calc!$E$185),"yyyy-mm-dd"),""))</f>
        <v/>
      </c>
      <c r="C183" s="44">
        <f>IF(_calc!$E$185="","",IF(LEN(INDEX('Licences'!$B$4:$B$503,_calc!$E$185))=0,"",INDEX('Licences'!$B$4:$B$503,_calc!$E$185)))</f>
        <v/>
      </c>
      <c r="D183" s="44">
        <f>IF(_calc!$E$185="","",IF(ISNUMBER(INDEX('Licences'!$I$4:$I$503,_calc!$E$185)),TEXT(INDEX('Licences'!$I$4:$I$503,_calc!$E$185),"yyyy-mm-dd"),""))</f>
        <v/>
      </c>
      <c r="E183" s="44">
        <f>IF(_calc!$E$185="","",IF(LEN(INDEX('Licences'!$H$4:$H$503,_calc!$E$185))=0,"",INDEX('Licences'!$H$4:$H$503,_calc!$E$185)))</f>
        <v/>
      </c>
      <c r="F183" s="44">
        <f>IF(_calc!$E$185="","",TRIM(IF(LEN(IF(LEN(INDEX('Licences'!$D$4:$D$503,_calc!$E$185))=0,"",INDEX('Licences'!$D$4:$D$503,_calc!$E$185)))=0,"","Ref: "&amp;IF(LEN(INDEX('Licences'!$D$4:$D$503,_calc!$E$185))=0,"",INDEX('Licences'!$D$4:$D$503,_calc!$E$185))&amp;". ")&amp;IF(LEN(IF(LEN(INDEX('Licences'!$C$4:$C$503,_calc!$E$185))=0,"",INDEX('Licences'!$C$4:$C$503,_calc!$E$185)))=0,"","Issuer: "&amp;IF(LEN(INDEX('Licences'!$C$4:$C$503,_calc!$E$185))=0,"",INDEX('Licences'!$C$4:$C$503,_calc!$E$185))&amp;". ")&amp;IF(LEN(IF(LEN(INDEX('Licences'!$E$4:$E$503,_calc!$E$185))=0,"",INDEX('Licences'!$E$4:$E$503,_calc!$E$185)))=0,"","Site: "&amp;IF(LEN(INDEX('Licences'!$E$4:$E$503,_calc!$E$185))=0,"",INDEX('Licences'!$E$4:$E$503,_calc!$E$185))&amp;". ")&amp;IF(LEN(IF(LEN(INDEX('Licences'!$F$4:$F$503,_calc!$E$185))=0,"",INDEX('Licences'!$F$4:$F$503,_calc!$E$185)))=0,"","Owner: "&amp;IF(LEN(INDEX('Licences'!$F$4:$F$503,_calc!$E$185))=0,"",INDEX('Licences'!$F$4:$F$503,_calc!$E$185))&amp;". ")&amp;IF(LEN(IF(LEN(INDEX('Licences'!$R$4:$R$503,_calc!$E$185))=0,"",INDEX('Licences'!$R$4:$R$503,_calc!$E$185)))=0,"",IF(LEN(INDEX('Licences'!$R$4:$R$503,_calc!$E$185))=0,"",INDEX('Licences'!$R$4:$R$503,_calc!$E$185)))))</f>
        <v/>
      </c>
      <c r="G183" s="44">
        <f>IF(_calc!$E$185="","",IF(LEN(INDEX('Licences'!$Q$4:$Q$503,_calc!$E$185))=0,"",INDEX('Licences'!$Q$4:$Q$503,_calc!$E$185)))</f>
        <v/>
      </c>
      <c r="H183" s="44">
        <f>IF(_calc!$E$185="","",IF(LEN(INDEX('Licences'!$O$4:$O$503,_calc!$E$185))=0,"",INDEX('Licences'!$O$4:$O$503,_calc!$E$185)))</f>
        <v/>
      </c>
      <c r="I183" s="44">
        <f>IF(_calc!$E$185="","",IF(LEN(INDEX('Licences'!$P$4:$P$503,_calc!$E$185))=0,"",INDEX('Licences'!$P$4:$P$503,_calc!$E$185)))</f>
        <v/>
      </c>
      <c r="K183" s="44">
        <f>IF(_calc!$E$185="","",IF(LEN(INDEX('Licences'!$G$4:$G$503,_calc!$E$185))=0,"",INDEX('Licences'!$G$4:$G$503,_calc!$E$185)))</f>
        <v/>
      </c>
    </row>
    <row r="184">
      <c r="A184" s="44">
        <f>IF(_calc!$E$186="","",IF(LEN(INDEX('Licences'!$A$4:$A$503,_calc!$E$186))=0,"",INDEX('Licences'!$A$4:$A$503,_calc!$E$186)))</f>
        <v/>
      </c>
      <c r="B184" s="44">
        <f>IF(_calc!$E$186="","",IF(ISNUMBER(INDEX('Licences'!$J$4:$J$503,_calc!$E$186)),TEXT(INDEX('Licences'!$J$4:$J$503,_calc!$E$186),"yyyy-mm-dd"),""))</f>
        <v/>
      </c>
      <c r="C184" s="44">
        <f>IF(_calc!$E$186="","",IF(LEN(INDEX('Licences'!$B$4:$B$503,_calc!$E$186))=0,"",INDEX('Licences'!$B$4:$B$503,_calc!$E$186)))</f>
        <v/>
      </c>
      <c r="D184" s="44">
        <f>IF(_calc!$E$186="","",IF(ISNUMBER(INDEX('Licences'!$I$4:$I$503,_calc!$E$186)),TEXT(INDEX('Licences'!$I$4:$I$503,_calc!$E$186),"yyyy-mm-dd"),""))</f>
        <v/>
      </c>
      <c r="E184" s="44">
        <f>IF(_calc!$E$186="","",IF(LEN(INDEX('Licences'!$H$4:$H$503,_calc!$E$186))=0,"",INDEX('Licences'!$H$4:$H$503,_calc!$E$186)))</f>
        <v/>
      </c>
      <c r="F184" s="44">
        <f>IF(_calc!$E$186="","",TRIM(IF(LEN(IF(LEN(INDEX('Licences'!$D$4:$D$503,_calc!$E$186))=0,"",INDEX('Licences'!$D$4:$D$503,_calc!$E$186)))=0,"","Ref: "&amp;IF(LEN(INDEX('Licences'!$D$4:$D$503,_calc!$E$186))=0,"",INDEX('Licences'!$D$4:$D$503,_calc!$E$186))&amp;". ")&amp;IF(LEN(IF(LEN(INDEX('Licences'!$C$4:$C$503,_calc!$E$186))=0,"",INDEX('Licences'!$C$4:$C$503,_calc!$E$186)))=0,"","Issuer: "&amp;IF(LEN(INDEX('Licences'!$C$4:$C$503,_calc!$E$186))=0,"",INDEX('Licences'!$C$4:$C$503,_calc!$E$186))&amp;". ")&amp;IF(LEN(IF(LEN(INDEX('Licences'!$E$4:$E$503,_calc!$E$186))=0,"",INDEX('Licences'!$E$4:$E$503,_calc!$E$186)))=0,"","Site: "&amp;IF(LEN(INDEX('Licences'!$E$4:$E$503,_calc!$E$186))=0,"",INDEX('Licences'!$E$4:$E$503,_calc!$E$186))&amp;". ")&amp;IF(LEN(IF(LEN(INDEX('Licences'!$F$4:$F$503,_calc!$E$186))=0,"",INDEX('Licences'!$F$4:$F$503,_calc!$E$186)))=0,"","Owner: "&amp;IF(LEN(INDEX('Licences'!$F$4:$F$503,_calc!$E$186))=0,"",INDEX('Licences'!$F$4:$F$503,_calc!$E$186))&amp;". ")&amp;IF(LEN(IF(LEN(INDEX('Licences'!$R$4:$R$503,_calc!$E$186))=0,"",INDEX('Licences'!$R$4:$R$503,_calc!$E$186)))=0,"",IF(LEN(INDEX('Licences'!$R$4:$R$503,_calc!$E$186))=0,"",INDEX('Licences'!$R$4:$R$503,_calc!$E$186)))))</f>
        <v/>
      </c>
      <c r="G184" s="44">
        <f>IF(_calc!$E$186="","",IF(LEN(INDEX('Licences'!$Q$4:$Q$503,_calc!$E$186))=0,"",INDEX('Licences'!$Q$4:$Q$503,_calc!$E$186)))</f>
        <v/>
      </c>
      <c r="H184" s="44">
        <f>IF(_calc!$E$186="","",IF(LEN(INDEX('Licences'!$O$4:$O$503,_calc!$E$186))=0,"",INDEX('Licences'!$O$4:$O$503,_calc!$E$186)))</f>
        <v/>
      </c>
      <c r="I184" s="44">
        <f>IF(_calc!$E$186="","",IF(LEN(INDEX('Licences'!$P$4:$P$503,_calc!$E$186))=0,"",INDEX('Licences'!$P$4:$P$503,_calc!$E$186)))</f>
        <v/>
      </c>
      <c r="K184" s="44">
        <f>IF(_calc!$E$186="","",IF(LEN(INDEX('Licences'!$G$4:$G$503,_calc!$E$186))=0,"",INDEX('Licences'!$G$4:$G$503,_calc!$E$186)))</f>
        <v/>
      </c>
    </row>
    <row r="185">
      <c r="A185" s="44">
        <f>IF(_calc!$E$187="","",IF(LEN(INDEX('Licences'!$A$4:$A$503,_calc!$E$187))=0,"",INDEX('Licences'!$A$4:$A$503,_calc!$E$187)))</f>
        <v/>
      </c>
      <c r="B185" s="44">
        <f>IF(_calc!$E$187="","",IF(ISNUMBER(INDEX('Licences'!$J$4:$J$503,_calc!$E$187)),TEXT(INDEX('Licences'!$J$4:$J$503,_calc!$E$187),"yyyy-mm-dd"),""))</f>
        <v/>
      </c>
      <c r="C185" s="44">
        <f>IF(_calc!$E$187="","",IF(LEN(INDEX('Licences'!$B$4:$B$503,_calc!$E$187))=0,"",INDEX('Licences'!$B$4:$B$503,_calc!$E$187)))</f>
        <v/>
      </c>
      <c r="D185" s="44">
        <f>IF(_calc!$E$187="","",IF(ISNUMBER(INDEX('Licences'!$I$4:$I$503,_calc!$E$187)),TEXT(INDEX('Licences'!$I$4:$I$503,_calc!$E$187),"yyyy-mm-dd"),""))</f>
        <v/>
      </c>
      <c r="E185" s="44">
        <f>IF(_calc!$E$187="","",IF(LEN(INDEX('Licences'!$H$4:$H$503,_calc!$E$187))=0,"",INDEX('Licences'!$H$4:$H$503,_calc!$E$187)))</f>
        <v/>
      </c>
      <c r="F185" s="44">
        <f>IF(_calc!$E$187="","",TRIM(IF(LEN(IF(LEN(INDEX('Licences'!$D$4:$D$503,_calc!$E$187))=0,"",INDEX('Licences'!$D$4:$D$503,_calc!$E$187)))=0,"","Ref: "&amp;IF(LEN(INDEX('Licences'!$D$4:$D$503,_calc!$E$187))=0,"",INDEX('Licences'!$D$4:$D$503,_calc!$E$187))&amp;". ")&amp;IF(LEN(IF(LEN(INDEX('Licences'!$C$4:$C$503,_calc!$E$187))=0,"",INDEX('Licences'!$C$4:$C$503,_calc!$E$187)))=0,"","Issuer: "&amp;IF(LEN(INDEX('Licences'!$C$4:$C$503,_calc!$E$187))=0,"",INDEX('Licences'!$C$4:$C$503,_calc!$E$187))&amp;". ")&amp;IF(LEN(IF(LEN(INDEX('Licences'!$E$4:$E$503,_calc!$E$187))=0,"",INDEX('Licences'!$E$4:$E$503,_calc!$E$187)))=0,"","Site: "&amp;IF(LEN(INDEX('Licences'!$E$4:$E$503,_calc!$E$187))=0,"",INDEX('Licences'!$E$4:$E$503,_calc!$E$187))&amp;". ")&amp;IF(LEN(IF(LEN(INDEX('Licences'!$F$4:$F$503,_calc!$E$187))=0,"",INDEX('Licences'!$F$4:$F$503,_calc!$E$187)))=0,"","Owner: "&amp;IF(LEN(INDEX('Licences'!$F$4:$F$503,_calc!$E$187))=0,"",INDEX('Licences'!$F$4:$F$503,_calc!$E$187))&amp;". ")&amp;IF(LEN(IF(LEN(INDEX('Licences'!$R$4:$R$503,_calc!$E$187))=0,"",INDEX('Licences'!$R$4:$R$503,_calc!$E$187)))=0,"",IF(LEN(INDEX('Licences'!$R$4:$R$503,_calc!$E$187))=0,"",INDEX('Licences'!$R$4:$R$503,_calc!$E$187)))))</f>
        <v/>
      </c>
      <c r="G185" s="44">
        <f>IF(_calc!$E$187="","",IF(LEN(INDEX('Licences'!$Q$4:$Q$503,_calc!$E$187))=0,"",INDEX('Licences'!$Q$4:$Q$503,_calc!$E$187)))</f>
        <v/>
      </c>
      <c r="H185" s="44">
        <f>IF(_calc!$E$187="","",IF(LEN(INDEX('Licences'!$O$4:$O$503,_calc!$E$187))=0,"",INDEX('Licences'!$O$4:$O$503,_calc!$E$187)))</f>
        <v/>
      </c>
      <c r="I185" s="44">
        <f>IF(_calc!$E$187="","",IF(LEN(INDEX('Licences'!$P$4:$P$503,_calc!$E$187))=0,"",INDEX('Licences'!$P$4:$P$503,_calc!$E$187)))</f>
        <v/>
      </c>
      <c r="K185" s="44">
        <f>IF(_calc!$E$187="","",IF(LEN(INDEX('Licences'!$G$4:$G$503,_calc!$E$187))=0,"",INDEX('Licences'!$G$4:$G$503,_calc!$E$187)))</f>
        <v/>
      </c>
    </row>
    <row r="186">
      <c r="A186" s="44">
        <f>IF(_calc!$E$188="","",IF(LEN(INDEX('Licences'!$A$4:$A$503,_calc!$E$188))=0,"",INDEX('Licences'!$A$4:$A$503,_calc!$E$188)))</f>
        <v/>
      </c>
      <c r="B186" s="44">
        <f>IF(_calc!$E$188="","",IF(ISNUMBER(INDEX('Licences'!$J$4:$J$503,_calc!$E$188)),TEXT(INDEX('Licences'!$J$4:$J$503,_calc!$E$188),"yyyy-mm-dd"),""))</f>
        <v/>
      </c>
      <c r="C186" s="44">
        <f>IF(_calc!$E$188="","",IF(LEN(INDEX('Licences'!$B$4:$B$503,_calc!$E$188))=0,"",INDEX('Licences'!$B$4:$B$503,_calc!$E$188)))</f>
        <v/>
      </c>
      <c r="D186" s="44">
        <f>IF(_calc!$E$188="","",IF(ISNUMBER(INDEX('Licences'!$I$4:$I$503,_calc!$E$188)),TEXT(INDEX('Licences'!$I$4:$I$503,_calc!$E$188),"yyyy-mm-dd"),""))</f>
        <v/>
      </c>
      <c r="E186" s="44">
        <f>IF(_calc!$E$188="","",IF(LEN(INDEX('Licences'!$H$4:$H$503,_calc!$E$188))=0,"",INDEX('Licences'!$H$4:$H$503,_calc!$E$188)))</f>
        <v/>
      </c>
      <c r="F186" s="44">
        <f>IF(_calc!$E$188="","",TRIM(IF(LEN(IF(LEN(INDEX('Licences'!$D$4:$D$503,_calc!$E$188))=0,"",INDEX('Licences'!$D$4:$D$503,_calc!$E$188)))=0,"","Ref: "&amp;IF(LEN(INDEX('Licences'!$D$4:$D$503,_calc!$E$188))=0,"",INDEX('Licences'!$D$4:$D$503,_calc!$E$188))&amp;". ")&amp;IF(LEN(IF(LEN(INDEX('Licences'!$C$4:$C$503,_calc!$E$188))=0,"",INDEX('Licences'!$C$4:$C$503,_calc!$E$188)))=0,"","Issuer: "&amp;IF(LEN(INDEX('Licences'!$C$4:$C$503,_calc!$E$188))=0,"",INDEX('Licences'!$C$4:$C$503,_calc!$E$188))&amp;". ")&amp;IF(LEN(IF(LEN(INDEX('Licences'!$E$4:$E$503,_calc!$E$188))=0,"",INDEX('Licences'!$E$4:$E$503,_calc!$E$188)))=0,"","Site: "&amp;IF(LEN(INDEX('Licences'!$E$4:$E$503,_calc!$E$188))=0,"",INDEX('Licences'!$E$4:$E$503,_calc!$E$188))&amp;". ")&amp;IF(LEN(IF(LEN(INDEX('Licences'!$F$4:$F$503,_calc!$E$188))=0,"",INDEX('Licences'!$F$4:$F$503,_calc!$E$188)))=0,"","Owner: "&amp;IF(LEN(INDEX('Licences'!$F$4:$F$503,_calc!$E$188))=0,"",INDEX('Licences'!$F$4:$F$503,_calc!$E$188))&amp;". ")&amp;IF(LEN(IF(LEN(INDEX('Licences'!$R$4:$R$503,_calc!$E$188))=0,"",INDEX('Licences'!$R$4:$R$503,_calc!$E$188)))=0,"",IF(LEN(INDEX('Licences'!$R$4:$R$503,_calc!$E$188))=0,"",INDEX('Licences'!$R$4:$R$503,_calc!$E$188)))))</f>
        <v/>
      </c>
      <c r="G186" s="44">
        <f>IF(_calc!$E$188="","",IF(LEN(INDEX('Licences'!$Q$4:$Q$503,_calc!$E$188))=0,"",INDEX('Licences'!$Q$4:$Q$503,_calc!$E$188)))</f>
        <v/>
      </c>
      <c r="H186" s="44">
        <f>IF(_calc!$E$188="","",IF(LEN(INDEX('Licences'!$O$4:$O$503,_calc!$E$188))=0,"",INDEX('Licences'!$O$4:$O$503,_calc!$E$188)))</f>
        <v/>
      </c>
      <c r="I186" s="44">
        <f>IF(_calc!$E$188="","",IF(LEN(INDEX('Licences'!$P$4:$P$503,_calc!$E$188))=0,"",INDEX('Licences'!$P$4:$P$503,_calc!$E$188)))</f>
        <v/>
      </c>
      <c r="K186" s="44">
        <f>IF(_calc!$E$188="","",IF(LEN(INDEX('Licences'!$G$4:$G$503,_calc!$E$188))=0,"",INDEX('Licences'!$G$4:$G$503,_calc!$E$188)))</f>
        <v/>
      </c>
    </row>
    <row r="187">
      <c r="A187" s="44">
        <f>IF(_calc!$E$189="","",IF(LEN(INDEX('Licences'!$A$4:$A$503,_calc!$E$189))=0,"",INDEX('Licences'!$A$4:$A$503,_calc!$E$189)))</f>
        <v/>
      </c>
      <c r="B187" s="44">
        <f>IF(_calc!$E$189="","",IF(ISNUMBER(INDEX('Licences'!$J$4:$J$503,_calc!$E$189)),TEXT(INDEX('Licences'!$J$4:$J$503,_calc!$E$189),"yyyy-mm-dd"),""))</f>
        <v/>
      </c>
      <c r="C187" s="44">
        <f>IF(_calc!$E$189="","",IF(LEN(INDEX('Licences'!$B$4:$B$503,_calc!$E$189))=0,"",INDEX('Licences'!$B$4:$B$503,_calc!$E$189)))</f>
        <v/>
      </c>
      <c r="D187" s="44">
        <f>IF(_calc!$E$189="","",IF(ISNUMBER(INDEX('Licences'!$I$4:$I$503,_calc!$E$189)),TEXT(INDEX('Licences'!$I$4:$I$503,_calc!$E$189),"yyyy-mm-dd"),""))</f>
        <v/>
      </c>
      <c r="E187" s="44">
        <f>IF(_calc!$E$189="","",IF(LEN(INDEX('Licences'!$H$4:$H$503,_calc!$E$189))=0,"",INDEX('Licences'!$H$4:$H$503,_calc!$E$189)))</f>
        <v/>
      </c>
      <c r="F187" s="44">
        <f>IF(_calc!$E$189="","",TRIM(IF(LEN(IF(LEN(INDEX('Licences'!$D$4:$D$503,_calc!$E$189))=0,"",INDEX('Licences'!$D$4:$D$503,_calc!$E$189)))=0,"","Ref: "&amp;IF(LEN(INDEX('Licences'!$D$4:$D$503,_calc!$E$189))=0,"",INDEX('Licences'!$D$4:$D$503,_calc!$E$189))&amp;". ")&amp;IF(LEN(IF(LEN(INDEX('Licences'!$C$4:$C$503,_calc!$E$189))=0,"",INDEX('Licences'!$C$4:$C$503,_calc!$E$189)))=0,"","Issuer: "&amp;IF(LEN(INDEX('Licences'!$C$4:$C$503,_calc!$E$189))=0,"",INDEX('Licences'!$C$4:$C$503,_calc!$E$189))&amp;". ")&amp;IF(LEN(IF(LEN(INDEX('Licences'!$E$4:$E$503,_calc!$E$189))=0,"",INDEX('Licences'!$E$4:$E$503,_calc!$E$189)))=0,"","Site: "&amp;IF(LEN(INDEX('Licences'!$E$4:$E$503,_calc!$E$189))=0,"",INDEX('Licences'!$E$4:$E$503,_calc!$E$189))&amp;". ")&amp;IF(LEN(IF(LEN(INDEX('Licences'!$F$4:$F$503,_calc!$E$189))=0,"",INDEX('Licences'!$F$4:$F$503,_calc!$E$189)))=0,"","Owner: "&amp;IF(LEN(INDEX('Licences'!$F$4:$F$503,_calc!$E$189))=0,"",INDEX('Licences'!$F$4:$F$503,_calc!$E$189))&amp;". ")&amp;IF(LEN(IF(LEN(INDEX('Licences'!$R$4:$R$503,_calc!$E$189))=0,"",INDEX('Licences'!$R$4:$R$503,_calc!$E$189)))=0,"",IF(LEN(INDEX('Licences'!$R$4:$R$503,_calc!$E$189))=0,"",INDEX('Licences'!$R$4:$R$503,_calc!$E$189)))))</f>
        <v/>
      </c>
      <c r="G187" s="44">
        <f>IF(_calc!$E$189="","",IF(LEN(INDEX('Licences'!$Q$4:$Q$503,_calc!$E$189))=0,"",INDEX('Licences'!$Q$4:$Q$503,_calc!$E$189)))</f>
        <v/>
      </c>
      <c r="H187" s="44">
        <f>IF(_calc!$E$189="","",IF(LEN(INDEX('Licences'!$O$4:$O$503,_calc!$E$189))=0,"",INDEX('Licences'!$O$4:$O$503,_calc!$E$189)))</f>
        <v/>
      </c>
      <c r="I187" s="44">
        <f>IF(_calc!$E$189="","",IF(LEN(INDEX('Licences'!$P$4:$P$503,_calc!$E$189))=0,"",INDEX('Licences'!$P$4:$P$503,_calc!$E$189)))</f>
        <v/>
      </c>
      <c r="K187" s="44">
        <f>IF(_calc!$E$189="","",IF(LEN(INDEX('Licences'!$G$4:$G$503,_calc!$E$189))=0,"",INDEX('Licences'!$G$4:$G$503,_calc!$E$189)))</f>
        <v/>
      </c>
    </row>
    <row r="188">
      <c r="A188" s="44">
        <f>IF(_calc!$E$190="","",IF(LEN(INDEX('Licences'!$A$4:$A$503,_calc!$E$190))=0,"",INDEX('Licences'!$A$4:$A$503,_calc!$E$190)))</f>
        <v/>
      </c>
      <c r="B188" s="44">
        <f>IF(_calc!$E$190="","",IF(ISNUMBER(INDEX('Licences'!$J$4:$J$503,_calc!$E$190)),TEXT(INDEX('Licences'!$J$4:$J$503,_calc!$E$190),"yyyy-mm-dd"),""))</f>
        <v/>
      </c>
      <c r="C188" s="44">
        <f>IF(_calc!$E$190="","",IF(LEN(INDEX('Licences'!$B$4:$B$503,_calc!$E$190))=0,"",INDEX('Licences'!$B$4:$B$503,_calc!$E$190)))</f>
        <v/>
      </c>
      <c r="D188" s="44">
        <f>IF(_calc!$E$190="","",IF(ISNUMBER(INDEX('Licences'!$I$4:$I$503,_calc!$E$190)),TEXT(INDEX('Licences'!$I$4:$I$503,_calc!$E$190),"yyyy-mm-dd"),""))</f>
        <v/>
      </c>
      <c r="E188" s="44">
        <f>IF(_calc!$E$190="","",IF(LEN(INDEX('Licences'!$H$4:$H$503,_calc!$E$190))=0,"",INDEX('Licences'!$H$4:$H$503,_calc!$E$190)))</f>
        <v/>
      </c>
      <c r="F188" s="44">
        <f>IF(_calc!$E$190="","",TRIM(IF(LEN(IF(LEN(INDEX('Licences'!$D$4:$D$503,_calc!$E$190))=0,"",INDEX('Licences'!$D$4:$D$503,_calc!$E$190)))=0,"","Ref: "&amp;IF(LEN(INDEX('Licences'!$D$4:$D$503,_calc!$E$190))=0,"",INDEX('Licences'!$D$4:$D$503,_calc!$E$190))&amp;". ")&amp;IF(LEN(IF(LEN(INDEX('Licences'!$C$4:$C$503,_calc!$E$190))=0,"",INDEX('Licences'!$C$4:$C$503,_calc!$E$190)))=0,"","Issuer: "&amp;IF(LEN(INDEX('Licences'!$C$4:$C$503,_calc!$E$190))=0,"",INDEX('Licences'!$C$4:$C$503,_calc!$E$190))&amp;". ")&amp;IF(LEN(IF(LEN(INDEX('Licences'!$E$4:$E$503,_calc!$E$190))=0,"",INDEX('Licences'!$E$4:$E$503,_calc!$E$190)))=0,"","Site: "&amp;IF(LEN(INDEX('Licences'!$E$4:$E$503,_calc!$E$190))=0,"",INDEX('Licences'!$E$4:$E$503,_calc!$E$190))&amp;". ")&amp;IF(LEN(IF(LEN(INDEX('Licences'!$F$4:$F$503,_calc!$E$190))=0,"",INDEX('Licences'!$F$4:$F$503,_calc!$E$190)))=0,"","Owner: "&amp;IF(LEN(INDEX('Licences'!$F$4:$F$503,_calc!$E$190))=0,"",INDEX('Licences'!$F$4:$F$503,_calc!$E$190))&amp;". ")&amp;IF(LEN(IF(LEN(INDEX('Licences'!$R$4:$R$503,_calc!$E$190))=0,"",INDEX('Licences'!$R$4:$R$503,_calc!$E$190)))=0,"",IF(LEN(INDEX('Licences'!$R$4:$R$503,_calc!$E$190))=0,"",INDEX('Licences'!$R$4:$R$503,_calc!$E$190)))))</f>
        <v/>
      </c>
      <c r="G188" s="44">
        <f>IF(_calc!$E$190="","",IF(LEN(INDEX('Licences'!$Q$4:$Q$503,_calc!$E$190))=0,"",INDEX('Licences'!$Q$4:$Q$503,_calc!$E$190)))</f>
        <v/>
      </c>
      <c r="H188" s="44">
        <f>IF(_calc!$E$190="","",IF(LEN(INDEX('Licences'!$O$4:$O$503,_calc!$E$190))=0,"",INDEX('Licences'!$O$4:$O$503,_calc!$E$190)))</f>
        <v/>
      </c>
      <c r="I188" s="44">
        <f>IF(_calc!$E$190="","",IF(LEN(INDEX('Licences'!$P$4:$P$503,_calc!$E$190))=0,"",INDEX('Licences'!$P$4:$P$503,_calc!$E$190)))</f>
        <v/>
      </c>
      <c r="K188" s="44">
        <f>IF(_calc!$E$190="","",IF(LEN(INDEX('Licences'!$G$4:$G$503,_calc!$E$190))=0,"",INDEX('Licences'!$G$4:$G$503,_calc!$E$190)))</f>
        <v/>
      </c>
    </row>
    <row r="189">
      <c r="A189" s="44">
        <f>IF(_calc!$E$191="","",IF(LEN(INDEX('Licences'!$A$4:$A$503,_calc!$E$191))=0,"",INDEX('Licences'!$A$4:$A$503,_calc!$E$191)))</f>
        <v/>
      </c>
      <c r="B189" s="44">
        <f>IF(_calc!$E$191="","",IF(ISNUMBER(INDEX('Licences'!$J$4:$J$503,_calc!$E$191)),TEXT(INDEX('Licences'!$J$4:$J$503,_calc!$E$191),"yyyy-mm-dd"),""))</f>
        <v/>
      </c>
      <c r="C189" s="44">
        <f>IF(_calc!$E$191="","",IF(LEN(INDEX('Licences'!$B$4:$B$503,_calc!$E$191))=0,"",INDEX('Licences'!$B$4:$B$503,_calc!$E$191)))</f>
        <v/>
      </c>
      <c r="D189" s="44">
        <f>IF(_calc!$E$191="","",IF(ISNUMBER(INDEX('Licences'!$I$4:$I$503,_calc!$E$191)),TEXT(INDEX('Licences'!$I$4:$I$503,_calc!$E$191),"yyyy-mm-dd"),""))</f>
        <v/>
      </c>
      <c r="E189" s="44">
        <f>IF(_calc!$E$191="","",IF(LEN(INDEX('Licences'!$H$4:$H$503,_calc!$E$191))=0,"",INDEX('Licences'!$H$4:$H$503,_calc!$E$191)))</f>
        <v/>
      </c>
      <c r="F189" s="44">
        <f>IF(_calc!$E$191="","",TRIM(IF(LEN(IF(LEN(INDEX('Licences'!$D$4:$D$503,_calc!$E$191))=0,"",INDEX('Licences'!$D$4:$D$503,_calc!$E$191)))=0,"","Ref: "&amp;IF(LEN(INDEX('Licences'!$D$4:$D$503,_calc!$E$191))=0,"",INDEX('Licences'!$D$4:$D$503,_calc!$E$191))&amp;". ")&amp;IF(LEN(IF(LEN(INDEX('Licences'!$C$4:$C$503,_calc!$E$191))=0,"",INDEX('Licences'!$C$4:$C$503,_calc!$E$191)))=0,"","Issuer: "&amp;IF(LEN(INDEX('Licences'!$C$4:$C$503,_calc!$E$191))=0,"",INDEX('Licences'!$C$4:$C$503,_calc!$E$191))&amp;". ")&amp;IF(LEN(IF(LEN(INDEX('Licences'!$E$4:$E$503,_calc!$E$191))=0,"",INDEX('Licences'!$E$4:$E$503,_calc!$E$191)))=0,"","Site: "&amp;IF(LEN(INDEX('Licences'!$E$4:$E$503,_calc!$E$191))=0,"",INDEX('Licences'!$E$4:$E$503,_calc!$E$191))&amp;". ")&amp;IF(LEN(IF(LEN(INDEX('Licences'!$F$4:$F$503,_calc!$E$191))=0,"",INDEX('Licences'!$F$4:$F$503,_calc!$E$191)))=0,"","Owner: "&amp;IF(LEN(INDEX('Licences'!$F$4:$F$503,_calc!$E$191))=0,"",INDEX('Licences'!$F$4:$F$503,_calc!$E$191))&amp;". ")&amp;IF(LEN(IF(LEN(INDEX('Licences'!$R$4:$R$503,_calc!$E$191))=0,"",INDEX('Licences'!$R$4:$R$503,_calc!$E$191)))=0,"",IF(LEN(INDEX('Licences'!$R$4:$R$503,_calc!$E$191))=0,"",INDEX('Licences'!$R$4:$R$503,_calc!$E$191)))))</f>
        <v/>
      </c>
      <c r="G189" s="44">
        <f>IF(_calc!$E$191="","",IF(LEN(INDEX('Licences'!$Q$4:$Q$503,_calc!$E$191))=0,"",INDEX('Licences'!$Q$4:$Q$503,_calc!$E$191)))</f>
        <v/>
      </c>
      <c r="H189" s="44">
        <f>IF(_calc!$E$191="","",IF(LEN(INDEX('Licences'!$O$4:$O$503,_calc!$E$191))=0,"",INDEX('Licences'!$O$4:$O$503,_calc!$E$191)))</f>
        <v/>
      </c>
      <c r="I189" s="44">
        <f>IF(_calc!$E$191="","",IF(LEN(INDEX('Licences'!$P$4:$P$503,_calc!$E$191))=0,"",INDEX('Licences'!$P$4:$P$503,_calc!$E$191)))</f>
        <v/>
      </c>
      <c r="K189" s="44">
        <f>IF(_calc!$E$191="","",IF(LEN(INDEX('Licences'!$G$4:$G$503,_calc!$E$191))=0,"",INDEX('Licences'!$G$4:$G$503,_calc!$E$191)))</f>
        <v/>
      </c>
    </row>
    <row r="190">
      <c r="A190" s="44">
        <f>IF(_calc!$E$192="","",IF(LEN(INDEX('Licences'!$A$4:$A$503,_calc!$E$192))=0,"",INDEX('Licences'!$A$4:$A$503,_calc!$E$192)))</f>
        <v/>
      </c>
      <c r="B190" s="44">
        <f>IF(_calc!$E$192="","",IF(ISNUMBER(INDEX('Licences'!$J$4:$J$503,_calc!$E$192)),TEXT(INDEX('Licences'!$J$4:$J$503,_calc!$E$192),"yyyy-mm-dd"),""))</f>
        <v/>
      </c>
      <c r="C190" s="44">
        <f>IF(_calc!$E$192="","",IF(LEN(INDEX('Licences'!$B$4:$B$503,_calc!$E$192))=0,"",INDEX('Licences'!$B$4:$B$503,_calc!$E$192)))</f>
        <v/>
      </c>
      <c r="D190" s="44">
        <f>IF(_calc!$E$192="","",IF(ISNUMBER(INDEX('Licences'!$I$4:$I$503,_calc!$E$192)),TEXT(INDEX('Licences'!$I$4:$I$503,_calc!$E$192),"yyyy-mm-dd"),""))</f>
        <v/>
      </c>
      <c r="E190" s="44">
        <f>IF(_calc!$E$192="","",IF(LEN(INDEX('Licences'!$H$4:$H$503,_calc!$E$192))=0,"",INDEX('Licences'!$H$4:$H$503,_calc!$E$192)))</f>
        <v/>
      </c>
      <c r="F190" s="44">
        <f>IF(_calc!$E$192="","",TRIM(IF(LEN(IF(LEN(INDEX('Licences'!$D$4:$D$503,_calc!$E$192))=0,"",INDEX('Licences'!$D$4:$D$503,_calc!$E$192)))=0,"","Ref: "&amp;IF(LEN(INDEX('Licences'!$D$4:$D$503,_calc!$E$192))=0,"",INDEX('Licences'!$D$4:$D$503,_calc!$E$192))&amp;". ")&amp;IF(LEN(IF(LEN(INDEX('Licences'!$C$4:$C$503,_calc!$E$192))=0,"",INDEX('Licences'!$C$4:$C$503,_calc!$E$192)))=0,"","Issuer: "&amp;IF(LEN(INDEX('Licences'!$C$4:$C$503,_calc!$E$192))=0,"",INDEX('Licences'!$C$4:$C$503,_calc!$E$192))&amp;". ")&amp;IF(LEN(IF(LEN(INDEX('Licences'!$E$4:$E$503,_calc!$E$192))=0,"",INDEX('Licences'!$E$4:$E$503,_calc!$E$192)))=0,"","Site: "&amp;IF(LEN(INDEX('Licences'!$E$4:$E$503,_calc!$E$192))=0,"",INDEX('Licences'!$E$4:$E$503,_calc!$E$192))&amp;". ")&amp;IF(LEN(IF(LEN(INDEX('Licences'!$F$4:$F$503,_calc!$E$192))=0,"",INDEX('Licences'!$F$4:$F$503,_calc!$E$192)))=0,"","Owner: "&amp;IF(LEN(INDEX('Licences'!$F$4:$F$503,_calc!$E$192))=0,"",INDEX('Licences'!$F$4:$F$503,_calc!$E$192))&amp;". ")&amp;IF(LEN(IF(LEN(INDEX('Licences'!$R$4:$R$503,_calc!$E$192))=0,"",INDEX('Licences'!$R$4:$R$503,_calc!$E$192)))=0,"",IF(LEN(INDEX('Licences'!$R$4:$R$503,_calc!$E$192))=0,"",INDEX('Licences'!$R$4:$R$503,_calc!$E$192)))))</f>
        <v/>
      </c>
      <c r="G190" s="44">
        <f>IF(_calc!$E$192="","",IF(LEN(INDEX('Licences'!$Q$4:$Q$503,_calc!$E$192))=0,"",INDEX('Licences'!$Q$4:$Q$503,_calc!$E$192)))</f>
        <v/>
      </c>
      <c r="H190" s="44">
        <f>IF(_calc!$E$192="","",IF(LEN(INDEX('Licences'!$O$4:$O$503,_calc!$E$192))=0,"",INDEX('Licences'!$O$4:$O$503,_calc!$E$192)))</f>
        <v/>
      </c>
      <c r="I190" s="44">
        <f>IF(_calc!$E$192="","",IF(LEN(INDEX('Licences'!$P$4:$P$503,_calc!$E$192))=0,"",INDEX('Licences'!$P$4:$P$503,_calc!$E$192)))</f>
        <v/>
      </c>
      <c r="K190" s="44">
        <f>IF(_calc!$E$192="","",IF(LEN(INDEX('Licences'!$G$4:$G$503,_calc!$E$192))=0,"",INDEX('Licences'!$G$4:$G$503,_calc!$E$192)))</f>
        <v/>
      </c>
    </row>
    <row r="191">
      <c r="A191" s="44">
        <f>IF(_calc!$E$193="","",IF(LEN(INDEX('Licences'!$A$4:$A$503,_calc!$E$193))=0,"",INDEX('Licences'!$A$4:$A$503,_calc!$E$193)))</f>
        <v/>
      </c>
      <c r="B191" s="44">
        <f>IF(_calc!$E$193="","",IF(ISNUMBER(INDEX('Licences'!$J$4:$J$503,_calc!$E$193)),TEXT(INDEX('Licences'!$J$4:$J$503,_calc!$E$193),"yyyy-mm-dd"),""))</f>
        <v/>
      </c>
      <c r="C191" s="44">
        <f>IF(_calc!$E$193="","",IF(LEN(INDEX('Licences'!$B$4:$B$503,_calc!$E$193))=0,"",INDEX('Licences'!$B$4:$B$503,_calc!$E$193)))</f>
        <v/>
      </c>
      <c r="D191" s="44">
        <f>IF(_calc!$E$193="","",IF(ISNUMBER(INDEX('Licences'!$I$4:$I$503,_calc!$E$193)),TEXT(INDEX('Licences'!$I$4:$I$503,_calc!$E$193),"yyyy-mm-dd"),""))</f>
        <v/>
      </c>
      <c r="E191" s="44">
        <f>IF(_calc!$E$193="","",IF(LEN(INDEX('Licences'!$H$4:$H$503,_calc!$E$193))=0,"",INDEX('Licences'!$H$4:$H$503,_calc!$E$193)))</f>
        <v/>
      </c>
      <c r="F191" s="44">
        <f>IF(_calc!$E$193="","",TRIM(IF(LEN(IF(LEN(INDEX('Licences'!$D$4:$D$503,_calc!$E$193))=0,"",INDEX('Licences'!$D$4:$D$503,_calc!$E$193)))=0,"","Ref: "&amp;IF(LEN(INDEX('Licences'!$D$4:$D$503,_calc!$E$193))=0,"",INDEX('Licences'!$D$4:$D$503,_calc!$E$193))&amp;". ")&amp;IF(LEN(IF(LEN(INDEX('Licences'!$C$4:$C$503,_calc!$E$193))=0,"",INDEX('Licences'!$C$4:$C$503,_calc!$E$193)))=0,"","Issuer: "&amp;IF(LEN(INDEX('Licences'!$C$4:$C$503,_calc!$E$193))=0,"",INDEX('Licences'!$C$4:$C$503,_calc!$E$193))&amp;". ")&amp;IF(LEN(IF(LEN(INDEX('Licences'!$E$4:$E$503,_calc!$E$193))=0,"",INDEX('Licences'!$E$4:$E$503,_calc!$E$193)))=0,"","Site: "&amp;IF(LEN(INDEX('Licences'!$E$4:$E$503,_calc!$E$193))=0,"",INDEX('Licences'!$E$4:$E$503,_calc!$E$193))&amp;". ")&amp;IF(LEN(IF(LEN(INDEX('Licences'!$F$4:$F$503,_calc!$E$193))=0,"",INDEX('Licences'!$F$4:$F$503,_calc!$E$193)))=0,"","Owner: "&amp;IF(LEN(INDEX('Licences'!$F$4:$F$503,_calc!$E$193))=0,"",INDEX('Licences'!$F$4:$F$503,_calc!$E$193))&amp;". ")&amp;IF(LEN(IF(LEN(INDEX('Licences'!$R$4:$R$503,_calc!$E$193))=0,"",INDEX('Licences'!$R$4:$R$503,_calc!$E$193)))=0,"",IF(LEN(INDEX('Licences'!$R$4:$R$503,_calc!$E$193))=0,"",INDEX('Licences'!$R$4:$R$503,_calc!$E$193)))))</f>
        <v/>
      </c>
      <c r="G191" s="44">
        <f>IF(_calc!$E$193="","",IF(LEN(INDEX('Licences'!$Q$4:$Q$503,_calc!$E$193))=0,"",INDEX('Licences'!$Q$4:$Q$503,_calc!$E$193)))</f>
        <v/>
      </c>
      <c r="H191" s="44">
        <f>IF(_calc!$E$193="","",IF(LEN(INDEX('Licences'!$O$4:$O$503,_calc!$E$193))=0,"",INDEX('Licences'!$O$4:$O$503,_calc!$E$193)))</f>
        <v/>
      </c>
      <c r="I191" s="44">
        <f>IF(_calc!$E$193="","",IF(LEN(INDEX('Licences'!$P$4:$P$503,_calc!$E$193))=0,"",INDEX('Licences'!$P$4:$P$503,_calc!$E$193)))</f>
        <v/>
      </c>
      <c r="K191" s="44">
        <f>IF(_calc!$E$193="","",IF(LEN(INDEX('Licences'!$G$4:$G$503,_calc!$E$193))=0,"",INDEX('Licences'!$G$4:$G$503,_calc!$E$193)))</f>
        <v/>
      </c>
    </row>
    <row r="192">
      <c r="A192" s="44">
        <f>IF(_calc!$E$194="","",IF(LEN(INDEX('Licences'!$A$4:$A$503,_calc!$E$194))=0,"",INDEX('Licences'!$A$4:$A$503,_calc!$E$194)))</f>
        <v/>
      </c>
      <c r="B192" s="44">
        <f>IF(_calc!$E$194="","",IF(ISNUMBER(INDEX('Licences'!$J$4:$J$503,_calc!$E$194)),TEXT(INDEX('Licences'!$J$4:$J$503,_calc!$E$194),"yyyy-mm-dd"),""))</f>
        <v/>
      </c>
      <c r="C192" s="44">
        <f>IF(_calc!$E$194="","",IF(LEN(INDEX('Licences'!$B$4:$B$503,_calc!$E$194))=0,"",INDEX('Licences'!$B$4:$B$503,_calc!$E$194)))</f>
        <v/>
      </c>
      <c r="D192" s="44">
        <f>IF(_calc!$E$194="","",IF(ISNUMBER(INDEX('Licences'!$I$4:$I$503,_calc!$E$194)),TEXT(INDEX('Licences'!$I$4:$I$503,_calc!$E$194),"yyyy-mm-dd"),""))</f>
        <v/>
      </c>
      <c r="E192" s="44">
        <f>IF(_calc!$E$194="","",IF(LEN(INDEX('Licences'!$H$4:$H$503,_calc!$E$194))=0,"",INDEX('Licences'!$H$4:$H$503,_calc!$E$194)))</f>
        <v/>
      </c>
      <c r="F192" s="44">
        <f>IF(_calc!$E$194="","",TRIM(IF(LEN(IF(LEN(INDEX('Licences'!$D$4:$D$503,_calc!$E$194))=0,"",INDEX('Licences'!$D$4:$D$503,_calc!$E$194)))=0,"","Ref: "&amp;IF(LEN(INDEX('Licences'!$D$4:$D$503,_calc!$E$194))=0,"",INDEX('Licences'!$D$4:$D$503,_calc!$E$194))&amp;". ")&amp;IF(LEN(IF(LEN(INDEX('Licences'!$C$4:$C$503,_calc!$E$194))=0,"",INDEX('Licences'!$C$4:$C$503,_calc!$E$194)))=0,"","Issuer: "&amp;IF(LEN(INDEX('Licences'!$C$4:$C$503,_calc!$E$194))=0,"",INDEX('Licences'!$C$4:$C$503,_calc!$E$194))&amp;". ")&amp;IF(LEN(IF(LEN(INDEX('Licences'!$E$4:$E$503,_calc!$E$194))=0,"",INDEX('Licences'!$E$4:$E$503,_calc!$E$194)))=0,"","Site: "&amp;IF(LEN(INDEX('Licences'!$E$4:$E$503,_calc!$E$194))=0,"",INDEX('Licences'!$E$4:$E$503,_calc!$E$194))&amp;". ")&amp;IF(LEN(IF(LEN(INDEX('Licences'!$F$4:$F$503,_calc!$E$194))=0,"",INDEX('Licences'!$F$4:$F$503,_calc!$E$194)))=0,"","Owner: "&amp;IF(LEN(INDEX('Licences'!$F$4:$F$503,_calc!$E$194))=0,"",INDEX('Licences'!$F$4:$F$503,_calc!$E$194))&amp;". ")&amp;IF(LEN(IF(LEN(INDEX('Licences'!$R$4:$R$503,_calc!$E$194))=0,"",INDEX('Licences'!$R$4:$R$503,_calc!$E$194)))=0,"",IF(LEN(INDEX('Licences'!$R$4:$R$503,_calc!$E$194))=0,"",INDEX('Licences'!$R$4:$R$503,_calc!$E$194)))))</f>
        <v/>
      </c>
      <c r="G192" s="44">
        <f>IF(_calc!$E$194="","",IF(LEN(INDEX('Licences'!$Q$4:$Q$503,_calc!$E$194))=0,"",INDEX('Licences'!$Q$4:$Q$503,_calc!$E$194)))</f>
        <v/>
      </c>
      <c r="H192" s="44">
        <f>IF(_calc!$E$194="","",IF(LEN(INDEX('Licences'!$O$4:$O$503,_calc!$E$194))=0,"",INDEX('Licences'!$O$4:$O$503,_calc!$E$194)))</f>
        <v/>
      </c>
      <c r="I192" s="44">
        <f>IF(_calc!$E$194="","",IF(LEN(INDEX('Licences'!$P$4:$P$503,_calc!$E$194))=0,"",INDEX('Licences'!$P$4:$P$503,_calc!$E$194)))</f>
        <v/>
      </c>
      <c r="K192" s="44">
        <f>IF(_calc!$E$194="","",IF(LEN(INDEX('Licences'!$G$4:$G$503,_calc!$E$194))=0,"",INDEX('Licences'!$G$4:$G$503,_calc!$E$194)))</f>
        <v/>
      </c>
    </row>
    <row r="193">
      <c r="A193" s="44">
        <f>IF(_calc!$E$195="","",IF(LEN(INDEX('Licences'!$A$4:$A$503,_calc!$E$195))=0,"",INDEX('Licences'!$A$4:$A$503,_calc!$E$195)))</f>
        <v/>
      </c>
      <c r="B193" s="44">
        <f>IF(_calc!$E$195="","",IF(ISNUMBER(INDEX('Licences'!$J$4:$J$503,_calc!$E$195)),TEXT(INDEX('Licences'!$J$4:$J$503,_calc!$E$195),"yyyy-mm-dd"),""))</f>
        <v/>
      </c>
      <c r="C193" s="44">
        <f>IF(_calc!$E$195="","",IF(LEN(INDEX('Licences'!$B$4:$B$503,_calc!$E$195))=0,"",INDEX('Licences'!$B$4:$B$503,_calc!$E$195)))</f>
        <v/>
      </c>
      <c r="D193" s="44">
        <f>IF(_calc!$E$195="","",IF(ISNUMBER(INDEX('Licences'!$I$4:$I$503,_calc!$E$195)),TEXT(INDEX('Licences'!$I$4:$I$503,_calc!$E$195),"yyyy-mm-dd"),""))</f>
        <v/>
      </c>
      <c r="E193" s="44">
        <f>IF(_calc!$E$195="","",IF(LEN(INDEX('Licences'!$H$4:$H$503,_calc!$E$195))=0,"",INDEX('Licences'!$H$4:$H$503,_calc!$E$195)))</f>
        <v/>
      </c>
      <c r="F193" s="44">
        <f>IF(_calc!$E$195="","",TRIM(IF(LEN(IF(LEN(INDEX('Licences'!$D$4:$D$503,_calc!$E$195))=0,"",INDEX('Licences'!$D$4:$D$503,_calc!$E$195)))=0,"","Ref: "&amp;IF(LEN(INDEX('Licences'!$D$4:$D$503,_calc!$E$195))=0,"",INDEX('Licences'!$D$4:$D$503,_calc!$E$195))&amp;". ")&amp;IF(LEN(IF(LEN(INDEX('Licences'!$C$4:$C$503,_calc!$E$195))=0,"",INDEX('Licences'!$C$4:$C$503,_calc!$E$195)))=0,"","Issuer: "&amp;IF(LEN(INDEX('Licences'!$C$4:$C$503,_calc!$E$195))=0,"",INDEX('Licences'!$C$4:$C$503,_calc!$E$195))&amp;". ")&amp;IF(LEN(IF(LEN(INDEX('Licences'!$E$4:$E$503,_calc!$E$195))=0,"",INDEX('Licences'!$E$4:$E$503,_calc!$E$195)))=0,"","Site: "&amp;IF(LEN(INDEX('Licences'!$E$4:$E$503,_calc!$E$195))=0,"",INDEX('Licences'!$E$4:$E$503,_calc!$E$195))&amp;". ")&amp;IF(LEN(IF(LEN(INDEX('Licences'!$F$4:$F$503,_calc!$E$195))=0,"",INDEX('Licences'!$F$4:$F$503,_calc!$E$195)))=0,"","Owner: "&amp;IF(LEN(INDEX('Licences'!$F$4:$F$503,_calc!$E$195))=0,"",INDEX('Licences'!$F$4:$F$503,_calc!$E$195))&amp;". ")&amp;IF(LEN(IF(LEN(INDEX('Licences'!$R$4:$R$503,_calc!$E$195))=0,"",INDEX('Licences'!$R$4:$R$503,_calc!$E$195)))=0,"",IF(LEN(INDEX('Licences'!$R$4:$R$503,_calc!$E$195))=0,"",INDEX('Licences'!$R$4:$R$503,_calc!$E$195)))))</f>
        <v/>
      </c>
      <c r="G193" s="44">
        <f>IF(_calc!$E$195="","",IF(LEN(INDEX('Licences'!$Q$4:$Q$503,_calc!$E$195))=0,"",INDEX('Licences'!$Q$4:$Q$503,_calc!$E$195)))</f>
        <v/>
      </c>
      <c r="H193" s="44">
        <f>IF(_calc!$E$195="","",IF(LEN(INDEX('Licences'!$O$4:$O$503,_calc!$E$195))=0,"",INDEX('Licences'!$O$4:$O$503,_calc!$E$195)))</f>
        <v/>
      </c>
      <c r="I193" s="44">
        <f>IF(_calc!$E$195="","",IF(LEN(INDEX('Licences'!$P$4:$P$503,_calc!$E$195))=0,"",INDEX('Licences'!$P$4:$P$503,_calc!$E$195)))</f>
        <v/>
      </c>
      <c r="K193" s="44">
        <f>IF(_calc!$E$195="","",IF(LEN(INDEX('Licences'!$G$4:$G$503,_calc!$E$195))=0,"",INDEX('Licences'!$G$4:$G$503,_calc!$E$195)))</f>
        <v/>
      </c>
    </row>
    <row r="194">
      <c r="A194" s="44">
        <f>IF(_calc!$E$196="","",IF(LEN(INDEX('Licences'!$A$4:$A$503,_calc!$E$196))=0,"",INDEX('Licences'!$A$4:$A$503,_calc!$E$196)))</f>
        <v/>
      </c>
      <c r="B194" s="44">
        <f>IF(_calc!$E$196="","",IF(ISNUMBER(INDEX('Licences'!$J$4:$J$503,_calc!$E$196)),TEXT(INDEX('Licences'!$J$4:$J$503,_calc!$E$196),"yyyy-mm-dd"),""))</f>
        <v/>
      </c>
      <c r="C194" s="44">
        <f>IF(_calc!$E$196="","",IF(LEN(INDEX('Licences'!$B$4:$B$503,_calc!$E$196))=0,"",INDEX('Licences'!$B$4:$B$503,_calc!$E$196)))</f>
        <v/>
      </c>
      <c r="D194" s="44">
        <f>IF(_calc!$E$196="","",IF(ISNUMBER(INDEX('Licences'!$I$4:$I$503,_calc!$E$196)),TEXT(INDEX('Licences'!$I$4:$I$503,_calc!$E$196),"yyyy-mm-dd"),""))</f>
        <v/>
      </c>
      <c r="E194" s="44">
        <f>IF(_calc!$E$196="","",IF(LEN(INDEX('Licences'!$H$4:$H$503,_calc!$E$196))=0,"",INDEX('Licences'!$H$4:$H$503,_calc!$E$196)))</f>
        <v/>
      </c>
      <c r="F194" s="44">
        <f>IF(_calc!$E$196="","",TRIM(IF(LEN(IF(LEN(INDEX('Licences'!$D$4:$D$503,_calc!$E$196))=0,"",INDEX('Licences'!$D$4:$D$503,_calc!$E$196)))=0,"","Ref: "&amp;IF(LEN(INDEX('Licences'!$D$4:$D$503,_calc!$E$196))=0,"",INDEX('Licences'!$D$4:$D$503,_calc!$E$196))&amp;". ")&amp;IF(LEN(IF(LEN(INDEX('Licences'!$C$4:$C$503,_calc!$E$196))=0,"",INDEX('Licences'!$C$4:$C$503,_calc!$E$196)))=0,"","Issuer: "&amp;IF(LEN(INDEX('Licences'!$C$4:$C$503,_calc!$E$196))=0,"",INDEX('Licences'!$C$4:$C$503,_calc!$E$196))&amp;". ")&amp;IF(LEN(IF(LEN(INDEX('Licences'!$E$4:$E$503,_calc!$E$196))=0,"",INDEX('Licences'!$E$4:$E$503,_calc!$E$196)))=0,"","Site: "&amp;IF(LEN(INDEX('Licences'!$E$4:$E$503,_calc!$E$196))=0,"",INDEX('Licences'!$E$4:$E$503,_calc!$E$196))&amp;". ")&amp;IF(LEN(IF(LEN(INDEX('Licences'!$F$4:$F$503,_calc!$E$196))=0,"",INDEX('Licences'!$F$4:$F$503,_calc!$E$196)))=0,"","Owner: "&amp;IF(LEN(INDEX('Licences'!$F$4:$F$503,_calc!$E$196))=0,"",INDEX('Licences'!$F$4:$F$503,_calc!$E$196))&amp;". ")&amp;IF(LEN(IF(LEN(INDEX('Licences'!$R$4:$R$503,_calc!$E$196))=0,"",INDEX('Licences'!$R$4:$R$503,_calc!$E$196)))=0,"",IF(LEN(INDEX('Licences'!$R$4:$R$503,_calc!$E$196))=0,"",INDEX('Licences'!$R$4:$R$503,_calc!$E$196)))))</f>
        <v/>
      </c>
      <c r="G194" s="44">
        <f>IF(_calc!$E$196="","",IF(LEN(INDEX('Licences'!$Q$4:$Q$503,_calc!$E$196))=0,"",INDEX('Licences'!$Q$4:$Q$503,_calc!$E$196)))</f>
        <v/>
      </c>
      <c r="H194" s="44">
        <f>IF(_calc!$E$196="","",IF(LEN(INDEX('Licences'!$O$4:$O$503,_calc!$E$196))=0,"",INDEX('Licences'!$O$4:$O$503,_calc!$E$196)))</f>
        <v/>
      </c>
      <c r="I194" s="44">
        <f>IF(_calc!$E$196="","",IF(LEN(INDEX('Licences'!$P$4:$P$503,_calc!$E$196))=0,"",INDEX('Licences'!$P$4:$P$503,_calc!$E$196)))</f>
        <v/>
      </c>
      <c r="K194" s="44">
        <f>IF(_calc!$E$196="","",IF(LEN(INDEX('Licences'!$G$4:$G$503,_calc!$E$196))=0,"",INDEX('Licences'!$G$4:$G$503,_calc!$E$196)))</f>
        <v/>
      </c>
    </row>
    <row r="195">
      <c r="A195" s="44">
        <f>IF(_calc!$E$197="","",IF(LEN(INDEX('Licences'!$A$4:$A$503,_calc!$E$197))=0,"",INDEX('Licences'!$A$4:$A$503,_calc!$E$197)))</f>
        <v/>
      </c>
      <c r="B195" s="44">
        <f>IF(_calc!$E$197="","",IF(ISNUMBER(INDEX('Licences'!$J$4:$J$503,_calc!$E$197)),TEXT(INDEX('Licences'!$J$4:$J$503,_calc!$E$197),"yyyy-mm-dd"),""))</f>
        <v/>
      </c>
      <c r="C195" s="44">
        <f>IF(_calc!$E$197="","",IF(LEN(INDEX('Licences'!$B$4:$B$503,_calc!$E$197))=0,"",INDEX('Licences'!$B$4:$B$503,_calc!$E$197)))</f>
        <v/>
      </c>
      <c r="D195" s="44">
        <f>IF(_calc!$E$197="","",IF(ISNUMBER(INDEX('Licences'!$I$4:$I$503,_calc!$E$197)),TEXT(INDEX('Licences'!$I$4:$I$503,_calc!$E$197),"yyyy-mm-dd"),""))</f>
        <v/>
      </c>
      <c r="E195" s="44">
        <f>IF(_calc!$E$197="","",IF(LEN(INDEX('Licences'!$H$4:$H$503,_calc!$E$197))=0,"",INDEX('Licences'!$H$4:$H$503,_calc!$E$197)))</f>
        <v/>
      </c>
      <c r="F195" s="44">
        <f>IF(_calc!$E$197="","",TRIM(IF(LEN(IF(LEN(INDEX('Licences'!$D$4:$D$503,_calc!$E$197))=0,"",INDEX('Licences'!$D$4:$D$503,_calc!$E$197)))=0,"","Ref: "&amp;IF(LEN(INDEX('Licences'!$D$4:$D$503,_calc!$E$197))=0,"",INDEX('Licences'!$D$4:$D$503,_calc!$E$197))&amp;". ")&amp;IF(LEN(IF(LEN(INDEX('Licences'!$C$4:$C$503,_calc!$E$197))=0,"",INDEX('Licences'!$C$4:$C$503,_calc!$E$197)))=0,"","Issuer: "&amp;IF(LEN(INDEX('Licences'!$C$4:$C$503,_calc!$E$197))=0,"",INDEX('Licences'!$C$4:$C$503,_calc!$E$197))&amp;". ")&amp;IF(LEN(IF(LEN(INDEX('Licences'!$E$4:$E$503,_calc!$E$197))=0,"",INDEX('Licences'!$E$4:$E$503,_calc!$E$197)))=0,"","Site: "&amp;IF(LEN(INDEX('Licences'!$E$4:$E$503,_calc!$E$197))=0,"",INDEX('Licences'!$E$4:$E$503,_calc!$E$197))&amp;". ")&amp;IF(LEN(IF(LEN(INDEX('Licences'!$F$4:$F$503,_calc!$E$197))=0,"",INDEX('Licences'!$F$4:$F$503,_calc!$E$197)))=0,"","Owner: "&amp;IF(LEN(INDEX('Licences'!$F$4:$F$503,_calc!$E$197))=0,"",INDEX('Licences'!$F$4:$F$503,_calc!$E$197))&amp;". ")&amp;IF(LEN(IF(LEN(INDEX('Licences'!$R$4:$R$503,_calc!$E$197))=0,"",INDEX('Licences'!$R$4:$R$503,_calc!$E$197)))=0,"",IF(LEN(INDEX('Licences'!$R$4:$R$503,_calc!$E$197))=0,"",INDEX('Licences'!$R$4:$R$503,_calc!$E$197)))))</f>
        <v/>
      </c>
      <c r="G195" s="44">
        <f>IF(_calc!$E$197="","",IF(LEN(INDEX('Licences'!$Q$4:$Q$503,_calc!$E$197))=0,"",INDEX('Licences'!$Q$4:$Q$503,_calc!$E$197)))</f>
        <v/>
      </c>
      <c r="H195" s="44">
        <f>IF(_calc!$E$197="","",IF(LEN(INDEX('Licences'!$O$4:$O$503,_calc!$E$197))=0,"",INDEX('Licences'!$O$4:$O$503,_calc!$E$197)))</f>
        <v/>
      </c>
      <c r="I195" s="44">
        <f>IF(_calc!$E$197="","",IF(LEN(INDEX('Licences'!$P$4:$P$503,_calc!$E$197))=0,"",INDEX('Licences'!$P$4:$P$503,_calc!$E$197)))</f>
        <v/>
      </c>
      <c r="K195" s="44">
        <f>IF(_calc!$E$197="","",IF(LEN(INDEX('Licences'!$G$4:$G$503,_calc!$E$197))=0,"",INDEX('Licences'!$G$4:$G$503,_calc!$E$197)))</f>
        <v/>
      </c>
    </row>
    <row r="196">
      <c r="A196" s="44">
        <f>IF(_calc!$E$198="","",IF(LEN(INDEX('Licences'!$A$4:$A$503,_calc!$E$198))=0,"",INDEX('Licences'!$A$4:$A$503,_calc!$E$198)))</f>
        <v/>
      </c>
      <c r="B196" s="44">
        <f>IF(_calc!$E$198="","",IF(ISNUMBER(INDEX('Licences'!$J$4:$J$503,_calc!$E$198)),TEXT(INDEX('Licences'!$J$4:$J$503,_calc!$E$198),"yyyy-mm-dd"),""))</f>
        <v/>
      </c>
      <c r="C196" s="44">
        <f>IF(_calc!$E$198="","",IF(LEN(INDEX('Licences'!$B$4:$B$503,_calc!$E$198))=0,"",INDEX('Licences'!$B$4:$B$503,_calc!$E$198)))</f>
        <v/>
      </c>
      <c r="D196" s="44">
        <f>IF(_calc!$E$198="","",IF(ISNUMBER(INDEX('Licences'!$I$4:$I$503,_calc!$E$198)),TEXT(INDEX('Licences'!$I$4:$I$503,_calc!$E$198),"yyyy-mm-dd"),""))</f>
        <v/>
      </c>
      <c r="E196" s="44">
        <f>IF(_calc!$E$198="","",IF(LEN(INDEX('Licences'!$H$4:$H$503,_calc!$E$198))=0,"",INDEX('Licences'!$H$4:$H$503,_calc!$E$198)))</f>
        <v/>
      </c>
      <c r="F196" s="44">
        <f>IF(_calc!$E$198="","",TRIM(IF(LEN(IF(LEN(INDEX('Licences'!$D$4:$D$503,_calc!$E$198))=0,"",INDEX('Licences'!$D$4:$D$503,_calc!$E$198)))=0,"","Ref: "&amp;IF(LEN(INDEX('Licences'!$D$4:$D$503,_calc!$E$198))=0,"",INDEX('Licences'!$D$4:$D$503,_calc!$E$198))&amp;". ")&amp;IF(LEN(IF(LEN(INDEX('Licences'!$C$4:$C$503,_calc!$E$198))=0,"",INDEX('Licences'!$C$4:$C$503,_calc!$E$198)))=0,"","Issuer: "&amp;IF(LEN(INDEX('Licences'!$C$4:$C$503,_calc!$E$198))=0,"",INDEX('Licences'!$C$4:$C$503,_calc!$E$198))&amp;". ")&amp;IF(LEN(IF(LEN(INDEX('Licences'!$E$4:$E$503,_calc!$E$198))=0,"",INDEX('Licences'!$E$4:$E$503,_calc!$E$198)))=0,"","Site: "&amp;IF(LEN(INDEX('Licences'!$E$4:$E$503,_calc!$E$198))=0,"",INDEX('Licences'!$E$4:$E$503,_calc!$E$198))&amp;". ")&amp;IF(LEN(IF(LEN(INDEX('Licences'!$F$4:$F$503,_calc!$E$198))=0,"",INDEX('Licences'!$F$4:$F$503,_calc!$E$198)))=0,"","Owner: "&amp;IF(LEN(INDEX('Licences'!$F$4:$F$503,_calc!$E$198))=0,"",INDEX('Licences'!$F$4:$F$503,_calc!$E$198))&amp;". ")&amp;IF(LEN(IF(LEN(INDEX('Licences'!$R$4:$R$503,_calc!$E$198))=0,"",INDEX('Licences'!$R$4:$R$503,_calc!$E$198)))=0,"",IF(LEN(INDEX('Licences'!$R$4:$R$503,_calc!$E$198))=0,"",INDEX('Licences'!$R$4:$R$503,_calc!$E$198)))))</f>
        <v/>
      </c>
      <c r="G196" s="44">
        <f>IF(_calc!$E$198="","",IF(LEN(INDEX('Licences'!$Q$4:$Q$503,_calc!$E$198))=0,"",INDEX('Licences'!$Q$4:$Q$503,_calc!$E$198)))</f>
        <v/>
      </c>
      <c r="H196" s="44">
        <f>IF(_calc!$E$198="","",IF(LEN(INDEX('Licences'!$O$4:$O$503,_calc!$E$198))=0,"",INDEX('Licences'!$O$4:$O$503,_calc!$E$198)))</f>
        <v/>
      </c>
      <c r="I196" s="44">
        <f>IF(_calc!$E$198="","",IF(LEN(INDEX('Licences'!$P$4:$P$503,_calc!$E$198))=0,"",INDEX('Licences'!$P$4:$P$503,_calc!$E$198)))</f>
        <v/>
      </c>
      <c r="K196" s="44">
        <f>IF(_calc!$E$198="","",IF(LEN(INDEX('Licences'!$G$4:$G$503,_calc!$E$198))=0,"",INDEX('Licences'!$G$4:$G$503,_calc!$E$198)))</f>
        <v/>
      </c>
    </row>
    <row r="197">
      <c r="A197" s="44">
        <f>IF(_calc!$E$199="","",IF(LEN(INDEX('Licences'!$A$4:$A$503,_calc!$E$199))=0,"",INDEX('Licences'!$A$4:$A$503,_calc!$E$199)))</f>
        <v/>
      </c>
      <c r="B197" s="44">
        <f>IF(_calc!$E$199="","",IF(ISNUMBER(INDEX('Licences'!$J$4:$J$503,_calc!$E$199)),TEXT(INDEX('Licences'!$J$4:$J$503,_calc!$E$199),"yyyy-mm-dd"),""))</f>
        <v/>
      </c>
      <c r="C197" s="44">
        <f>IF(_calc!$E$199="","",IF(LEN(INDEX('Licences'!$B$4:$B$503,_calc!$E$199))=0,"",INDEX('Licences'!$B$4:$B$503,_calc!$E$199)))</f>
        <v/>
      </c>
      <c r="D197" s="44">
        <f>IF(_calc!$E$199="","",IF(ISNUMBER(INDEX('Licences'!$I$4:$I$503,_calc!$E$199)),TEXT(INDEX('Licences'!$I$4:$I$503,_calc!$E$199),"yyyy-mm-dd"),""))</f>
        <v/>
      </c>
      <c r="E197" s="44">
        <f>IF(_calc!$E$199="","",IF(LEN(INDEX('Licences'!$H$4:$H$503,_calc!$E$199))=0,"",INDEX('Licences'!$H$4:$H$503,_calc!$E$199)))</f>
        <v/>
      </c>
      <c r="F197" s="44">
        <f>IF(_calc!$E$199="","",TRIM(IF(LEN(IF(LEN(INDEX('Licences'!$D$4:$D$503,_calc!$E$199))=0,"",INDEX('Licences'!$D$4:$D$503,_calc!$E$199)))=0,"","Ref: "&amp;IF(LEN(INDEX('Licences'!$D$4:$D$503,_calc!$E$199))=0,"",INDEX('Licences'!$D$4:$D$503,_calc!$E$199))&amp;". ")&amp;IF(LEN(IF(LEN(INDEX('Licences'!$C$4:$C$503,_calc!$E$199))=0,"",INDEX('Licences'!$C$4:$C$503,_calc!$E$199)))=0,"","Issuer: "&amp;IF(LEN(INDEX('Licences'!$C$4:$C$503,_calc!$E$199))=0,"",INDEX('Licences'!$C$4:$C$503,_calc!$E$199))&amp;". ")&amp;IF(LEN(IF(LEN(INDEX('Licences'!$E$4:$E$503,_calc!$E$199))=0,"",INDEX('Licences'!$E$4:$E$503,_calc!$E$199)))=0,"","Site: "&amp;IF(LEN(INDEX('Licences'!$E$4:$E$503,_calc!$E$199))=0,"",INDEX('Licences'!$E$4:$E$503,_calc!$E$199))&amp;". ")&amp;IF(LEN(IF(LEN(INDEX('Licences'!$F$4:$F$503,_calc!$E$199))=0,"",INDEX('Licences'!$F$4:$F$503,_calc!$E$199)))=0,"","Owner: "&amp;IF(LEN(INDEX('Licences'!$F$4:$F$503,_calc!$E$199))=0,"",INDEX('Licences'!$F$4:$F$503,_calc!$E$199))&amp;". ")&amp;IF(LEN(IF(LEN(INDEX('Licences'!$R$4:$R$503,_calc!$E$199))=0,"",INDEX('Licences'!$R$4:$R$503,_calc!$E$199)))=0,"",IF(LEN(INDEX('Licences'!$R$4:$R$503,_calc!$E$199))=0,"",INDEX('Licences'!$R$4:$R$503,_calc!$E$199)))))</f>
        <v/>
      </c>
      <c r="G197" s="44">
        <f>IF(_calc!$E$199="","",IF(LEN(INDEX('Licences'!$Q$4:$Q$503,_calc!$E$199))=0,"",INDEX('Licences'!$Q$4:$Q$503,_calc!$E$199)))</f>
        <v/>
      </c>
      <c r="H197" s="44">
        <f>IF(_calc!$E$199="","",IF(LEN(INDEX('Licences'!$O$4:$O$503,_calc!$E$199))=0,"",INDEX('Licences'!$O$4:$O$503,_calc!$E$199)))</f>
        <v/>
      </c>
      <c r="I197" s="44">
        <f>IF(_calc!$E$199="","",IF(LEN(INDEX('Licences'!$P$4:$P$503,_calc!$E$199))=0,"",INDEX('Licences'!$P$4:$P$503,_calc!$E$199)))</f>
        <v/>
      </c>
      <c r="K197" s="44">
        <f>IF(_calc!$E$199="","",IF(LEN(INDEX('Licences'!$G$4:$G$503,_calc!$E$199))=0,"",INDEX('Licences'!$G$4:$G$503,_calc!$E$199)))</f>
        <v/>
      </c>
    </row>
    <row r="198">
      <c r="A198" s="44">
        <f>IF(_calc!$E$200="","",IF(LEN(INDEX('Licences'!$A$4:$A$503,_calc!$E$200))=0,"",INDEX('Licences'!$A$4:$A$503,_calc!$E$200)))</f>
        <v/>
      </c>
      <c r="B198" s="44">
        <f>IF(_calc!$E$200="","",IF(ISNUMBER(INDEX('Licences'!$J$4:$J$503,_calc!$E$200)),TEXT(INDEX('Licences'!$J$4:$J$503,_calc!$E$200),"yyyy-mm-dd"),""))</f>
        <v/>
      </c>
      <c r="C198" s="44">
        <f>IF(_calc!$E$200="","",IF(LEN(INDEX('Licences'!$B$4:$B$503,_calc!$E$200))=0,"",INDEX('Licences'!$B$4:$B$503,_calc!$E$200)))</f>
        <v/>
      </c>
      <c r="D198" s="44">
        <f>IF(_calc!$E$200="","",IF(ISNUMBER(INDEX('Licences'!$I$4:$I$503,_calc!$E$200)),TEXT(INDEX('Licences'!$I$4:$I$503,_calc!$E$200),"yyyy-mm-dd"),""))</f>
        <v/>
      </c>
      <c r="E198" s="44">
        <f>IF(_calc!$E$200="","",IF(LEN(INDEX('Licences'!$H$4:$H$503,_calc!$E$200))=0,"",INDEX('Licences'!$H$4:$H$503,_calc!$E$200)))</f>
        <v/>
      </c>
      <c r="F198" s="44">
        <f>IF(_calc!$E$200="","",TRIM(IF(LEN(IF(LEN(INDEX('Licences'!$D$4:$D$503,_calc!$E$200))=0,"",INDEX('Licences'!$D$4:$D$503,_calc!$E$200)))=0,"","Ref: "&amp;IF(LEN(INDEX('Licences'!$D$4:$D$503,_calc!$E$200))=0,"",INDEX('Licences'!$D$4:$D$503,_calc!$E$200))&amp;". ")&amp;IF(LEN(IF(LEN(INDEX('Licences'!$C$4:$C$503,_calc!$E$200))=0,"",INDEX('Licences'!$C$4:$C$503,_calc!$E$200)))=0,"","Issuer: "&amp;IF(LEN(INDEX('Licences'!$C$4:$C$503,_calc!$E$200))=0,"",INDEX('Licences'!$C$4:$C$503,_calc!$E$200))&amp;". ")&amp;IF(LEN(IF(LEN(INDEX('Licences'!$E$4:$E$503,_calc!$E$200))=0,"",INDEX('Licences'!$E$4:$E$503,_calc!$E$200)))=0,"","Site: "&amp;IF(LEN(INDEX('Licences'!$E$4:$E$503,_calc!$E$200))=0,"",INDEX('Licences'!$E$4:$E$503,_calc!$E$200))&amp;". ")&amp;IF(LEN(IF(LEN(INDEX('Licences'!$F$4:$F$503,_calc!$E$200))=0,"",INDEX('Licences'!$F$4:$F$503,_calc!$E$200)))=0,"","Owner: "&amp;IF(LEN(INDEX('Licences'!$F$4:$F$503,_calc!$E$200))=0,"",INDEX('Licences'!$F$4:$F$503,_calc!$E$200))&amp;". ")&amp;IF(LEN(IF(LEN(INDEX('Licences'!$R$4:$R$503,_calc!$E$200))=0,"",INDEX('Licences'!$R$4:$R$503,_calc!$E$200)))=0,"",IF(LEN(INDEX('Licences'!$R$4:$R$503,_calc!$E$200))=0,"",INDEX('Licences'!$R$4:$R$503,_calc!$E$200)))))</f>
        <v/>
      </c>
      <c r="G198" s="44">
        <f>IF(_calc!$E$200="","",IF(LEN(INDEX('Licences'!$Q$4:$Q$503,_calc!$E$200))=0,"",INDEX('Licences'!$Q$4:$Q$503,_calc!$E$200)))</f>
        <v/>
      </c>
      <c r="H198" s="44">
        <f>IF(_calc!$E$200="","",IF(LEN(INDEX('Licences'!$O$4:$O$503,_calc!$E$200))=0,"",INDEX('Licences'!$O$4:$O$503,_calc!$E$200)))</f>
        <v/>
      </c>
      <c r="I198" s="44">
        <f>IF(_calc!$E$200="","",IF(LEN(INDEX('Licences'!$P$4:$P$503,_calc!$E$200))=0,"",INDEX('Licences'!$P$4:$P$503,_calc!$E$200)))</f>
        <v/>
      </c>
      <c r="K198" s="44">
        <f>IF(_calc!$E$200="","",IF(LEN(INDEX('Licences'!$G$4:$G$503,_calc!$E$200))=0,"",INDEX('Licences'!$G$4:$G$503,_calc!$E$200)))</f>
        <v/>
      </c>
    </row>
    <row r="199">
      <c r="A199" s="44">
        <f>IF(_calc!$E$201="","",IF(LEN(INDEX('Licences'!$A$4:$A$503,_calc!$E$201))=0,"",INDEX('Licences'!$A$4:$A$503,_calc!$E$201)))</f>
        <v/>
      </c>
      <c r="B199" s="44">
        <f>IF(_calc!$E$201="","",IF(ISNUMBER(INDEX('Licences'!$J$4:$J$503,_calc!$E$201)),TEXT(INDEX('Licences'!$J$4:$J$503,_calc!$E$201),"yyyy-mm-dd"),""))</f>
        <v/>
      </c>
      <c r="C199" s="44">
        <f>IF(_calc!$E$201="","",IF(LEN(INDEX('Licences'!$B$4:$B$503,_calc!$E$201))=0,"",INDEX('Licences'!$B$4:$B$503,_calc!$E$201)))</f>
        <v/>
      </c>
      <c r="D199" s="44">
        <f>IF(_calc!$E$201="","",IF(ISNUMBER(INDEX('Licences'!$I$4:$I$503,_calc!$E$201)),TEXT(INDEX('Licences'!$I$4:$I$503,_calc!$E$201),"yyyy-mm-dd"),""))</f>
        <v/>
      </c>
      <c r="E199" s="44">
        <f>IF(_calc!$E$201="","",IF(LEN(INDEX('Licences'!$H$4:$H$503,_calc!$E$201))=0,"",INDEX('Licences'!$H$4:$H$503,_calc!$E$201)))</f>
        <v/>
      </c>
      <c r="F199" s="44">
        <f>IF(_calc!$E$201="","",TRIM(IF(LEN(IF(LEN(INDEX('Licences'!$D$4:$D$503,_calc!$E$201))=0,"",INDEX('Licences'!$D$4:$D$503,_calc!$E$201)))=0,"","Ref: "&amp;IF(LEN(INDEX('Licences'!$D$4:$D$503,_calc!$E$201))=0,"",INDEX('Licences'!$D$4:$D$503,_calc!$E$201))&amp;". ")&amp;IF(LEN(IF(LEN(INDEX('Licences'!$C$4:$C$503,_calc!$E$201))=0,"",INDEX('Licences'!$C$4:$C$503,_calc!$E$201)))=0,"","Issuer: "&amp;IF(LEN(INDEX('Licences'!$C$4:$C$503,_calc!$E$201))=0,"",INDEX('Licences'!$C$4:$C$503,_calc!$E$201))&amp;". ")&amp;IF(LEN(IF(LEN(INDEX('Licences'!$E$4:$E$503,_calc!$E$201))=0,"",INDEX('Licences'!$E$4:$E$503,_calc!$E$201)))=0,"","Site: "&amp;IF(LEN(INDEX('Licences'!$E$4:$E$503,_calc!$E$201))=0,"",INDEX('Licences'!$E$4:$E$503,_calc!$E$201))&amp;". ")&amp;IF(LEN(IF(LEN(INDEX('Licences'!$F$4:$F$503,_calc!$E$201))=0,"",INDEX('Licences'!$F$4:$F$503,_calc!$E$201)))=0,"","Owner: "&amp;IF(LEN(INDEX('Licences'!$F$4:$F$503,_calc!$E$201))=0,"",INDEX('Licences'!$F$4:$F$503,_calc!$E$201))&amp;". ")&amp;IF(LEN(IF(LEN(INDEX('Licences'!$R$4:$R$503,_calc!$E$201))=0,"",INDEX('Licences'!$R$4:$R$503,_calc!$E$201)))=0,"",IF(LEN(INDEX('Licences'!$R$4:$R$503,_calc!$E$201))=0,"",INDEX('Licences'!$R$4:$R$503,_calc!$E$201)))))</f>
        <v/>
      </c>
      <c r="G199" s="44">
        <f>IF(_calc!$E$201="","",IF(LEN(INDEX('Licences'!$Q$4:$Q$503,_calc!$E$201))=0,"",INDEX('Licences'!$Q$4:$Q$503,_calc!$E$201)))</f>
        <v/>
      </c>
      <c r="H199" s="44">
        <f>IF(_calc!$E$201="","",IF(LEN(INDEX('Licences'!$O$4:$O$503,_calc!$E$201))=0,"",INDEX('Licences'!$O$4:$O$503,_calc!$E$201)))</f>
        <v/>
      </c>
      <c r="I199" s="44">
        <f>IF(_calc!$E$201="","",IF(LEN(INDEX('Licences'!$P$4:$P$503,_calc!$E$201))=0,"",INDEX('Licences'!$P$4:$P$503,_calc!$E$201)))</f>
        <v/>
      </c>
      <c r="K199" s="44">
        <f>IF(_calc!$E$201="","",IF(LEN(INDEX('Licences'!$G$4:$G$503,_calc!$E$201))=0,"",INDEX('Licences'!$G$4:$G$503,_calc!$E$201)))</f>
        <v/>
      </c>
    </row>
    <row r="200">
      <c r="A200" s="44">
        <f>IF(_calc!$E$202="","",IF(LEN(INDEX('Licences'!$A$4:$A$503,_calc!$E$202))=0,"",INDEX('Licences'!$A$4:$A$503,_calc!$E$202)))</f>
        <v/>
      </c>
      <c r="B200" s="44">
        <f>IF(_calc!$E$202="","",IF(ISNUMBER(INDEX('Licences'!$J$4:$J$503,_calc!$E$202)),TEXT(INDEX('Licences'!$J$4:$J$503,_calc!$E$202),"yyyy-mm-dd"),""))</f>
        <v/>
      </c>
      <c r="C200" s="44">
        <f>IF(_calc!$E$202="","",IF(LEN(INDEX('Licences'!$B$4:$B$503,_calc!$E$202))=0,"",INDEX('Licences'!$B$4:$B$503,_calc!$E$202)))</f>
        <v/>
      </c>
      <c r="D200" s="44">
        <f>IF(_calc!$E$202="","",IF(ISNUMBER(INDEX('Licences'!$I$4:$I$503,_calc!$E$202)),TEXT(INDEX('Licences'!$I$4:$I$503,_calc!$E$202),"yyyy-mm-dd"),""))</f>
        <v/>
      </c>
      <c r="E200" s="44">
        <f>IF(_calc!$E$202="","",IF(LEN(INDEX('Licences'!$H$4:$H$503,_calc!$E$202))=0,"",INDEX('Licences'!$H$4:$H$503,_calc!$E$202)))</f>
        <v/>
      </c>
      <c r="F200" s="44">
        <f>IF(_calc!$E$202="","",TRIM(IF(LEN(IF(LEN(INDEX('Licences'!$D$4:$D$503,_calc!$E$202))=0,"",INDEX('Licences'!$D$4:$D$503,_calc!$E$202)))=0,"","Ref: "&amp;IF(LEN(INDEX('Licences'!$D$4:$D$503,_calc!$E$202))=0,"",INDEX('Licences'!$D$4:$D$503,_calc!$E$202))&amp;". ")&amp;IF(LEN(IF(LEN(INDEX('Licences'!$C$4:$C$503,_calc!$E$202))=0,"",INDEX('Licences'!$C$4:$C$503,_calc!$E$202)))=0,"","Issuer: "&amp;IF(LEN(INDEX('Licences'!$C$4:$C$503,_calc!$E$202))=0,"",INDEX('Licences'!$C$4:$C$503,_calc!$E$202))&amp;". ")&amp;IF(LEN(IF(LEN(INDEX('Licences'!$E$4:$E$503,_calc!$E$202))=0,"",INDEX('Licences'!$E$4:$E$503,_calc!$E$202)))=0,"","Site: "&amp;IF(LEN(INDEX('Licences'!$E$4:$E$503,_calc!$E$202))=0,"",INDEX('Licences'!$E$4:$E$503,_calc!$E$202))&amp;". ")&amp;IF(LEN(IF(LEN(INDEX('Licences'!$F$4:$F$503,_calc!$E$202))=0,"",INDEX('Licences'!$F$4:$F$503,_calc!$E$202)))=0,"","Owner: "&amp;IF(LEN(INDEX('Licences'!$F$4:$F$503,_calc!$E$202))=0,"",INDEX('Licences'!$F$4:$F$503,_calc!$E$202))&amp;". ")&amp;IF(LEN(IF(LEN(INDEX('Licences'!$R$4:$R$503,_calc!$E$202))=0,"",INDEX('Licences'!$R$4:$R$503,_calc!$E$202)))=0,"",IF(LEN(INDEX('Licences'!$R$4:$R$503,_calc!$E$202))=0,"",INDEX('Licences'!$R$4:$R$503,_calc!$E$202)))))</f>
        <v/>
      </c>
      <c r="G200" s="44">
        <f>IF(_calc!$E$202="","",IF(LEN(INDEX('Licences'!$Q$4:$Q$503,_calc!$E$202))=0,"",INDEX('Licences'!$Q$4:$Q$503,_calc!$E$202)))</f>
        <v/>
      </c>
      <c r="H200" s="44">
        <f>IF(_calc!$E$202="","",IF(LEN(INDEX('Licences'!$O$4:$O$503,_calc!$E$202))=0,"",INDEX('Licences'!$O$4:$O$503,_calc!$E$202)))</f>
        <v/>
      </c>
      <c r="I200" s="44">
        <f>IF(_calc!$E$202="","",IF(LEN(INDEX('Licences'!$P$4:$P$503,_calc!$E$202))=0,"",INDEX('Licences'!$P$4:$P$503,_calc!$E$202)))</f>
        <v/>
      </c>
      <c r="K200" s="44">
        <f>IF(_calc!$E$202="","",IF(LEN(INDEX('Licences'!$G$4:$G$503,_calc!$E$202))=0,"",INDEX('Licences'!$G$4:$G$503,_calc!$E$202)))</f>
        <v/>
      </c>
    </row>
    <row r="201">
      <c r="A201" s="44">
        <f>IF(_calc!$E$203="","",IF(LEN(INDEX('Licences'!$A$4:$A$503,_calc!$E$203))=0,"",INDEX('Licences'!$A$4:$A$503,_calc!$E$203)))</f>
        <v/>
      </c>
      <c r="B201" s="44">
        <f>IF(_calc!$E$203="","",IF(ISNUMBER(INDEX('Licences'!$J$4:$J$503,_calc!$E$203)),TEXT(INDEX('Licences'!$J$4:$J$503,_calc!$E$203),"yyyy-mm-dd"),""))</f>
        <v/>
      </c>
      <c r="C201" s="44">
        <f>IF(_calc!$E$203="","",IF(LEN(INDEX('Licences'!$B$4:$B$503,_calc!$E$203))=0,"",INDEX('Licences'!$B$4:$B$503,_calc!$E$203)))</f>
        <v/>
      </c>
      <c r="D201" s="44">
        <f>IF(_calc!$E$203="","",IF(ISNUMBER(INDEX('Licences'!$I$4:$I$503,_calc!$E$203)),TEXT(INDEX('Licences'!$I$4:$I$503,_calc!$E$203),"yyyy-mm-dd"),""))</f>
        <v/>
      </c>
      <c r="E201" s="44">
        <f>IF(_calc!$E$203="","",IF(LEN(INDEX('Licences'!$H$4:$H$503,_calc!$E$203))=0,"",INDEX('Licences'!$H$4:$H$503,_calc!$E$203)))</f>
        <v/>
      </c>
      <c r="F201" s="44">
        <f>IF(_calc!$E$203="","",TRIM(IF(LEN(IF(LEN(INDEX('Licences'!$D$4:$D$503,_calc!$E$203))=0,"",INDEX('Licences'!$D$4:$D$503,_calc!$E$203)))=0,"","Ref: "&amp;IF(LEN(INDEX('Licences'!$D$4:$D$503,_calc!$E$203))=0,"",INDEX('Licences'!$D$4:$D$503,_calc!$E$203))&amp;". ")&amp;IF(LEN(IF(LEN(INDEX('Licences'!$C$4:$C$503,_calc!$E$203))=0,"",INDEX('Licences'!$C$4:$C$503,_calc!$E$203)))=0,"","Issuer: "&amp;IF(LEN(INDEX('Licences'!$C$4:$C$503,_calc!$E$203))=0,"",INDEX('Licences'!$C$4:$C$503,_calc!$E$203))&amp;". ")&amp;IF(LEN(IF(LEN(INDEX('Licences'!$E$4:$E$503,_calc!$E$203))=0,"",INDEX('Licences'!$E$4:$E$503,_calc!$E$203)))=0,"","Site: "&amp;IF(LEN(INDEX('Licences'!$E$4:$E$503,_calc!$E$203))=0,"",INDEX('Licences'!$E$4:$E$503,_calc!$E$203))&amp;". ")&amp;IF(LEN(IF(LEN(INDEX('Licences'!$F$4:$F$503,_calc!$E$203))=0,"",INDEX('Licences'!$F$4:$F$503,_calc!$E$203)))=0,"","Owner: "&amp;IF(LEN(INDEX('Licences'!$F$4:$F$503,_calc!$E$203))=0,"",INDEX('Licences'!$F$4:$F$503,_calc!$E$203))&amp;". ")&amp;IF(LEN(IF(LEN(INDEX('Licences'!$R$4:$R$503,_calc!$E$203))=0,"",INDEX('Licences'!$R$4:$R$503,_calc!$E$203)))=0,"",IF(LEN(INDEX('Licences'!$R$4:$R$503,_calc!$E$203))=0,"",INDEX('Licences'!$R$4:$R$503,_calc!$E$203)))))</f>
        <v/>
      </c>
      <c r="G201" s="44">
        <f>IF(_calc!$E$203="","",IF(LEN(INDEX('Licences'!$Q$4:$Q$503,_calc!$E$203))=0,"",INDEX('Licences'!$Q$4:$Q$503,_calc!$E$203)))</f>
        <v/>
      </c>
      <c r="H201" s="44">
        <f>IF(_calc!$E$203="","",IF(LEN(INDEX('Licences'!$O$4:$O$503,_calc!$E$203))=0,"",INDEX('Licences'!$O$4:$O$503,_calc!$E$203)))</f>
        <v/>
      </c>
      <c r="I201" s="44">
        <f>IF(_calc!$E$203="","",IF(LEN(INDEX('Licences'!$P$4:$P$503,_calc!$E$203))=0,"",INDEX('Licences'!$P$4:$P$503,_calc!$E$203)))</f>
        <v/>
      </c>
      <c r="K201" s="44">
        <f>IF(_calc!$E$203="","",IF(LEN(INDEX('Licences'!$G$4:$G$503,_calc!$E$203))=0,"",INDEX('Licences'!$G$4:$G$503,_calc!$E$203)))</f>
        <v/>
      </c>
    </row>
    <row r="202">
      <c r="A202" s="44">
        <f>IF(_calc!$E$204="","",IF(LEN(INDEX('Licences'!$A$4:$A$503,_calc!$E$204))=0,"",INDEX('Licences'!$A$4:$A$503,_calc!$E$204)))</f>
        <v/>
      </c>
      <c r="B202" s="44">
        <f>IF(_calc!$E$204="","",IF(ISNUMBER(INDEX('Licences'!$J$4:$J$503,_calc!$E$204)),TEXT(INDEX('Licences'!$J$4:$J$503,_calc!$E$204),"yyyy-mm-dd"),""))</f>
        <v/>
      </c>
      <c r="C202" s="44">
        <f>IF(_calc!$E$204="","",IF(LEN(INDEX('Licences'!$B$4:$B$503,_calc!$E$204))=0,"",INDEX('Licences'!$B$4:$B$503,_calc!$E$204)))</f>
        <v/>
      </c>
      <c r="D202" s="44">
        <f>IF(_calc!$E$204="","",IF(ISNUMBER(INDEX('Licences'!$I$4:$I$503,_calc!$E$204)),TEXT(INDEX('Licences'!$I$4:$I$503,_calc!$E$204),"yyyy-mm-dd"),""))</f>
        <v/>
      </c>
      <c r="E202" s="44">
        <f>IF(_calc!$E$204="","",IF(LEN(INDEX('Licences'!$H$4:$H$503,_calc!$E$204))=0,"",INDEX('Licences'!$H$4:$H$503,_calc!$E$204)))</f>
        <v/>
      </c>
      <c r="F202" s="44">
        <f>IF(_calc!$E$204="","",TRIM(IF(LEN(IF(LEN(INDEX('Licences'!$D$4:$D$503,_calc!$E$204))=0,"",INDEX('Licences'!$D$4:$D$503,_calc!$E$204)))=0,"","Ref: "&amp;IF(LEN(INDEX('Licences'!$D$4:$D$503,_calc!$E$204))=0,"",INDEX('Licences'!$D$4:$D$503,_calc!$E$204))&amp;". ")&amp;IF(LEN(IF(LEN(INDEX('Licences'!$C$4:$C$503,_calc!$E$204))=0,"",INDEX('Licences'!$C$4:$C$503,_calc!$E$204)))=0,"","Issuer: "&amp;IF(LEN(INDEX('Licences'!$C$4:$C$503,_calc!$E$204))=0,"",INDEX('Licences'!$C$4:$C$503,_calc!$E$204))&amp;". ")&amp;IF(LEN(IF(LEN(INDEX('Licences'!$E$4:$E$503,_calc!$E$204))=0,"",INDEX('Licences'!$E$4:$E$503,_calc!$E$204)))=0,"","Site: "&amp;IF(LEN(INDEX('Licences'!$E$4:$E$503,_calc!$E$204))=0,"",INDEX('Licences'!$E$4:$E$503,_calc!$E$204))&amp;". ")&amp;IF(LEN(IF(LEN(INDEX('Licences'!$F$4:$F$503,_calc!$E$204))=0,"",INDEX('Licences'!$F$4:$F$503,_calc!$E$204)))=0,"","Owner: "&amp;IF(LEN(INDEX('Licences'!$F$4:$F$503,_calc!$E$204))=0,"",INDEX('Licences'!$F$4:$F$503,_calc!$E$204))&amp;". ")&amp;IF(LEN(IF(LEN(INDEX('Licences'!$R$4:$R$503,_calc!$E$204))=0,"",INDEX('Licences'!$R$4:$R$503,_calc!$E$204)))=0,"",IF(LEN(INDEX('Licences'!$R$4:$R$503,_calc!$E$204))=0,"",INDEX('Licences'!$R$4:$R$503,_calc!$E$204)))))</f>
        <v/>
      </c>
      <c r="G202" s="44">
        <f>IF(_calc!$E$204="","",IF(LEN(INDEX('Licences'!$Q$4:$Q$503,_calc!$E$204))=0,"",INDEX('Licences'!$Q$4:$Q$503,_calc!$E$204)))</f>
        <v/>
      </c>
      <c r="H202" s="44">
        <f>IF(_calc!$E$204="","",IF(LEN(INDEX('Licences'!$O$4:$O$503,_calc!$E$204))=0,"",INDEX('Licences'!$O$4:$O$503,_calc!$E$204)))</f>
        <v/>
      </c>
      <c r="I202" s="44">
        <f>IF(_calc!$E$204="","",IF(LEN(INDEX('Licences'!$P$4:$P$503,_calc!$E$204))=0,"",INDEX('Licences'!$P$4:$P$503,_calc!$E$204)))</f>
        <v/>
      </c>
      <c r="K202" s="44">
        <f>IF(_calc!$E$204="","",IF(LEN(INDEX('Licences'!$G$4:$G$503,_calc!$E$204))=0,"",INDEX('Licences'!$G$4:$G$503,_calc!$E$204)))</f>
        <v/>
      </c>
    </row>
    <row r="203">
      <c r="A203" s="44">
        <f>IF(_calc!$E$205="","",IF(LEN(INDEX('Licences'!$A$4:$A$503,_calc!$E$205))=0,"",INDEX('Licences'!$A$4:$A$503,_calc!$E$205)))</f>
        <v/>
      </c>
      <c r="B203" s="44">
        <f>IF(_calc!$E$205="","",IF(ISNUMBER(INDEX('Licences'!$J$4:$J$503,_calc!$E$205)),TEXT(INDEX('Licences'!$J$4:$J$503,_calc!$E$205),"yyyy-mm-dd"),""))</f>
        <v/>
      </c>
      <c r="C203" s="44">
        <f>IF(_calc!$E$205="","",IF(LEN(INDEX('Licences'!$B$4:$B$503,_calc!$E$205))=0,"",INDEX('Licences'!$B$4:$B$503,_calc!$E$205)))</f>
        <v/>
      </c>
      <c r="D203" s="44">
        <f>IF(_calc!$E$205="","",IF(ISNUMBER(INDEX('Licences'!$I$4:$I$503,_calc!$E$205)),TEXT(INDEX('Licences'!$I$4:$I$503,_calc!$E$205),"yyyy-mm-dd"),""))</f>
        <v/>
      </c>
      <c r="E203" s="44">
        <f>IF(_calc!$E$205="","",IF(LEN(INDEX('Licences'!$H$4:$H$503,_calc!$E$205))=0,"",INDEX('Licences'!$H$4:$H$503,_calc!$E$205)))</f>
        <v/>
      </c>
      <c r="F203" s="44">
        <f>IF(_calc!$E$205="","",TRIM(IF(LEN(IF(LEN(INDEX('Licences'!$D$4:$D$503,_calc!$E$205))=0,"",INDEX('Licences'!$D$4:$D$503,_calc!$E$205)))=0,"","Ref: "&amp;IF(LEN(INDEX('Licences'!$D$4:$D$503,_calc!$E$205))=0,"",INDEX('Licences'!$D$4:$D$503,_calc!$E$205))&amp;". ")&amp;IF(LEN(IF(LEN(INDEX('Licences'!$C$4:$C$503,_calc!$E$205))=0,"",INDEX('Licences'!$C$4:$C$503,_calc!$E$205)))=0,"","Issuer: "&amp;IF(LEN(INDEX('Licences'!$C$4:$C$503,_calc!$E$205))=0,"",INDEX('Licences'!$C$4:$C$503,_calc!$E$205))&amp;". ")&amp;IF(LEN(IF(LEN(INDEX('Licences'!$E$4:$E$503,_calc!$E$205))=0,"",INDEX('Licences'!$E$4:$E$503,_calc!$E$205)))=0,"","Site: "&amp;IF(LEN(INDEX('Licences'!$E$4:$E$503,_calc!$E$205))=0,"",INDEX('Licences'!$E$4:$E$503,_calc!$E$205))&amp;". ")&amp;IF(LEN(IF(LEN(INDEX('Licences'!$F$4:$F$503,_calc!$E$205))=0,"",INDEX('Licences'!$F$4:$F$503,_calc!$E$205)))=0,"","Owner: "&amp;IF(LEN(INDEX('Licences'!$F$4:$F$503,_calc!$E$205))=0,"",INDEX('Licences'!$F$4:$F$503,_calc!$E$205))&amp;". ")&amp;IF(LEN(IF(LEN(INDEX('Licences'!$R$4:$R$503,_calc!$E$205))=0,"",INDEX('Licences'!$R$4:$R$503,_calc!$E$205)))=0,"",IF(LEN(INDEX('Licences'!$R$4:$R$503,_calc!$E$205))=0,"",INDEX('Licences'!$R$4:$R$503,_calc!$E$205)))))</f>
        <v/>
      </c>
      <c r="G203" s="44">
        <f>IF(_calc!$E$205="","",IF(LEN(INDEX('Licences'!$Q$4:$Q$503,_calc!$E$205))=0,"",INDEX('Licences'!$Q$4:$Q$503,_calc!$E$205)))</f>
        <v/>
      </c>
      <c r="H203" s="44">
        <f>IF(_calc!$E$205="","",IF(LEN(INDEX('Licences'!$O$4:$O$503,_calc!$E$205))=0,"",INDEX('Licences'!$O$4:$O$503,_calc!$E$205)))</f>
        <v/>
      </c>
      <c r="I203" s="44">
        <f>IF(_calc!$E$205="","",IF(LEN(INDEX('Licences'!$P$4:$P$503,_calc!$E$205))=0,"",INDEX('Licences'!$P$4:$P$503,_calc!$E$205)))</f>
        <v/>
      </c>
      <c r="K203" s="44">
        <f>IF(_calc!$E$205="","",IF(LEN(INDEX('Licences'!$G$4:$G$503,_calc!$E$205))=0,"",INDEX('Licences'!$G$4:$G$503,_calc!$E$205)))</f>
        <v/>
      </c>
    </row>
    <row r="204">
      <c r="A204" s="44">
        <f>IF(_calc!$E$206="","",IF(LEN(INDEX('Licences'!$A$4:$A$503,_calc!$E$206))=0,"",INDEX('Licences'!$A$4:$A$503,_calc!$E$206)))</f>
        <v/>
      </c>
      <c r="B204" s="44">
        <f>IF(_calc!$E$206="","",IF(ISNUMBER(INDEX('Licences'!$J$4:$J$503,_calc!$E$206)),TEXT(INDEX('Licences'!$J$4:$J$503,_calc!$E$206),"yyyy-mm-dd"),""))</f>
        <v/>
      </c>
      <c r="C204" s="44">
        <f>IF(_calc!$E$206="","",IF(LEN(INDEX('Licences'!$B$4:$B$503,_calc!$E$206))=0,"",INDEX('Licences'!$B$4:$B$503,_calc!$E$206)))</f>
        <v/>
      </c>
      <c r="D204" s="44">
        <f>IF(_calc!$E$206="","",IF(ISNUMBER(INDEX('Licences'!$I$4:$I$503,_calc!$E$206)),TEXT(INDEX('Licences'!$I$4:$I$503,_calc!$E$206),"yyyy-mm-dd"),""))</f>
        <v/>
      </c>
      <c r="E204" s="44">
        <f>IF(_calc!$E$206="","",IF(LEN(INDEX('Licences'!$H$4:$H$503,_calc!$E$206))=0,"",INDEX('Licences'!$H$4:$H$503,_calc!$E$206)))</f>
        <v/>
      </c>
      <c r="F204" s="44">
        <f>IF(_calc!$E$206="","",TRIM(IF(LEN(IF(LEN(INDEX('Licences'!$D$4:$D$503,_calc!$E$206))=0,"",INDEX('Licences'!$D$4:$D$503,_calc!$E$206)))=0,"","Ref: "&amp;IF(LEN(INDEX('Licences'!$D$4:$D$503,_calc!$E$206))=0,"",INDEX('Licences'!$D$4:$D$503,_calc!$E$206))&amp;". ")&amp;IF(LEN(IF(LEN(INDEX('Licences'!$C$4:$C$503,_calc!$E$206))=0,"",INDEX('Licences'!$C$4:$C$503,_calc!$E$206)))=0,"","Issuer: "&amp;IF(LEN(INDEX('Licences'!$C$4:$C$503,_calc!$E$206))=0,"",INDEX('Licences'!$C$4:$C$503,_calc!$E$206))&amp;". ")&amp;IF(LEN(IF(LEN(INDEX('Licences'!$E$4:$E$503,_calc!$E$206))=0,"",INDEX('Licences'!$E$4:$E$503,_calc!$E$206)))=0,"","Site: "&amp;IF(LEN(INDEX('Licences'!$E$4:$E$503,_calc!$E$206))=0,"",INDEX('Licences'!$E$4:$E$503,_calc!$E$206))&amp;". ")&amp;IF(LEN(IF(LEN(INDEX('Licences'!$F$4:$F$503,_calc!$E$206))=0,"",INDEX('Licences'!$F$4:$F$503,_calc!$E$206)))=0,"","Owner: "&amp;IF(LEN(INDEX('Licences'!$F$4:$F$503,_calc!$E$206))=0,"",INDEX('Licences'!$F$4:$F$503,_calc!$E$206))&amp;". ")&amp;IF(LEN(IF(LEN(INDEX('Licences'!$R$4:$R$503,_calc!$E$206))=0,"",INDEX('Licences'!$R$4:$R$503,_calc!$E$206)))=0,"",IF(LEN(INDEX('Licences'!$R$4:$R$503,_calc!$E$206))=0,"",INDEX('Licences'!$R$4:$R$503,_calc!$E$206)))))</f>
        <v/>
      </c>
      <c r="G204" s="44">
        <f>IF(_calc!$E$206="","",IF(LEN(INDEX('Licences'!$Q$4:$Q$503,_calc!$E$206))=0,"",INDEX('Licences'!$Q$4:$Q$503,_calc!$E$206)))</f>
        <v/>
      </c>
      <c r="H204" s="44">
        <f>IF(_calc!$E$206="","",IF(LEN(INDEX('Licences'!$O$4:$O$503,_calc!$E$206))=0,"",INDEX('Licences'!$O$4:$O$503,_calc!$E$206)))</f>
        <v/>
      </c>
      <c r="I204" s="44">
        <f>IF(_calc!$E$206="","",IF(LEN(INDEX('Licences'!$P$4:$P$503,_calc!$E$206))=0,"",INDEX('Licences'!$P$4:$P$503,_calc!$E$206)))</f>
        <v/>
      </c>
      <c r="K204" s="44">
        <f>IF(_calc!$E$206="","",IF(LEN(INDEX('Licences'!$G$4:$G$503,_calc!$E$206))=0,"",INDEX('Licences'!$G$4:$G$503,_calc!$E$206)))</f>
        <v/>
      </c>
    </row>
    <row r="205">
      <c r="A205" s="44">
        <f>IF(_calc!$E$207="","",IF(LEN(INDEX('Licences'!$A$4:$A$503,_calc!$E$207))=0,"",INDEX('Licences'!$A$4:$A$503,_calc!$E$207)))</f>
        <v/>
      </c>
      <c r="B205" s="44">
        <f>IF(_calc!$E$207="","",IF(ISNUMBER(INDEX('Licences'!$J$4:$J$503,_calc!$E$207)),TEXT(INDEX('Licences'!$J$4:$J$503,_calc!$E$207),"yyyy-mm-dd"),""))</f>
        <v/>
      </c>
      <c r="C205" s="44">
        <f>IF(_calc!$E$207="","",IF(LEN(INDEX('Licences'!$B$4:$B$503,_calc!$E$207))=0,"",INDEX('Licences'!$B$4:$B$503,_calc!$E$207)))</f>
        <v/>
      </c>
      <c r="D205" s="44">
        <f>IF(_calc!$E$207="","",IF(ISNUMBER(INDEX('Licences'!$I$4:$I$503,_calc!$E$207)),TEXT(INDEX('Licences'!$I$4:$I$503,_calc!$E$207),"yyyy-mm-dd"),""))</f>
        <v/>
      </c>
      <c r="E205" s="44">
        <f>IF(_calc!$E$207="","",IF(LEN(INDEX('Licences'!$H$4:$H$503,_calc!$E$207))=0,"",INDEX('Licences'!$H$4:$H$503,_calc!$E$207)))</f>
        <v/>
      </c>
      <c r="F205" s="44">
        <f>IF(_calc!$E$207="","",TRIM(IF(LEN(IF(LEN(INDEX('Licences'!$D$4:$D$503,_calc!$E$207))=0,"",INDEX('Licences'!$D$4:$D$503,_calc!$E$207)))=0,"","Ref: "&amp;IF(LEN(INDEX('Licences'!$D$4:$D$503,_calc!$E$207))=0,"",INDEX('Licences'!$D$4:$D$503,_calc!$E$207))&amp;". ")&amp;IF(LEN(IF(LEN(INDEX('Licences'!$C$4:$C$503,_calc!$E$207))=0,"",INDEX('Licences'!$C$4:$C$503,_calc!$E$207)))=0,"","Issuer: "&amp;IF(LEN(INDEX('Licences'!$C$4:$C$503,_calc!$E$207))=0,"",INDEX('Licences'!$C$4:$C$503,_calc!$E$207))&amp;". ")&amp;IF(LEN(IF(LEN(INDEX('Licences'!$E$4:$E$503,_calc!$E$207))=0,"",INDEX('Licences'!$E$4:$E$503,_calc!$E$207)))=0,"","Site: "&amp;IF(LEN(INDEX('Licences'!$E$4:$E$503,_calc!$E$207))=0,"",INDEX('Licences'!$E$4:$E$503,_calc!$E$207))&amp;". ")&amp;IF(LEN(IF(LEN(INDEX('Licences'!$F$4:$F$503,_calc!$E$207))=0,"",INDEX('Licences'!$F$4:$F$503,_calc!$E$207)))=0,"","Owner: "&amp;IF(LEN(INDEX('Licences'!$F$4:$F$503,_calc!$E$207))=0,"",INDEX('Licences'!$F$4:$F$503,_calc!$E$207))&amp;". ")&amp;IF(LEN(IF(LEN(INDEX('Licences'!$R$4:$R$503,_calc!$E$207))=0,"",INDEX('Licences'!$R$4:$R$503,_calc!$E$207)))=0,"",IF(LEN(INDEX('Licences'!$R$4:$R$503,_calc!$E$207))=0,"",INDEX('Licences'!$R$4:$R$503,_calc!$E$207)))))</f>
        <v/>
      </c>
      <c r="G205" s="44">
        <f>IF(_calc!$E$207="","",IF(LEN(INDEX('Licences'!$Q$4:$Q$503,_calc!$E$207))=0,"",INDEX('Licences'!$Q$4:$Q$503,_calc!$E$207)))</f>
        <v/>
      </c>
      <c r="H205" s="44">
        <f>IF(_calc!$E$207="","",IF(LEN(INDEX('Licences'!$O$4:$O$503,_calc!$E$207))=0,"",INDEX('Licences'!$O$4:$O$503,_calc!$E$207)))</f>
        <v/>
      </c>
      <c r="I205" s="44">
        <f>IF(_calc!$E$207="","",IF(LEN(INDEX('Licences'!$P$4:$P$503,_calc!$E$207))=0,"",INDEX('Licences'!$P$4:$P$503,_calc!$E$207)))</f>
        <v/>
      </c>
      <c r="K205" s="44">
        <f>IF(_calc!$E$207="","",IF(LEN(INDEX('Licences'!$G$4:$G$503,_calc!$E$207))=0,"",INDEX('Licences'!$G$4:$G$503,_calc!$E$207)))</f>
        <v/>
      </c>
    </row>
    <row r="206">
      <c r="A206" s="44">
        <f>IF(_calc!$E$208="","",IF(LEN(INDEX('Licences'!$A$4:$A$503,_calc!$E$208))=0,"",INDEX('Licences'!$A$4:$A$503,_calc!$E$208)))</f>
        <v/>
      </c>
      <c r="B206" s="44">
        <f>IF(_calc!$E$208="","",IF(ISNUMBER(INDEX('Licences'!$J$4:$J$503,_calc!$E$208)),TEXT(INDEX('Licences'!$J$4:$J$503,_calc!$E$208),"yyyy-mm-dd"),""))</f>
        <v/>
      </c>
      <c r="C206" s="44">
        <f>IF(_calc!$E$208="","",IF(LEN(INDEX('Licences'!$B$4:$B$503,_calc!$E$208))=0,"",INDEX('Licences'!$B$4:$B$503,_calc!$E$208)))</f>
        <v/>
      </c>
      <c r="D206" s="44">
        <f>IF(_calc!$E$208="","",IF(ISNUMBER(INDEX('Licences'!$I$4:$I$503,_calc!$E$208)),TEXT(INDEX('Licences'!$I$4:$I$503,_calc!$E$208),"yyyy-mm-dd"),""))</f>
        <v/>
      </c>
      <c r="E206" s="44">
        <f>IF(_calc!$E$208="","",IF(LEN(INDEX('Licences'!$H$4:$H$503,_calc!$E$208))=0,"",INDEX('Licences'!$H$4:$H$503,_calc!$E$208)))</f>
        <v/>
      </c>
      <c r="F206" s="44">
        <f>IF(_calc!$E$208="","",TRIM(IF(LEN(IF(LEN(INDEX('Licences'!$D$4:$D$503,_calc!$E$208))=0,"",INDEX('Licences'!$D$4:$D$503,_calc!$E$208)))=0,"","Ref: "&amp;IF(LEN(INDEX('Licences'!$D$4:$D$503,_calc!$E$208))=0,"",INDEX('Licences'!$D$4:$D$503,_calc!$E$208))&amp;". ")&amp;IF(LEN(IF(LEN(INDEX('Licences'!$C$4:$C$503,_calc!$E$208))=0,"",INDEX('Licences'!$C$4:$C$503,_calc!$E$208)))=0,"","Issuer: "&amp;IF(LEN(INDEX('Licences'!$C$4:$C$503,_calc!$E$208))=0,"",INDEX('Licences'!$C$4:$C$503,_calc!$E$208))&amp;". ")&amp;IF(LEN(IF(LEN(INDEX('Licences'!$E$4:$E$503,_calc!$E$208))=0,"",INDEX('Licences'!$E$4:$E$503,_calc!$E$208)))=0,"","Site: "&amp;IF(LEN(INDEX('Licences'!$E$4:$E$503,_calc!$E$208))=0,"",INDEX('Licences'!$E$4:$E$503,_calc!$E$208))&amp;". ")&amp;IF(LEN(IF(LEN(INDEX('Licences'!$F$4:$F$503,_calc!$E$208))=0,"",INDEX('Licences'!$F$4:$F$503,_calc!$E$208)))=0,"","Owner: "&amp;IF(LEN(INDEX('Licences'!$F$4:$F$503,_calc!$E$208))=0,"",INDEX('Licences'!$F$4:$F$503,_calc!$E$208))&amp;". ")&amp;IF(LEN(IF(LEN(INDEX('Licences'!$R$4:$R$503,_calc!$E$208))=0,"",INDEX('Licences'!$R$4:$R$503,_calc!$E$208)))=0,"",IF(LEN(INDEX('Licences'!$R$4:$R$503,_calc!$E$208))=0,"",INDEX('Licences'!$R$4:$R$503,_calc!$E$208)))))</f>
        <v/>
      </c>
      <c r="G206" s="44">
        <f>IF(_calc!$E$208="","",IF(LEN(INDEX('Licences'!$Q$4:$Q$503,_calc!$E$208))=0,"",INDEX('Licences'!$Q$4:$Q$503,_calc!$E$208)))</f>
        <v/>
      </c>
      <c r="H206" s="44">
        <f>IF(_calc!$E$208="","",IF(LEN(INDEX('Licences'!$O$4:$O$503,_calc!$E$208))=0,"",INDEX('Licences'!$O$4:$O$503,_calc!$E$208)))</f>
        <v/>
      </c>
      <c r="I206" s="44">
        <f>IF(_calc!$E$208="","",IF(LEN(INDEX('Licences'!$P$4:$P$503,_calc!$E$208))=0,"",INDEX('Licences'!$P$4:$P$503,_calc!$E$208)))</f>
        <v/>
      </c>
      <c r="K206" s="44">
        <f>IF(_calc!$E$208="","",IF(LEN(INDEX('Licences'!$G$4:$G$503,_calc!$E$208))=0,"",INDEX('Licences'!$G$4:$G$503,_calc!$E$208)))</f>
        <v/>
      </c>
    </row>
    <row r="207">
      <c r="A207" s="44">
        <f>IF(_calc!$E$209="","",IF(LEN(INDEX('Licences'!$A$4:$A$503,_calc!$E$209))=0,"",INDEX('Licences'!$A$4:$A$503,_calc!$E$209)))</f>
        <v/>
      </c>
      <c r="B207" s="44">
        <f>IF(_calc!$E$209="","",IF(ISNUMBER(INDEX('Licences'!$J$4:$J$503,_calc!$E$209)),TEXT(INDEX('Licences'!$J$4:$J$503,_calc!$E$209),"yyyy-mm-dd"),""))</f>
        <v/>
      </c>
      <c r="C207" s="44">
        <f>IF(_calc!$E$209="","",IF(LEN(INDEX('Licences'!$B$4:$B$503,_calc!$E$209))=0,"",INDEX('Licences'!$B$4:$B$503,_calc!$E$209)))</f>
        <v/>
      </c>
      <c r="D207" s="44">
        <f>IF(_calc!$E$209="","",IF(ISNUMBER(INDEX('Licences'!$I$4:$I$503,_calc!$E$209)),TEXT(INDEX('Licences'!$I$4:$I$503,_calc!$E$209),"yyyy-mm-dd"),""))</f>
        <v/>
      </c>
      <c r="E207" s="44">
        <f>IF(_calc!$E$209="","",IF(LEN(INDEX('Licences'!$H$4:$H$503,_calc!$E$209))=0,"",INDEX('Licences'!$H$4:$H$503,_calc!$E$209)))</f>
        <v/>
      </c>
      <c r="F207" s="44">
        <f>IF(_calc!$E$209="","",TRIM(IF(LEN(IF(LEN(INDEX('Licences'!$D$4:$D$503,_calc!$E$209))=0,"",INDEX('Licences'!$D$4:$D$503,_calc!$E$209)))=0,"","Ref: "&amp;IF(LEN(INDEX('Licences'!$D$4:$D$503,_calc!$E$209))=0,"",INDEX('Licences'!$D$4:$D$503,_calc!$E$209))&amp;". ")&amp;IF(LEN(IF(LEN(INDEX('Licences'!$C$4:$C$503,_calc!$E$209))=0,"",INDEX('Licences'!$C$4:$C$503,_calc!$E$209)))=0,"","Issuer: "&amp;IF(LEN(INDEX('Licences'!$C$4:$C$503,_calc!$E$209))=0,"",INDEX('Licences'!$C$4:$C$503,_calc!$E$209))&amp;". ")&amp;IF(LEN(IF(LEN(INDEX('Licences'!$E$4:$E$503,_calc!$E$209))=0,"",INDEX('Licences'!$E$4:$E$503,_calc!$E$209)))=0,"","Site: "&amp;IF(LEN(INDEX('Licences'!$E$4:$E$503,_calc!$E$209))=0,"",INDEX('Licences'!$E$4:$E$503,_calc!$E$209))&amp;". ")&amp;IF(LEN(IF(LEN(INDEX('Licences'!$F$4:$F$503,_calc!$E$209))=0,"",INDEX('Licences'!$F$4:$F$503,_calc!$E$209)))=0,"","Owner: "&amp;IF(LEN(INDEX('Licences'!$F$4:$F$503,_calc!$E$209))=0,"",INDEX('Licences'!$F$4:$F$503,_calc!$E$209))&amp;". ")&amp;IF(LEN(IF(LEN(INDEX('Licences'!$R$4:$R$503,_calc!$E$209))=0,"",INDEX('Licences'!$R$4:$R$503,_calc!$E$209)))=0,"",IF(LEN(INDEX('Licences'!$R$4:$R$503,_calc!$E$209))=0,"",INDEX('Licences'!$R$4:$R$503,_calc!$E$209)))))</f>
        <v/>
      </c>
      <c r="G207" s="44">
        <f>IF(_calc!$E$209="","",IF(LEN(INDEX('Licences'!$Q$4:$Q$503,_calc!$E$209))=0,"",INDEX('Licences'!$Q$4:$Q$503,_calc!$E$209)))</f>
        <v/>
      </c>
      <c r="H207" s="44">
        <f>IF(_calc!$E$209="","",IF(LEN(INDEX('Licences'!$O$4:$O$503,_calc!$E$209))=0,"",INDEX('Licences'!$O$4:$O$503,_calc!$E$209)))</f>
        <v/>
      </c>
      <c r="I207" s="44">
        <f>IF(_calc!$E$209="","",IF(LEN(INDEX('Licences'!$P$4:$P$503,_calc!$E$209))=0,"",INDEX('Licences'!$P$4:$P$503,_calc!$E$209)))</f>
        <v/>
      </c>
      <c r="K207" s="44">
        <f>IF(_calc!$E$209="","",IF(LEN(INDEX('Licences'!$G$4:$G$503,_calc!$E$209))=0,"",INDEX('Licences'!$G$4:$G$503,_calc!$E$209)))</f>
        <v/>
      </c>
    </row>
    <row r="208">
      <c r="A208" s="44">
        <f>IF(_calc!$E$210="","",IF(LEN(INDEX('Licences'!$A$4:$A$503,_calc!$E$210))=0,"",INDEX('Licences'!$A$4:$A$503,_calc!$E$210)))</f>
        <v/>
      </c>
      <c r="B208" s="44">
        <f>IF(_calc!$E$210="","",IF(ISNUMBER(INDEX('Licences'!$J$4:$J$503,_calc!$E$210)),TEXT(INDEX('Licences'!$J$4:$J$503,_calc!$E$210),"yyyy-mm-dd"),""))</f>
        <v/>
      </c>
      <c r="C208" s="44">
        <f>IF(_calc!$E$210="","",IF(LEN(INDEX('Licences'!$B$4:$B$503,_calc!$E$210))=0,"",INDEX('Licences'!$B$4:$B$503,_calc!$E$210)))</f>
        <v/>
      </c>
      <c r="D208" s="44">
        <f>IF(_calc!$E$210="","",IF(ISNUMBER(INDEX('Licences'!$I$4:$I$503,_calc!$E$210)),TEXT(INDEX('Licences'!$I$4:$I$503,_calc!$E$210),"yyyy-mm-dd"),""))</f>
        <v/>
      </c>
      <c r="E208" s="44">
        <f>IF(_calc!$E$210="","",IF(LEN(INDEX('Licences'!$H$4:$H$503,_calc!$E$210))=0,"",INDEX('Licences'!$H$4:$H$503,_calc!$E$210)))</f>
        <v/>
      </c>
      <c r="F208" s="44">
        <f>IF(_calc!$E$210="","",TRIM(IF(LEN(IF(LEN(INDEX('Licences'!$D$4:$D$503,_calc!$E$210))=0,"",INDEX('Licences'!$D$4:$D$503,_calc!$E$210)))=0,"","Ref: "&amp;IF(LEN(INDEX('Licences'!$D$4:$D$503,_calc!$E$210))=0,"",INDEX('Licences'!$D$4:$D$503,_calc!$E$210))&amp;". ")&amp;IF(LEN(IF(LEN(INDEX('Licences'!$C$4:$C$503,_calc!$E$210))=0,"",INDEX('Licences'!$C$4:$C$503,_calc!$E$210)))=0,"","Issuer: "&amp;IF(LEN(INDEX('Licences'!$C$4:$C$503,_calc!$E$210))=0,"",INDEX('Licences'!$C$4:$C$503,_calc!$E$210))&amp;". ")&amp;IF(LEN(IF(LEN(INDEX('Licences'!$E$4:$E$503,_calc!$E$210))=0,"",INDEX('Licences'!$E$4:$E$503,_calc!$E$210)))=0,"","Site: "&amp;IF(LEN(INDEX('Licences'!$E$4:$E$503,_calc!$E$210))=0,"",INDEX('Licences'!$E$4:$E$503,_calc!$E$210))&amp;". ")&amp;IF(LEN(IF(LEN(INDEX('Licences'!$F$4:$F$503,_calc!$E$210))=0,"",INDEX('Licences'!$F$4:$F$503,_calc!$E$210)))=0,"","Owner: "&amp;IF(LEN(INDEX('Licences'!$F$4:$F$503,_calc!$E$210))=0,"",INDEX('Licences'!$F$4:$F$503,_calc!$E$210))&amp;". ")&amp;IF(LEN(IF(LEN(INDEX('Licences'!$R$4:$R$503,_calc!$E$210))=0,"",INDEX('Licences'!$R$4:$R$503,_calc!$E$210)))=0,"",IF(LEN(INDEX('Licences'!$R$4:$R$503,_calc!$E$210))=0,"",INDEX('Licences'!$R$4:$R$503,_calc!$E$210)))))</f>
        <v/>
      </c>
      <c r="G208" s="44">
        <f>IF(_calc!$E$210="","",IF(LEN(INDEX('Licences'!$Q$4:$Q$503,_calc!$E$210))=0,"",INDEX('Licences'!$Q$4:$Q$503,_calc!$E$210)))</f>
        <v/>
      </c>
      <c r="H208" s="44">
        <f>IF(_calc!$E$210="","",IF(LEN(INDEX('Licences'!$O$4:$O$503,_calc!$E$210))=0,"",INDEX('Licences'!$O$4:$O$503,_calc!$E$210)))</f>
        <v/>
      </c>
      <c r="I208" s="44">
        <f>IF(_calc!$E$210="","",IF(LEN(INDEX('Licences'!$P$4:$P$503,_calc!$E$210))=0,"",INDEX('Licences'!$P$4:$P$503,_calc!$E$210)))</f>
        <v/>
      </c>
      <c r="K208" s="44">
        <f>IF(_calc!$E$210="","",IF(LEN(INDEX('Licences'!$G$4:$G$503,_calc!$E$210))=0,"",INDEX('Licences'!$G$4:$G$503,_calc!$E$210)))</f>
        <v/>
      </c>
    </row>
    <row r="209">
      <c r="A209" s="44">
        <f>IF(_calc!$E$211="","",IF(LEN(INDEX('Licences'!$A$4:$A$503,_calc!$E$211))=0,"",INDEX('Licences'!$A$4:$A$503,_calc!$E$211)))</f>
        <v/>
      </c>
      <c r="B209" s="44">
        <f>IF(_calc!$E$211="","",IF(ISNUMBER(INDEX('Licences'!$J$4:$J$503,_calc!$E$211)),TEXT(INDEX('Licences'!$J$4:$J$503,_calc!$E$211),"yyyy-mm-dd"),""))</f>
        <v/>
      </c>
      <c r="C209" s="44">
        <f>IF(_calc!$E$211="","",IF(LEN(INDEX('Licences'!$B$4:$B$503,_calc!$E$211))=0,"",INDEX('Licences'!$B$4:$B$503,_calc!$E$211)))</f>
        <v/>
      </c>
      <c r="D209" s="44">
        <f>IF(_calc!$E$211="","",IF(ISNUMBER(INDEX('Licences'!$I$4:$I$503,_calc!$E$211)),TEXT(INDEX('Licences'!$I$4:$I$503,_calc!$E$211),"yyyy-mm-dd"),""))</f>
        <v/>
      </c>
      <c r="E209" s="44">
        <f>IF(_calc!$E$211="","",IF(LEN(INDEX('Licences'!$H$4:$H$503,_calc!$E$211))=0,"",INDEX('Licences'!$H$4:$H$503,_calc!$E$211)))</f>
        <v/>
      </c>
      <c r="F209" s="44">
        <f>IF(_calc!$E$211="","",TRIM(IF(LEN(IF(LEN(INDEX('Licences'!$D$4:$D$503,_calc!$E$211))=0,"",INDEX('Licences'!$D$4:$D$503,_calc!$E$211)))=0,"","Ref: "&amp;IF(LEN(INDEX('Licences'!$D$4:$D$503,_calc!$E$211))=0,"",INDEX('Licences'!$D$4:$D$503,_calc!$E$211))&amp;". ")&amp;IF(LEN(IF(LEN(INDEX('Licences'!$C$4:$C$503,_calc!$E$211))=0,"",INDEX('Licences'!$C$4:$C$503,_calc!$E$211)))=0,"","Issuer: "&amp;IF(LEN(INDEX('Licences'!$C$4:$C$503,_calc!$E$211))=0,"",INDEX('Licences'!$C$4:$C$503,_calc!$E$211))&amp;". ")&amp;IF(LEN(IF(LEN(INDEX('Licences'!$E$4:$E$503,_calc!$E$211))=0,"",INDEX('Licences'!$E$4:$E$503,_calc!$E$211)))=0,"","Site: "&amp;IF(LEN(INDEX('Licences'!$E$4:$E$503,_calc!$E$211))=0,"",INDEX('Licences'!$E$4:$E$503,_calc!$E$211))&amp;". ")&amp;IF(LEN(IF(LEN(INDEX('Licences'!$F$4:$F$503,_calc!$E$211))=0,"",INDEX('Licences'!$F$4:$F$503,_calc!$E$211)))=0,"","Owner: "&amp;IF(LEN(INDEX('Licences'!$F$4:$F$503,_calc!$E$211))=0,"",INDEX('Licences'!$F$4:$F$503,_calc!$E$211))&amp;". ")&amp;IF(LEN(IF(LEN(INDEX('Licences'!$R$4:$R$503,_calc!$E$211))=0,"",INDEX('Licences'!$R$4:$R$503,_calc!$E$211)))=0,"",IF(LEN(INDEX('Licences'!$R$4:$R$503,_calc!$E$211))=0,"",INDEX('Licences'!$R$4:$R$503,_calc!$E$211)))))</f>
        <v/>
      </c>
      <c r="G209" s="44">
        <f>IF(_calc!$E$211="","",IF(LEN(INDEX('Licences'!$Q$4:$Q$503,_calc!$E$211))=0,"",INDEX('Licences'!$Q$4:$Q$503,_calc!$E$211)))</f>
        <v/>
      </c>
      <c r="H209" s="44">
        <f>IF(_calc!$E$211="","",IF(LEN(INDEX('Licences'!$O$4:$O$503,_calc!$E$211))=0,"",INDEX('Licences'!$O$4:$O$503,_calc!$E$211)))</f>
        <v/>
      </c>
      <c r="I209" s="44">
        <f>IF(_calc!$E$211="","",IF(LEN(INDEX('Licences'!$P$4:$P$503,_calc!$E$211))=0,"",INDEX('Licences'!$P$4:$P$503,_calc!$E$211)))</f>
        <v/>
      </c>
      <c r="K209" s="44">
        <f>IF(_calc!$E$211="","",IF(LEN(INDEX('Licences'!$G$4:$G$503,_calc!$E$211))=0,"",INDEX('Licences'!$G$4:$G$503,_calc!$E$211)))</f>
        <v/>
      </c>
    </row>
    <row r="210">
      <c r="A210" s="44">
        <f>IF(_calc!$E$212="","",IF(LEN(INDEX('Licences'!$A$4:$A$503,_calc!$E$212))=0,"",INDEX('Licences'!$A$4:$A$503,_calc!$E$212)))</f>
        <v/>
      </c>
      <c r="B210" s="44">
        <f>IF(_calc!$E$212="","",IF(ISNUMBER(INDEX('Licences'!$J$4:$J$503,_calc!$E$212)),TEXT(INDEX('Licences'!$J$4:$J$503,_calc!$E$212),"yyyy-mm-dd"),""))</f>
        <v/>
      </c>
      <c r="C210" s="44">
        <f>IF(_calc!$E$212="","",IF(LEN(INDEX('Licences'!$B$4:$B$503,_calc!$E$212))=0,"",INDEX('Licences'!$B$4:$B$503,_calc!$E$212)))</f>
        <v/>
      </c>
      <c r="D210" s="44">
        <f>IF(_calc!$E$212="","",IF(ISNUMBER(INDEX('Licences'!$I$4:$I$503,_calc!$E$212)),TEXT(INDEX('Licences'!$I$4:$I$503,_calc!$E$212),"yyyy-mm-dd"),""))</f>
        <v/>
      </c>
      <c r="E210" s="44">
        <f>IF(_calc!$E$212="","",IF(LEN(INDEX('Licences'!$H$4:$H$503,_calc!$E$212))=0,"",INDEX('Licences'!$H$4:$H$503,_calc!$E$212)))</f>
        <v/>
      </c>
      <c r="F210" s="44">
        <f>IF(_calc!$E$212="","",TRIM(IF(LEN(IF(LEN(INDEX('Licences'!$D$4:$D$503,_calc!$E$212))=0,"",INDEX('Licences'!$D$4:$D$503,_calc!$E$212)))=0,"","Ref: "&amp;IF(LEN(INDEX('Licences'!$D$4:$D$503,_calc!$E$212))=0,"",INDEX('Licences'!$D$4:$D$503,_calc!$E$212))&amp;". ")&amp;IF(LEN(IF(LEN(INDEX('Licences'!$C$4:$C$503,_calc!$E$212))=0,"",INDEX('Licences'!$C$4:$C$503,_calc!$E$212)))=0,"","Issuer: "&amp;IF(LEN(INDEX('Licences'!$C$4:$C$503,_calc!$E$212))=0,"",INDEX('Licences'!$C$4:$C$503,_calc!$E$212))&amp;". ")&amp;IF(LEN(IF(LEN(INDEX('Licences'!$E$4:$E$503,_calc!$E$212))=0,"",INDEX('Licences'!$E$4:$E$503,_calc!$E$212)))=0,"","Site: "&amp;IF(LEN(INDEX('Licences'!$E$4:$E$503,_calc!$E$212))=0,"",INDEX('Licences'!$E$4:$E$503,_calc!$E$212))&amp;". ")&amp;IF(LEN(IF(LEN(INDEX('Licences'!$F$4:$F$503,_calc!$E$212))=0,"",INDEX('Licences'!$F$4:$F$503,_calc!$E$212)))=0,"","Owner: "&amp;IF(LEN(INDEX('Licences'!$F$4:$F$503,_calc!$E$212))=0,"",INDEX('Licences'!$F$4:$F$503,_calc!$E$212))&amp;". ")&amp;IF(LEN(IF(LEN(INDEX('Licences'!$R$4:$R$503,_calc!$E$212))=0,"",INDEX('Licences'!$R$4:$R$503,_calc!$E$212)))=0,"",IF(LEN(INDEX('Licences'!$R$4:$R$503,_calc!$E$212))=0,"",INDEX('Licences'!$R$4:$R$503,_calc!$E$212)))))</f>
        <v/>
      </c>
      <c r="G210" s="44">
        <f>IF(_calc!$E$212="","",IF(LEN(INDEX('Licences'!$Q$4:$Q$503,_calc!$E$212))=0,"",INDEX('Licences'!$Q$4:$Q$503,_calc!$E$212)))</f>
        <v/>
      </c>
      <c r="H210" s="44">
        <f>IF(_calc!$E$212="","",IF(LEN(INDEX('Licences'!$O$4:$O$503,_calc!$E$212))=0,"",INDEX('Licences'!$O$4:$O$503,_calc!$E$212)))</f>
        <v/>
      </c>
      <c r="I210" s="44">
        <f>IF(_calc!$E$212="","",IF(LEN(INDEX('Licences'!$P$4:$P$503,_calc!$E$212))=0,"",INDEX('Licences'!$P$4:$P$503,_calc!$E$212)))</f>
        <v/>
      </c>
      <c r="K210" s="44">
        <f>IF(_calc!$E$212="","",IF(LEN(INDEX('Licences'!$G$4:$G$503,_calc!$E$212))=0,"",INDEX('Licences'!$G$4:$G$503,_calc!$E$212)))</f>
        <v/>
      </c>
    </row>
    <row r="211">
      <c r="A211" s="44">
        <f>IF(_calc!$E$213="","",IF(LEN(INDEX('Licences'!$A$4:$A$503,_calc!$E$213))=0,"",INDEX('Licences'!$A$4:$A$503,_calc!$E$213)))</f>
        <v/>
      </c>
      <c r="B211" s="44">
        <f>IF(_calc!$E$213="","",IF(ISNUMBER(INDEX('Licences'!$J$4:$J$503,_calc!$E$213)),TEXT(INDEX('Licences'!$J$4:$J$503,_calc!$E$213),"yyyy-mm-dd"),""))</f>
        <v/>
      </c>
      <c r="C211" s="44">
        <f>IF(_calc!$E$213="","",IF(LEN(INDEX('Licences'!$B$4:$B$503,_calc!$E$213))=0,"",INDEX('Licences'!$B$4:$B$503,_calc!$E$213)))</f>
        <v/>
      </c>
      <c r="D211" s="44">
        <f>IF(_calc!$E$213="","",IF(ISNUMBER(INDEX('Licences'!$I$4:$I$503,_calc!$E$213)),TEXT(INDEX('Licences'!$I$4:$I$503,_calc!$E$213),"yyyy-mm-dd"),""))</f>
        <v/>
      </c>
      <c r="E211" s="44">
        <f>IF(_calc!$E$213="","",IF(LEN(INDEX('Licences'!$H$4:$H$503,_calc!$E$213))=0,"",INDEX('Licences'!$H$4:$H$503,_calc!$E$213)))</f>
        <v/>
      </c>
      <c r="F211" s="44">
        <f>IF(_calc!$E$213="","",TRIM(IF(LEN(IF(LEN(INDEX('Licences'!$D$4:$D$503,_calc!$E$213))=0,"",INDEX('Licences'!$D$4:$D$503,_calc!$E$213)))=0,"","Ref: "&amp;IF(LEN(INDEX('Licences'!$D$4:$D$503,_calc!$E$213))=0,"",INDEX('Licences'!$D$4:$D$503,_calc!$E$213))&amp;". ")&amp;IF(LEN(IF(LEN(INDEX('Licences'!$C$4:$C$503,_calc!$E$213))=0,"",INDEX('Licences'!$C$4:$C$503,_calc!$E$213)))=0,"","Issuer: "&amp;IF(LEN(INDEX('Licences'!$C$4:$C$503,_calc!$E$213))=0,"",INDEX('Licences'!$C$4:$C$503,_calc!$E$213))&amp;". ")&amp;IF(LEN(IF(LEN(INDEX('Licences'!$E$4:$E$503,_calc!$E$213))=0,"",INDEX('Licences'!$E$4:$E$503,_calc!$E$213)))=0,"","Site: "&amp;IF(LEN(INDEX('Licences'!$E$4:$E$503,_calc!$E$213))=0,"",INDEX('Licences'!$E$4:$E$503,_calc!$E$213))&amp;". ")&amp;IF(LEN(IF(LEN(INDEX('Licences'!$F$4:$F$503,_calc!$E$213))=0,"",INDEX('Licences'!$F$4:$F$503,_calc!$E$213)))=0,"","Owner: "&amp;IF(LEN(INDEX('Licences'!$F$4:$F$503,_calc!$E$213))=0,"",INDEX('Licences'!$F$4:$F$503,_calc!$E$213))&amp;". ")&amp;IF(LEN(IF(LEN(INDEX('Licences'!$R$4:$R$503,_calc!$E$213))=0,"",INDEX('Licences'!$R$4:$R$503,_calc!$E$213)))=0,"",IF(LEN(INDEX('Licences'!$R$4:$R$503,_calc!$E$213))=0,"",INDEX('Licences'!$R$4:$R$503,_calc!$E$213)))))</f>
        <v/>
      </c>
      <c r="G211" s="44">
        <f>IF(_calc!$E$213="","",IF(LEN(INDEX('Licences'!$Q$4:$Q$503,_calc!$E$213))=0,"",INDEX('Licences'!$Q$4:$Q$503,_calc!$E$213)))</f>
        <v/>
      </c>
      <c r="H211" s="44">
        <f>IF(_calc!$E$213="","",IF(LEN(INDEX('Licences'!$O$4:$O$503,_calc!$E$213))=0,"",INDEX('Licences'!$O$4:$O$503,_calc!$E$213)))</f>
        <v/>
      </c>
      <c r="I211" s="44">
        <f>IF(_calc!$E$213="","",IF(LEN(INDEX('Licences'!$P$4:$P$503,_calc!$E$213))=0,"",INDEX('Licences'!$P$4:$P$503,_calc!$E$213)))</f>
        <v/>
      </c>
      <c r="K211" s="44">
        <f>IF(_calc!$E$213="","",IF(LEN(INDEX('Licences'!$G$4:$G$503,_calc!$E$213))=0,"",INDEX('Licences'!$G$4:$G$503,_calc!$E$213)))</f>
        <v/>
      </c>
    </row>
    <row r="212">
      <c r="A212" s="44">
        <f>IF(_calc!$E$214="","",IF(LEN(INDEX('Licences'!$A$4:$A$503,_calc!$E$214))=0,"",INDEX('Licences'!$A$4:$A$503,_calc!$E$214)))</f>
        <v/>
      </c>
      <c r="B212" s="44">
        <f>IF(_calc!$E$214="","",IF(ISNUMBER(INDEX('Licences'!$J$4:$J$503,_calc!$E$214)),TEXT(INDEX('Licences'!$J$4:$J$503,_calc!$E$214),"yyyy-mm-dd"),""))</f>
        <v/>
      </c>
      <c r="C212" s="44">
        <f>IF(_calc!$E$214="","",IF(LEN(INDEX('Licences'!$B$4:$B$503,_calc!$E$214))=0,"",INDEX('Licences'!$B$4:$B$503,_calc!$E$214)))</f>
        <v/>
      </c>
      <c r="D212" s="44">
        <f>IF(_calc!$E$214="","",IF(ISNUMBER(INDEX('Licences'!$I$4:$I$503,_calc!$E$214)),TEXT(INDEX('Licences'!$I$4:$I$503,_calc!$E$214),"yyyy-mm-dd"),""))</f>
        <v/>
      </c>
      <c r="E212" s="44">
        <f>IF(_calc!$E$214="","",IF(LEN(INDEX('Licences'!$H$4:$H$503,_calc!$E$214))=0,"",INDEX('Licences'!$H$4:$H$503,_calc!$E$214)))</f>
        <v/>
      </c>
      <c r="F212" s="44">
        <f>IF(_calc!$E$214="","",TRIM(IF(LEN(IF(LEN(INDEX('Licences'!$D$4:$D$503,_calc!$E$214))=0,"",INDEX('Licences'!$D$4:$D$503,_calc!$E$214)))=0,"","Ref: "&amp;IF(LEN(INDEX('Licences'!$D$4:$D$503,_calc!$E$214))=0,"",INDEX('Licences'!$D$4:$D$503,_calc!$E$214))&amp;". ")&amp;IF(LEN(IF(LEN(INDEX('Licences'!$C$4:$C$503,_calc!$E$214))=0,"",INDEX('Licences'!$C$4:$C$503,_calc!$E$214)))=0,"","Issuer: "&amp;IF(LEN(INDEX('Licences'!$C$4:$C$503,_calc!$E$214))=0,"",INDEX('Licences'!$C$4:$C$503,_calc!$E$214))&amp;". ")&amp;IF(LEN(IF(LEN(INDEX('Licences'!$E$4:$E$503,_calc!$E$214))=0,"",INDEX('Licences'!$E$4:$E$503,_calc!$E$214)))=0,"","Site: "&amp;IF(LEN(INDEX('Licences'!$E$4:$E$503,_calc!$E$214))=0,"",INDEX('Licences'!$E$4:$E$503,_calc!$E$214))&amp;". ")&amp;IF(LEN(IF(LEN(INDEX('Licences'!$F$4:$F$503,_calc!$E$214))=0,"",INDEX('Licences'!$F$4:$F$503,_calc!$E$214)))=0,"","Owner: "&amp;IF(LEN(INDEX('Licences'!$F$4:$F$503,_calc!$E$214))=0,"",INDEX('Licences'!$F$4:$F$503,_calc!$E$214))&amp;". ")&amp;IF(LEN(IF(LEN(INDEX('Licences'!$R$4:$R$503,_calc!$E$214))=0,"",INDEX('Licences'!$R$4:$R$503,_calc!$E$214)))=0,"",IF(LEN(INDEX('Licences'!$R$4:$R$503,_calc!$E$214))=0,"",INDEX('Licences'!$R$4:$R$503,_calc!$E$214)))))</f>
        <v/>
      </c>
      <c r="G212" s="44">
        <f>IF(_calc!$E$214="","",IF(LEN(INDEX('Licences'!$Q$4:$Q$503,_calc!$E$214))=0,"",INDEX('Licences'!$Q$4:$Q$503,_calc!$E$214)))</f>
        <v/>
      </c>
      <c r="H212" s="44">
        <f>IF(_calc!$E$214="","",IF(LEN(INDEX('Licences'!$O$4:$O$503,_calc!$E$214))=0,"",INDEX('Licences'!$O$4:$O$503,_calc!$E$214)))</f>
        <v/>
      </c>
      <c r="I212" s="44">
        <f>IF(_calc!$E$214="","",IF(LEN(INDEX('Licences'!$P$4:$P$503,_calc!$E$214))=0,"",INDEX('Licences'!$P$4:$P$503,_calc!$E$214)))</f>
        <v/>
      </c>
      <c r="K212" s="44">
        <f>IF(_calc!$E$214="","",IF(LEN(INDEX('Licences'!$G$4:$G$503,_calc!$E$214))=0,"",INDEX('Licences'!$G$4:$G$503,_calc!$E$214)))</f>
        <v/>
      </c>
    </row>
    <row r="213">
      <c r="A213" s="44">
        <f>IF(_calc!$E$215="","",IF(LEN(INDEX('Licences'!$A$4:$A$503,_calc!$E$215))=0,"",INDEX('Licences'!$A$4:$A$503,_calc!$E$215)))</f>
        <v/>
      </c>
      <c r="B213" s="44">
        <f>IF(_calc!$E$215="","",IF(ISNUMBER(INDEX('Licences'!$J$4:$J$503,_calc!$E$215)),TEXT(INDEX('Licences'!$J$4:$J$503,_calc!$E$215),"yyyy-mm-dd"),""))</f>
        <v/>
      </c>
      <c r="C213" s="44">
        <f>IF(_calc!$E$215="","",IF(LEN(INDEX('Licences'!$B$4:$B$503,_calc!$E$215))=0,"",INDEX('Licences'!$B$4:$B$503,_calc!$E$215)))</f>
        <v/>
      </c>
      <c r="D213" s="44">
        <f>IF(_calc!$E$215="","",IF(ISNUMBER(INDEX('Licences'!$I$4:$I$503,_calc!$E$215)),TEXT(INDEX('Licences'!$I$4:$I$503,_calc!$E$215),"yyyy-mm-dd"),""))</f>
        <v/>
      </c>
      <c r="E213" s="44">
        <f>IF(_calc!$E$215="","",IF(LEN(INDEX('Licences'!$H$4:$H$503,_calc!$E$215))=0,"",INDEX('Licences'!$H$4:$H$503,_calc!$E$215)))</f>
        <v/>
      </c>
      <c r="F213" s="44">
        <f>IF(_calc!$E$215="","",TRIM(IF(LEN(IF(LEN(INDEX('Licences'!$D$4:$D$503,_calc!$E$215))=0,"",INDEX('Licences'!$D$4:$D$503,_calc!$E$215)))=0,"","Ref: "&amp;IF(LEN(INDEX('Licences'!$D$4:$D$503,_calc!$E$215))=0,"",INDEX('Licences'!$D$4:$D$503,_calc!$E$215))&amp;". ")&amp;IF(LEN(IF(LEN(INDEX('Licences'!$C$4:$C$503,_calc!$E$215))=0,"",INDEX('Licences'!$C$4:$C$503,_calc!$E$215)))=0,"","Issuer: "&amp;IF(LEN(INDEX('Licences'!$C$4:$C$503,_calc!$E$215))=0,"",INDEX('Licences'!$C$4:$C$503,_calc!$E$215))&amp;". ")&amp;IF(LEN(IF(LEN(INDEX('Licences'!$E$4:$E$503,_calc!$E$215))=0,"",INDEX('Licences'!$E$4:$E$503,_calc!$E$215)))=0,"","Site: "&amp;IF(LEN(INDEX('Licences'!$E$4:$E$503,_calc!$E$215))=0,"",INDEX('Licences'!$E$4:$E$503,_calc!$E$215))&amp;". ")&amp;IF(LEN(IF(LEN(INDEX('Licences'!$F$4:$F$503,_calc!$E$215))=0,"",INDEX('Licences'!$F$4:$F$503,_calc!$E$215)))=0,"","Owner: "&amp;IF(LEN(INDEX('Licences'!$F$4:$F$503,_calc!$E$215))=0,"",INDEX('Licences'!$F$4:$F$503,_calc!$E$215))&amp;". ")&amp;IF(LEN(IF(LEN(INDEX('Licences'!$R$4:$R$503,_calc!$E$215))=0,"",INDEX('Licences'!$R$4:$R$503,_calc!$E$215)))=0,"",IF(LEN(INDEX('Licences'!$R$4:$R$503,_calc!$E$215))=0,"",INDEX('Licences'!$R$4:$R$503,_calc!$E$215)))))</f>
        <v/>
      </c>
      <c r="G213" s="44">
        <f>IF(_calc!$E$215="","",IF(LEN(INDEX('Licences'!$Q$4:$Q$503,_calc!$E$215))=0,"",INDEX('Licences'!$Q$4:$Q$503,_calc!$E$215)))</f>
        <v/>
      </c>
      <c r="H213" s="44">
        <f>IF(_calc!$E$215="","",IF(LEN(INDEX('Licences'!$O$4:$O$503,_calc!$E$215))=0,"",INDEX('Licences'!$O$4:$O$503,_calc!$E$215)))</f>
        <v/>
      </c>
      <c r="I213" s="44">
        <f>IF(_calc!$E$215="","",IF(LEN(INDEX('Licences'!$P$4:$P$503,_calc!$E$215))=0,"",INDEX('Licences'!$P$4:$P$503,_calc!$E$215)))</f>
        <v/>
      </c>
      <c r="K213" s="44">
        <f>IF(_calc!$E$215="","",IF(LEN(INDEX('Licences'!$G$4:$G$503,_calc!$E$215))=0,"",INDEX('Licences'!$G$4:$G$503,_calc!$E$215)))</f>
        <v/>
      </c>
    </row>
    <row r="214">
      <c r="A214" s="44">
        <f>IF(_calc!$E$216="","",IF(LEN(INDEX('Licences'!$A$4:$A$503,_calc!$E$216))=0,"",INDEX('Licences'!$A$4:$A$503,_calc!$E$216)))</f>
        <v/>
      </c>
      <c r="B214" s="44">
        <f>IF(_calc!$E$216="","",IF(ISNUMBER(INDEX('Licences'!$J$4:$J$503,_calc!$E$216)),TEXT(INDEX('Licences'!$J$4:$J$503,_calc!$E$216),"yyyy-mm-dd"),""))</f>
        <v/>
      </c>
      <c r="C214" s="44">
        <f>IF(_calc!$E$216="","",IF(LEN(INDEX('Licences'!$B$4:$B$503,_calc!$E$216))=0,"",INDEX('Licences'!$B$4:$B$503,_calc!$E$216)))</f>
        <v/>
      </c>
      <c r="D214" s="44">
        <f>IF(_calc!$E$216="","",IF(ISNUMBER(INDEX('Licences'!$I$4:$I$503,_calc!$E$216)),TEXT(INDEX('Licences'!$I$4:$I$503,_calc!$E$216),"yyyy-mm-dd"),""))</f>
        <v/>
      </c>
      <c r="E214" s="44">
        <f>IF(_calc!$E$216="","",IF(LEN(INDEX('Licences'!$H$4:$H$503,_calc!$E$216))=0,"",INDEX('Licences'!$H$4:$H$503,_calc!$E$216)))</f>
        <v/>
      </c>
      <c r="F214" s="44">
        <f>IF(_calc!$E$216="","",TRIM(IF(LEN(IF(LEN(INDEX('Licences'!$D$4:$D$503,_calc!$E$216))=0,"",INDEX('Licences'!$D$4:$D$503,_calc!$E$216)))=0,"","Ref: "&amp;IF(LEN(INDEX('Licences'!$D$4:$D$503,_calc!$E$216))=0,"",INDEX('Licences'!$D$4:$D$503,_calc!$E$216))&amp;". ")&amp;IF(LEN(IF(LEN(INDEX('Licences'!$C$4:$C$503,_calc!$E$216))=0,"",INDEX('Licences'!$C$4:$C$503,_calc!$E$216)))=0,"","Issuer: "&amp;IF(LEN(INDEX('Licences'!$C$4:$C$503,_calc!$E$216))=0,"",INDEX('Licences'!$C$4:$C$503,_calc!$E$216))&amp;". ")&amp;IF(LEN(IF(LEN(INDEX('Licences'!$E$4:$E$503,_calc!$E$216))=0,"",INDEX('Licences'!$E$4:$E$503,_calc!$E$216)))=0,"","Site: "&amp;IF(LEN(INDEX('Licences'!$E$4:$E$503,_calc!$E$216))=0,"",INDEX('Licences'!$E$4:$E$503,_calc!$E$216))&amp;". ")&amp;IF(LEN(IF(LEN(INDEX('Licences'!$F$4:$F$503,_calc!$E$216))=0,"",INDEX('Licences'!$F$4:$F$503,_calc!$E$216)))=0,"","Owner: "&amp;IF(LEN(INDEX('Licences'!$F$4:$F$503,_calc!$E$216))=0,"",INDEX('Licences'!$F$4:$F$503,_calc!$E$216))&amp;". ")&amp;IF(LEN(IF(LEN(INDEX('Licences'!$R$4:$R$503,_calc!$E$216))=0,"",INDEX('Licences'!$R$4:$R$503,_calc!$E$216)))=0,"",IF(LEN(INDEX('Licences'!$R$4:$R$503,_calc!$E$216))=0,"",INDEX('Licences'!$R$4:$R$503,_calc!$E$216)))))</f>
        <v/>
      </c>
      <c r="G214" s="44">
        <f>IF(_calc!$E$216="","",IF(LEN(INDEX('Licences'!$Q$4:$Q$503,_calc!$E$216))=0,"",INDEX('Licences'!$Q$4:$Q$503,_calc!$E$216)))</f>
        <v/>
      </c>
      <c r="H214" s="44">
        <f>IF(_calc!$E$216="","",IF(LEN(INDEX('Licences'!$O$4:$O$503,_calc!$E$216))=0,"",INDEX('Licences'!$O$4:$O$503,_calc!$E$216)))</f>
        <v/>
      </c>
      <c r="I214" s="44">
        <f>IF(_calc!$E$216="","",IF(LEN(INDEX('Licences'!$P$4:$P$503,_calc!$E$216))=0,"",INDEX('Licences'!$P$4:$P$503,_calc!$E$216)))</f>
        <v/>
      </c>
      <c r="K214" s="44">
        <f>IF(_calc!$E$216="","",IF(LEN(INDEX('Licences'!$G$4:$G$503,_calc!$E$216))=0,"",INDEX('Licences'!$G$4:$G$503,_calc!$E$216)))</f>
        <v/>
      </c>
    </row>
    <row r="215">
      <c r="A215" s="44">
        <f>IF(_calc!$E$217="","",IF(LEN(INDEX('Licences'!$A$4:$A$503,_calc!$E$217))=0,"",INDEX('Licences'!$A$4:$A$503,_calc!$E$217)))</f>
        <v/>
      </c>
      <c r="B215" s="44">
        <f>IF(_calc!$E$217="","",IF(ISNUMBER(INDEX('Licences'!$J$4:$J$503,_calc!$E$217)),TEXT(INDEX('Licences'!$J$4:$J$503,_calc!$E$217),"yyyy-mm-dd"),""))</f>
        <v/>
      </c>
      <c r="C215" s="44">
        <f>IF(_calc!$E$217="","",IF(LEN(INDEX('Licences'!$B$4:$B$503,_calc!$E$217))=0,"",INDEX('Licences'!$B$4:$B$503,_calc!$E$217)))</f>
        <v/>
      </c>
      <c r="D215" s="44">
        <f>IF(_calc!$E$217="","",IF(ISNUMBER(INDEX('Licences'!$I$4:$I$503,_calc!$E$217)),TEXT(INDEX('Licences'!$I$4:$I$503,_calc!$E$217),"yyyy-mm-dd"),""))</f>
        <v/>
      </c>
      <c r="E215" s="44">
        <f>IF(_calc!$E$217="","",IF(LEN(INDEX('Licences'!$H$4:$H$503,_calc!$E$217))=0,"",INDEX('Licences'!$H$4:$H$503,_calc!$E$217)))</f>
        <v/>
      </c>
      <c r="F215" s="44">
        <f>IF(_calc!$E$217="","",TRIM(IF(LEN(IF(LEN(INDEX('Licences'!$D$4:$D$503,_calc!$E$217))=0,"",INDEX('Licences'!$D$4:$D$503,_calc!$E$217)))=0,"","Ref: "&amp;IF(LEN(INDEX('Licences'!$D$4:$D$503,_calc!$E$217))=0,"",INDEX('Licences'!$D$4:$D$503,_calc!$E$217))&amp;". ")&amp;IF(LEN(IF(LEN(INDEX('Licences'!$C$4:$C$503,_calc!$E$217))=0,"",INDEX('Licences'!$C$4:$C$503,_calc!$E$217)))=0,"","Issuer: "&amp;IF(LEN(INDEX('Licences'!$C$4:$C$503,_calc!$E$217))=0,"",INDEX('Licences'!$C$4:$C$503,_calc!$E$217))&amp;". ")&amp;IF(LEN(IF(LEN(INDEX('Licences'!$E$4:$E$503,_calc!$E$217))=0,"",INDEX('Licences'!$E$4:$E$503,_calc!$E$217)))=0,"","Site: "&amp;IF(LEN(INDEX('Licences'!$E$4:$E$503,_calc!$E$217))=0,"",INDEX('Licences'!$E$4:$E$503,_calc!$E$217))&amp;". ")&amp;IF(LEN(IF(LEN(INDEX('Licences'!$F$4:$F$503,_calc!$E$217))=0,"",INDEX('Licences'!$F$4:$F$503,_calc!$E$217)))=0,"","Owner: "&amp;IF(LEN(INDEX('Licences'!$F$4:$F$503,_calc!$E$217))=0,"",INDEX('Licences'!$F$4:$F$503,_calc!$E$217))&amp;". ")&amp;IF(LEN(IF(LEN(INDEX('Licences'!$R$4:$R$503,_calc!$E$217))=0,"",INDEX('Licences'!$R$4:$R$503,_calc!$E$217)))=0,"",IF(LEN(INDEX('Licences'!$R$4:$R$503,_calc!$E$217))=0,"",INDEX('Licences'!$R$4:$R$503,_calc!$E$217)))))</f>
        <v/>
      </c>
      <c r="G215" s="44">
        <f>IF(_calc!$E$217="","",IF(LEN(INDEX('Licences'!$Q$4:$Q$503,_calc!$E$217))=0,"",INDEX('Licences'!$Q$4:$Q$503,_calc!$E$217)))</f>
        <v/>
      </c>
      <c r="H215" s="44">
        <f>IF(_calc!$E$217="","",IF(LEN(INDEX('Licences'!$O$4:$O$503,_calc!$E$217))=0,"",INDEX('Licences'!$O$4:$O$503,_calc!$E$217)))</f>
        <v/>
      </c>
      <c r="I215" s="44">
        <f>IF(_calc!$E$217="","",IF(LEN(INDEX('Licences'!$P$4:$P$503,_calc!$E$217))=0,"",INDEX('Licences'!$P$4:$P$503,_calc!$E$217)))</f>
        <v/>
      </c>
      <c r="K215" s="44">
        <f>IF(_calc!$E$217="","",IF(LEN(INDEX('Licences'!$G$4:$G$503,_calc!$E$217))=0,"",INDEX('Licences'!$G$4:$G$503,_calc!$E$217)))</f>
        <v/>
      </c>
    </row>
    <row r="216">
      <c r="A216" s="44">
        <f>IF(_calc!$E$218="","",IF(LEN(INDEX('Licences'!$A$4:$A$503,_calc!$E$218))=0,"",INDEX('Licences'!$A$4:$A$503,_calc!$E$218)))</f>
        <v/>
      </c>
      <c r="B216" s="44">
        <f>IF(_calc!$E$218="","",IF(ISNUMBER(INDEX('Licences'!$J$4:$J$503,_calc!$E$218)),TEXT(INDEX('Licences'!$J$4:$J$503,_calc!$E$218),"yyyy-mm-dd"),""))</f>
        <v/>
      </c>
      <c r="C216" s="44">
        <f>IF(_calc!$E$218="","",IF(LEN(INDEX('Licences'!$B$4:$B$503,_calc!$E$218))=0,"",INDEX('Licences'!$B$4:$B$503,_calc!$E$218)))</f>
        <v/>
      </c>
      <c r="D216" s="44">
        <f>IF(_calc!$E$218="","",IF(ISNUMBER(INDEX('Licences'!$I$4:$I$503,_calc!$E$218)),TEXT(INDEX('Licences'!$I$4:$I$503,_calc!$E$218),"yyyy-mm-dd"),""))</f>
        <v/>
      </c>
      <c r="E216" s="44">
        <f>IF(_calc!$E$218="","",IF(LEN(INDEX('Licences'!$H$4:$H$503,_calc!$E$218))=0,"",INDEX('Licences'!$H$4:$H$503,_calc!$E$218)))</f>
        <v/>
      </c>
      <c r="F216" s="44">
        <f>IF(_calc!$E$218="","",TRIM(IF(LEN(IF(LEN(INDEX('Licences'!$D$4:$D$503,_calc!$E$218))=0,"",INDEX('Licences'!$D$4:$D$503,_calc!$E$218)))=0,"","Ref: "&amp;IF(LEN(INDEX('Licences'!$D$4:$D$503,_calc!$E$218))=0,"",INDEX('Licences'!$D$4:$D$503,_calc!$E$218))&amp;". ")&amp;IF(LEN(IF(LEN(INDEX('Licences'!$C$4:$C$503,_calc!$E$218))=0,"",INDEX('Licences'!$C$4:$C$503,_calc!$E$218)))=0,"","Issuer: "&amp;IF(LEN(INDEX('Licences'!$C$4:$C$503,_calc!$E$218))=0,"",INDEX('Licences'!$C$4:$C$503,_calc!$E$218))&amp;". ")&amp;IF(LEN(IF(LEN(INDEX('Licences'!$E$4:$E$503,_calc!$E$218))=0,"",INDEX('Licences'!$E$4:$E$503,_calc!$E$218)))=0,"","Site: "&amp;IF(LEN(INDEX('Licences'!$E$4:$E$503,_calc!$E$218))=0,"",INDEX('Licences'!$E$4:$E$503,_calc!$E$218))&amp;". ")&amp;IF(LEN(IF(LEN(INDEX('Licences'!$F$4:$F$503,_calc!$E$218))=0,"",INDEX('Licences'!$F$4:$F$503,_calc!$E$218)))=0,"","Owner: "&amp;IF(LEN(INDEX('Licences'!$F$4:$F$503,_calc!$E$218))=0,"",INDEX('Licences'!$F$4:$F$503,_calc!$E$218))&amp;". ")&amp;IF(LEN(IF(LEN(INDEX('Licences'!$R$4:$R$503,_calc!$E$218))=0,"",INDEX('Licences'!$R$4:$R$503,_calc!$E$218)))=0,"",IF(LEN(INDEX('Licences'!$R$4:$R$503,_calc!$E$218))=0,"",INDEX('Licences'!$R$4:$R$503,_calc!$E$218)))))</f>
        <v/>
      </c>
      <c r="G216" s="44">
        <f>IF(_calc!$E$218="","",IF(LEN(INDEX('Licences'!$Q$4:$Q$503,_calc!$E$218))=0,"",INDEX('Licences'!$Q$4:$Q$503,_calc!$E$218)))</f>
        <v/>
      </c>
      <c r="H216" s="44">
        <f>IF(_calc!$E$218="","",IF(LEN(INDEX('Licences'!$O$4:$O$503,_calc!$E$218))=0,"",INDEX('Licences'!$O$4:$O$503,_calc!$E$218)))</f>
        <v/>
      </c>
      <c r="I216" s="44">
        <f>IF(_calc!$E$218="","",IF(LEN(INDEX('Licences'!$P$4:$P$503,_calc!$E$218))=0,"",INDEX('Licences'!$P$4:$P$503,_calc!$E$218)))</f>
        <v/>
      </c>
      <c r="K216" s="44">
        <f>IF(_calc!$E$218="","",IF(LEN(INDEX('Licences'!$G$4:$G$503,_calc!$E$218))=0,"",INDEX('Licences'!$G$4:$G$503,_calc!$E$218)))</f>
        <v/>
      </c>
    </row>
    <row r="217">
      <c r="A217" s="44">
        <f>IF(_calc!$E$219="","",IF(LEN(INDEX('Licences'!$A$4:$A$503,_calc!$E$219))=0,"",INDEX('Licences'!$A$4:$A$503,_calc!$E$219)))</f>
        <v/>
      </c>
      <c r="B217" s="44">
        <f>IF(_calc!$E$219="","",IF(ISNUMBER(INDEX('Licences'!$J$4:$J$503,_calc!$E$219)),TEXT(INDEX('Licences'!$J$4:$J$503,_calc!$E$219),"yyyy-mm-dd"),""))</f>
        <v/>
      </c>
      <c r="C217" s="44">
        <f>IF(_calc!$E$219="","",IF(LEN(INDEX('Licences'!$B$4:$B$503,_calc!$E$219))=0,"",INDEX('Licences'!$B$4:$B$503,_calc!$E$219)))</f>
        <v/>
      </c>
      <c r="D217" s="44">
        <f>IF(_calc!$E$219="","",IF(ISNUMBER(INDEX('Licences'!$I$4:$I$503,_calc!$E$219)),TEXT(INDEX('Licences'!$I$4:$I$503,_calc!$E$219),"yyyy-mm-dd"),""))</f>
        <v/>
      </c>
      <c r="E217" s="44">
        <f>IF(_calc!$E$219="","",IF(LEN(INDEX('Licences'!$H$4:$H$503,_calc!$E$219))=0,"",INDEX('Licences'!$H$4:$H$503,_calc!$E$219)))</f>
        <v/>
      </c>
      <c r="F217" s="44">
        <f>IF(_calc!$E$219="","",TRIM(IF(LEN(IF(LEN(INDEX('Licences'!$D$4:$D$503,_calc!$E$219))=0,"",INDEX('Licences'!$D$4:$D$503,_calc!$E$219)))=0,"","Ref: "&amp;IF(LEN(INDEX('Licences'!$D$4:$D$503,_calc!$E$219))=0,"",INDEX('Licences'!$D$4:$D$503,_calc!$E$219))&amp;". ")&amp;IF(LEN(IF(LEN(INDEX('Licences'!$C$4:$C$503,_calc!$E$219))=0,"",INDEX('Licences'!$C$4:$C$503,_calc!$E$219)))=0,"","Issuer: "&amp;IF(LEN(INDEX('Licences'!$C$4:$C$503,_calc!$E$219))=0,"",INDEX('Licences'!$C$4:$C$503,_calc!$E$219))&amp;". ")&amp;IF(LEN(IF(LEN(INDEX('Licences'!$E$4:$E$503,_calc!$E$219))=0,"",INDEX('Licences'!$E$4:$E$503,_calc!$E$219)))=0,"","Site: "&amp;IF(LEN(INDEX('Licences'!$E$4:$E$503,_calc!$E$219))=0,"",INDEX('Licences'!$E$4:$E$503,_calc!$E$219))&amp;". ")&amp;IF(LEN(IF(LEN(INDEX('Licences'!$F$4:$F$503,_calc!$E$219))=0,"",INDEX('Licences'!$F$4:$F$503,_calc!$E$219)))=0,"","Owner: "&amp;IF(LEN(INDEX('Licences'!$F$4:$F$503,_calc!$E$219))=0,"",INDEX('Licences'!$F$4:$F$503,_calc!$E$219))&amp;". ")&amp;IF(LEN(IF(LEN(INDEX('Licences'!$R$4:$R$503,_calc!$E$219))=0,"",INDEX('Licences'!$R$4:$R$503,_calc!$E$219)))=0,"",IF(LEN(INDEX('Licences'!$R$4:$R$503,_calc!$E$219))=0,"",INDEX('Licences'!$R$4:$R$503,_calc!$E$219)))))</f>
        <v/>
      </c>
      <c r="G217" s="44">
        <f>IF(_calc!$E$219="","",IF(LEN(INDEX('Licences'!$Q$4:$Q$503,_calc!$E$219))=0,"",INDEX('Licences'!$Q$4:$Q$503,_calc!$E$219)))</f>
        <v/>
      </c>
      <c r="H217" s="44">
        <f>IF(_calc!$E$219="","",IF(LEN(INDEX('Licences'!$O$4:$O$503,_calc!$E$219))=0,"",INDEX('Licences'!$O$4:$O$503,_calc!$E$219)))</f>
        <v/>
      </c>
      <c r="I217" s="44">
        <f>IF(_calc!$E$219="","",IF(LEN(INDEX('Licences'!$P$4:$P$503,_calc!$E$219))=0,"",INDEX('Licences'!$P$4:$P$503,_calc!$E$219)))</f>
        <v/>
      </c>
      <c r="K217" s="44">
        <f>IF(_calc!$E$219="","",IF(LEN(INDEX('Licences'!$G$4:$G$503,_calc!$E$219))=0,"",INDEX('Licences'!$G$4:$G$503,_calc!$E$219)))</f>
        <v/>
      </c>
    </row>
    <row r="218">
      <c r="A218" s="44">
        <f>IF(_calc!$E$220="","",IF(LEN(INDEX('Licences'!$A$4:$A$503,_calc!$E$220))=0,"",INDEX('Licences'!$A$4:$A$503,_calc!$E$220)))</f>
        <v/>
      </c>
      <c r="B218" s="44">
        <f>IF(_calc!$E$220="","",IF(ISNUMBER(INDEX('Licences'!$J$4:$J$503,_calc!$E$220)),TEXT(INDEX('Licences'!$J$4:$J$503,_calc!$E$220),"yyyy-mm-dd"),""))</f>
        <v/>
      </c>
      <c r="C218" s="44">
        <f>IF(_calc!$E$220="","",IF(LEN(INDEX('Licences'!$B$4:$B$503,_calc!$E$220))=0,"",INDEX('Licences'!$B$4:$B$503,_calc!$E$220)))</f>
        <v/>
      </c>
      <c r="D218" s="44">
        <f>IF(_calc!$E$220="","",IF(ISNUMBER(INDEX('Licences'!$I$4:$I$503,_calc!$E$220)),TEXT(INDEX('Licences'!$I$4:$I$503,_calc!$E$220),"yyyy-mm-dd"),""))</f>
        <v/>
      </c>
      <c r="E218" s="44">
        <f>IF(_calc!$E$220="","",IF(LEN(INDEX('Licences'!$H$4:$H$503,_calc!$E$220))=0,"",INDEX('Licences'!$H$4:$H$503,_calc!$E$220)))</f>
        <v/>
      </c>
      <c r="F218" s="44">
        <f>IF(_calc!$E$220="","",TRIM(IF(LEN(IF(LEN(INDEX('Licences'!$D$4:$D$503,_calc!$E$220))=0,"",INDEX('Licences'!$D$4:$D$503,_calc!$E$220)))=0,"","Ref: "&amp;IF(LEN(INDEX('Licences'!$D$4:$D$503,_calc!$E$220))=0,"",INDEX('Licences'!$D$4:$D$503,_calc!$E$220))&amp;". ")&amp;IF(LEN(IF(LEN(INDEX('Licences'!$C$4:$C$503,_calc!$E$220))=0,"",INDEX('Licences'!$C$4:$C$503,_calc!$E$220)))=0,"","Issuer: "&amp;IF(LEN(INDEX('Licences'!$C$4:$C$503,_calc!$E$220))=0,"",INDEX('Licences'!$C$4:$C$503,_calc!$E$220))&amp;". ")&amp;IF(LEN(IF(LEN(INDEX('Licences'!$E$4:$E$503,_calc!$E$220))=0,"",INDEX('Licences'!$E$4:$E$503,_calc!$E$220)))=0,"","Site: "&amp;IF(LEN(INDEX('Licences'!$E$4:$E$503,_calc!$E$220))=0,"",INDEX('Licences'!$E$4:$E$503,_calc!$E$220))&amp;". ")&amp;IF(LEN(IF(LEN(INDEX('Licences'!$F$4:$F$503,_calc!$E$220))=0,"",INDEX('Licences'!$F$4:$F$503,_calc!$E$220)))=0,"","Owner: "&amp;IF(LEN(INDEX('Licences'!$F$4:$F$503,_calc!$E$220))=0,"",INDEX('Licences'!$F$4:$F$503,_calc!$E$220))&amp;". ")&amp;IF(LEN(IF(LEN(INDEX('Licences'!$R$4:$R$503,_calc!$E$220))=0,"",INDEX('Licences'!$R$4:$R$503,_calc!$E$220)))=0,"",IF(LEN(INDEX('Licences'!$R$4:$R$503,_calc!$E$220))=0,"",INDEX('Licences'!$R$4:$R$503,_calc!$E$220)))))</f>
        <v/>
      </c>
      <c r="G218" s="44">
        <f>IF(_calc!$E$220="","",IF(LEN(INDEX('Licences'!$Q$4:$Q$503,_calc!$E$220))=0,"",INDEX('Licences'!$Q$4:$Q$503,_calc!$E$220)))</f>
        <v/>
      </c>
      <c r="H218" s="44">
        <f>IF(_calc!$E$220="","",IF(LEN(INDEX('Licences'!$O$4:$O$503,_calc!$E$220))=0,"",INDEX('Licences'!$O$4:$O$503,_calc!$E$220)))</f>
        <v/>
      </c>
      <c r="I218" s="44">
        <f>IF(_calc!$E$220="","",IF(LEN(INDEX('Licences'!$P$4:$P$503,_calc!$E$220))=0,"",INDEX('Licences'!$P$4:$P$503,_calc!$E$220)))</f>
        <v/>
      </c>
      <c r="K218" s="44">
        <f>IF(_calc!$E$220="","",IF(LEN(INDEX('Licences'!$G$4:$G$503,_calc!$E$220))=0,"",INDEX('Licences'!$G$4:$G$503,_calc!$E$220)))</f>
        <v/>
      </c>
    </row>
    <row r="219">
      <c r="A219" s="44">
        <f>IF(_calc!$E$221="","",IF(LEN(INDEX('Licences'!$A$4:$A$503,_calc!$E$221))=0,"",INDEX('Licences'!$A$4:$A$503,_calc!$E$221)))</f>
        <v/>
      </c>
      <c r="B219" s="44">
        <f>IF(_calc!$E$221="","",IF(ISNUMBER(INDEX('Licences'!$J$4:$J$503,_calc!$E$221)),TEXT(INDEX('Licences'!$J$4:$J$503,_calc!$E$221),"yyyy-mm-dd"),""))</f>
        <v/>
      </c>
      <c r="C219" s="44">
        <f>IF(_calc!$E$221="","",IF(LEN(INDEX('Licences'!$B$4:$B$503,_calc!$E$221))=0,"",INDEX('Licences'!$B$4:$B$503,_calc!$E$221)))</f>
        <v/>
      </c>
      <c r="D219" s="44">
        <f>IF(_calc!$E$221="","",IF(ISNUMBER(INDEX('Licences'!$I$4:$I$503,_calc!$E$221)),TEXT(INDEX('Licences'!$I$4:$I$503,_calc!$E$221),"yyyy-mm-dd"),""))</f>
        <v/>
      </c>
      <c r="E219" s="44">
        <f>IF(_calc!$E$221="","",IF(LEN(INDEX('Licences'!$H$4:$H$503,_calc!$E$221))=0,"",INDEX('Licences'!$H$4:$H$503,_calc!$E$221)))</f>
        <v/>
      </c>
      <c r="F219" s="44">
        <f>IF(_calc!$E$221="","",TRIM(IF(LEN(IF(LEN(INDEX('Licences'!$D$4:$D$503,_calc!$E$221))=0,"",INDEX('Licences'!$D$4:$D$503,_calc!$E$221)))=0,"","Ref: "&amp;IF(LEN(INDEX('Licences'!$D$4:$D$503,_calc!$E$221))=0,"",INDEX('Licences'!$D$4:$D$503,_calc!$E$221))&amp;". ")&amp;IF(LEN(IF(LEN(INDEX('Licences'!$C$4:$C$503,_calc!$E$221))=0,"",INDEX('Licences'!$C$4:$C$503,_calc!$E$221)))=0,"","Issuer: "&amp;IF(LEN(INDEX('Licences'!$C$4:$C$503,_calc!$E$221))=0,"",INDEX('Licences'!$C$4:$C$503,_calc!$E$221))&amp;". ")&amp;IF(LEN(IF(LEN(INDEX('Licences'!$E$4:$E$503,_calc!$E$221))=0,"",INDEX('Licences'!$E$4:$E$503,_calc!$E$221)))=0,"","Site: "&amp;IF(LEN(INDEX('Licences'!$E$4:$E$503,_calc!$E$221))=0,"",INDEX('Licences'!$E$4:$E$503,_calc!$E$221))&amp;". ")&amp;IF(LEN(IF(LEN(INDEX('Licences'!$F$4:$F$503,_calc!$E$221))=0,"",INDEX('Licences'!$F$4:$F$503,_calc!$E$221)))=0,"","Owner: "&amp;IF(LEN(INDEX('Licences'!$F$4:$F$503,_calc!$E$221))=0,"",INDEX('Licences'!$F$4:$F$503,_calc!$E$221))&amp;". ")&amp;IF(LEN(IF(LEN(INDEX('Licences'!$R$4:$R$503,_calc!$E$221))=0,"",INDEX('Licences'!$R$4:$R$503,_calc!$E$221)))=0,"",IF(LEN(INDEX('Licences'!$R$4:$R$503,_calc!$E$221))=0,"",INDEX('Licences'!$R$4:$R$503,_calc!$E$221)))))</f>
        <v/>
      </c>
      <c r="G219" s="44">
        <f>IF(_calc!$E$221="","",IF(LEN(INDEX('Licences'!$Q$4:$Q$503,_calc!$E$221))=0,"",INDEX('Licences'!$Q$4:$Q$503,_calc!$E$221)))</f>
        <v/>
      </c>
      <c r="H219" s="44">
        <f>IF(_calc!$E$221="","",IF(LEN(INDEX('Licences'!$O$4:$O$503,_calc!$E$221))=0,"",INDEX('Licences'!$O$4:$O$503,_calc!$E$221)))</f>
        <v/>
      </c>
      <c r="I219" s="44">
        <f>IF(_calc!$E$221="","",IF(LEN(INDEX('Licences'!$P$4:$P$503,_calc!$E$221))=0,"",INDEX('Licences'!$P$4:$P$503,_calc!$E$221)))</f>
        <v/>
      </c>
      <c r="K219" s="44">
        <f>IF(_calc!$E$221="","",IF(LEN(INDEX('Licences'!$G$4:$G$503,_calc!$E$221))=0,"",INDEX('Licences'!$G$4:$G$503,_calc!$E$221)))</f>
        <v/>
      </c>
    </row>
    <row r="220">
      <c r="A220" s="44">
        <f>IF(_calc!$E$222="","",IF(LEN(INDEX('Licences'!$A$4:$A$503,_calc!$E$222))=0,"",INDEX('Licences'!$A$4:$A$503,_calc!$E$222)))</f>
        <v/>
      </c>
      <c r="B220" s="44">
        <f>IF(_calc!$E$222="","",IF(ISNUMBER(INDEX('Licences'!$J$4:$J$503,_calc!$E$222)),TEXT(INDEX('Licences'!$J$4:$J$503,_calc!$E$222),"yyyy-mm-dd"),""))</f>
        <v/>
      </c>
      <c r="C220" s="44">
        <f>IF(_calc!$E$222="","",IF(LEN(INDEX('Licences'!$B$4:$B$503,_calc!$E$222))=0,"",INDEX('Licences'!$B$4:$B$503,_calc!$E$222)))</f>
        <v/>
      </c>
      <c r="D220" s="44">
        <f>IF(_calc!$E$222="","",IF(ISNUMBER(INDEX('Licences'!$I$4:$I$503,_calc!$E$222)),TEXT(INDEX('Licences'!$I$4:$I$503,_calc!$E$222),"yyyy-mm-dd"),""))</f>
        <v/>
      </c>
      <c r="E220" s="44">
        <f>IF(_calc!$E$222="","",IF(LEN(INDEX('Licences'!$H$4:$H$503,_calc!$E$222))=0,"",INDEX('Licences'!$H$4:$H$503,_calc!$E$222)))</f>
        <v/>
      </c>
      <c r="F220" s="44">
        <f>IF(_calc!$E$222="","",TRIM(IF(LEN(IF(LEN(INDEX('Licences'!$D$4:$D$503,_calc!$E$222))=0,"",INDEX('Licences'!$D$4:$D$503,_calc!$E$222)))=0,"","Ref: "&amp;IF(LEN(INDEX('Licences'!$D$4:$D$503,_calc!$E$222))=0,"",INDEX('Licences'!$D$4:$D$503,_calc!$E$222))&amp;". ")&amp;IF(LEN(IF(LEN(INDEX('Licences'!$C$4:$C$503,_calc!$E$222))=0,"",INDEX('Licences'!$C$4:$C$503,_calc!$E$222)))=0,"","Issuer: "&amp;IF(LEN(INDEX('Licences'!$C$4:$C$503,_calc!$E$222))=0,"",INDEX('Licences'!$C$4:$C$503,_calc!$E$222))&amp;". ")&amp;IF(LEN(IF(LEN(INDEX('Licences'!$E$4:$E$503,_calc!$E$222))=0,"",INDEX('Licences'!$E$4:$E$503,_calc!$E$222)))=0,"","Site: "&amp;IF(LEN(INDEX('Licences'!$E$4:$E$503,_calc!$E$222))=0,"",INDEX('Licences'!$E$4:$E$503,_calc!$E$222))&amp;". ")&amp;IF(LEN(IF(LEN(INDEX('Licences'!$F$4:$F$503,_calc!$E$222))=0,"",INDEX('Licences'!$F$4:$F$503,_calc!$E$222)))=0,"","Owner: "&amp;IF(LEN(INDEX('Licences'!$F$4:$F$503,_calc!$E$222))=0,"",INDEX('Licences'!$F$4:$F$503,_calc!$E$222))&amp;". ")&amp;IF(LEN(IF(LEN(INDEX('Licences'!$R$4:$R$503,_calc!$E$222))=0,"",INDEX('Licences'!$R$4:$R$503,_calc!$E$222)))=0,"",IF(LEN(INDEX('Licences'!$R$4:$R$503,_calc!$E$222))=0,"",INDEX('Licences'!$R$4:$R$503,_calc!$E$222)))))</f>
        <v/>
      </c>
      <c r="G220" s="44">
        <f>IF(_calc!$E$222="","",IF(LEN(INDEX('Licences'!$Q$4:$Q$503,_calc!$E$222))=0,"",INDEX('Licences'!$Q$4:$Q$503,_calc!$E$222)))</f>
        <v/>
      </c>
      <c r="H220" s="44">
        <f>IF(_calc!$E$222="","",IF(LEN(INDEX('Licences'!$O$4:$O$503,_calc!$E$222))=0,"",INDEX('Licences'!$O$4:$O$503,_calc!$E$222)))</f>
        <v/>
      </c>
      <c r="I220" s="44">
        <f>IF(_calc!$E$222="","",IF(LEN(INDEX('Licences'!$P$4:$P$503,_calc!$E$222))=0,"",INDEX('Licences'!$P$4:$P$503,_calc!$E$222)))</f>
        <v/>
      </c>
      <c r="K220" s="44">
        <f>IF(_calc!$E$222="","",IF(LEN(INDEX('Licences'!$G$4:$G$503,_calc!$E$222))=0,"",INDEX('Licences'!$G$4:$G$503,_calc!$E$222)))</f>
        <v/>
      </c>
    </row>
    <row r="221">
      <c r="A221" s="44">
        <f>IF(_calc!$E$223="","",IF(LEN(INDEX('Licences'!$A$4:$A$503,_calc!$E$223))=0,"",INDEX('Licences'!$A$4:$A$503,_calc!$E$223)))</f>
        <v/>
      </c>
      <c r="B221" s="44">
        <f>IF(_calc!$E$223="","",IF(ISNUMBER(INDEX('Licences'!$J$4:$J$503,_calc!$E$223)),TEXT(INDEX('Licences'!$J$4:$J$503,_calc!$E$223),"yyyy-mm-dd"),""))</f>
        <v/>
      </c>
      <c r="C221" s="44">
        <f>IF(_calc!$E$223="","",IF(LEN(INDEX('Licences'!$B$4:$B$503,_calc!$E$223))=0,"",INDEX('Licences'!$B$4:$B$503,_calc!$E$223)))</f>
        <v/>
      </c>
      <c r="D221" s="44">
        <f>IF(_calc!$E$223="","",IF(ISNUMBER(INDEX('Licences'!$I$4:$I$503,_calc!$E$223)),TEXT(INDEX('Licences'!$I$4:$I$503,_calc!$E$223),"yyyy-mm-dd"),""))</f>
        <v/>
      </c>
      <c r="E221" s="44">
        <f>IF(_calc!$E$223="","",IF(LEN(INDEX('Licences'!$H$4:$H$503,_calc!$E$223))=0,"",INDEX('Licences'!$H$4:$H$503,_calc!$E$223)))</f>
        <v/>
      </c>
      <c r="F221" s="44">
        <f>IF(_calc!$E$223="","",TRIM(IF(LEN(IF(LEN(INDEX('Licences'!$D$4:$D$503,_calc!$E$223))=0,"",INDEX('Licences'!$D$4:$D$503,_calc!$E$223)))=0,"","Ref: "&amp;IF(LEN(INDEX('Licences'!$D$4:$D$503,_calc!$E$223))=0,"",INDEX('Licences'!$D$4:$D$503,_calc!$E$223))&amp;". ")&amp;IF(LEN(IF(LEN(INDEX('Licences'!$C$4:$C$503,_calc!$E$223))=0,"",INDEX('Licences'!$C$4:$C$503,_calc!$E$223)))=0,"","Issuer: "&amp;IF(LEN(INDEX('Licences'!$C$4:$C$503,_calc!$E$223))=0,"",INDEX('Licences'!$C$4:$C$503,_calc!$E$223))&amp;". ")&amp;IF(LEN(IF(LEN(INDEX('Licences'!$E$4:$E$503,_calc!$E$223))=0,"",INDEX('Licences'!$E$4:$E$503,_calc!$E$223)))=0,"","Site: "&amp;IF(LEN(INDEX('Licences'!$E$4:$E$503,_calc!$E$223))=0,"",INDEX('Licences'!$E$4:$E$503,_calc!$E$223))&amp;". ")&amp;IF(LEN(IF(LEN(INDEX('Licences'!$F$4:$F$503,_calc!$E$223))=0,"",INDEX('Licences'!$F$4:$F$503,_calc!$E$223)))=0,"","Owner: "&amp;IF(LEN(INDEX('Licences'!$F$4:$F$503,_calc!$E$223))=0,"",INDEX('Licences'!$F$4:$F$503,_calc!$E$223))&amp;". ")&amp;IF(LEN(IF(LEN(INDEX('Licences'!$R$4:$R$503,_calc!$E$223))=0,"",INDEX('Licences'!$R$4:$R$503,_calc!$E$223)))=0,"",IF(LEN(INDEX('Licences'!$R$4:$R$503,_calc!$E$223))=0,"",INDEX('Licences'!$R$4:$R$503,_calc!$E$223)))))</f>
        <v/>
      </c>
      <c r="G221" s="44">
        <f>IF(_calc!$E$223="","",IF(LEN(INDEX('Licences'!$Q$4:$Q$503,_calc!$E$223))=0,"",INDEX('Licences'!$Q$4:$Q$503,_calc!$E$223)))</f>
        <v/>
      </c>
      <c r="H221" s="44">
        <f>IF(_calc!$E$223="","",IF(LEN(INDEX('Licences'!$O$4:$O$503,_calc!$E$223))=0,"",INDEX('Licences'!$O$4:$O$503,_calc!$E$223)))</f>
        <v/>
      </c>
      <c r="I221" s="44">
        <f>IF(_calc!$E$223="","",IF(LEN(INDEX('Licences'!$P$4:$P$503,_calc!$E$223))=0,"",INDEX('Licences'!$P$4:$P$503,_calc!$E$223)))</f>
        <v/>
      </c>
      <c r="K221" s="44">
        <f>IF(_calc!$E$223="","",IF(LEN(INDEX('Licences'!$G$4:$G$503,_calc!$E$223))=0,"",INDEX('Licences'!$G$4:$G$503,_calc!$E$223)))</f>
        <v/>
      </c>
    </row>
    <row r="222">
      <c r="A222" s="44">
        <f>IF(_calc!$E$224="","",IF(LEN(INDEX('Licences'!$A$4:$A$503,_calc!$E$224))=0,"",INDEX('Licences'!$A$4:$A$503,_calc!$E$224)))</f>
        <v/>
      </c>
      <c r="B222" s="44">
        <f>IF(_calc!$E$224="","",IF(ISNUMBER(INDEX('Licences'!$J$4:$J$503,_calc!$E$224)),TEXT(INDEX('Licences'!$J$4:$J$503,_calc!$E$224),"yyyy-mm-dd"),""))</f>
        <v/>
      </c>
      <c r="C222" s="44">
        <f>IF(_calc!$E$224="","",IF(LEN(INDEX('Licences'!$B$4:$B$503,_calc!$E$224))=0,"",INDEX('Licences'!$B$4:$B$503,_calc!$E$224)))</f>
        <v/>
      </c>
      <c r="D222" s="44">
        <f>IF(_calc!$E$224="","",IF(ISNUMBER(INDEX('Licences'!$I$4:$I$503,_calc!$E$224)),TEXT(INDEX('Licences'!$I$4:$I$503,_calc!$E$224),"yyyy-mm-dd"),""))</f>
        <v/>
      </c>
      <c r="E222" s="44">
        <f>IF(_calc!$E$224="","",IF(LEN(INDEX('Licences'!$H$4:$H$503,_calc!$E$224))=0,"",INDEX('Licences'!$H$4:$H$503,_calc!$E$224)))</f>
        <v/>
      </c>
      <c r="F222" s="44">
        <f>IF(_calc!$E$224="","",TRIM(IF(LEN(IF(LEN(INDEX('Licences'!$D$4:$D$503,_calc!$E$224))=0,"",INDEX('Licences'!$D$4:$D$503,_calc!$E$224)))=0,"","Ref: "&amp;IF(LEN(INDEX('Licences'!$D$4:$D$503,_calc!$E$224))=0,"",INDEX('Licences'!$D$4:$D$503,_calc!$E$224))&amp;". ")&amp;IF(LEN(IF(LEN(INDEX('Licences'!$C$4:$C$503,_calc!$E$224))=0,"",INDEX('Licences'!$C$4:$C$503,_calc!$E$224)))=0,"","Issuer: "&amp;IF(LEN(INDEX('Licences'!$C$4:$C$503,_calc!$E$224))=0,"",INDEX('Licences'!$C$4:$C$503,_calc!$E$224))&amp;". ")&amp;IF(LEN(IF(LEN(INDEX('Licences'!$E$4:$E$503,_calc!$E$224))=0,"",INDEX('Licences'!$E$4:$E$503,_calc!$E$224)))=0,"","Site: "&amp;IF(LEN(INDEX('Licences'!$E$4:$E$503,_calc!$E$224))=0,"",INDEX('Licences'!$E$4:$E$503,_calc!$E$224))&amp;". ")&amp;IF(LEN(IF(LEN(INDEX('Licences'!$F$4:$F$503,_calc!$E$224))=0,"",INDEX('Licences'!$F$4:$F$503,_calc!$E$224)))=0,"","Owner: "&amp;IF(LEN(INDEX('Licences'!$F$4:$F$503,_calc!$E$224))=0,"",INDEX('Licences'!$F$4:$F$503,_calc!$E$224))&amp;". ")&amp;IF(LEN(IF(LEN(INDEX('Licences'!$R$4:$R$503,_calc!$E$224))=0,"",INDEX('Licences'!$R$4:$R$503,_calc!$E$224)))=0,"",IF(LEN(INDEX('Licences'!$R$4:$R$503,_calc!$E$224))=0,"",INDEX('Licences'!$R$4:$R$503,_calc!$E$224)))))</f>
        <v/>
      </c>
      <c r="G222" s="44">
        <f>IF(_calc!$E$224="","",IF(LEN(INDEX('Licences'!$Q$4:$Q$503,_calc!$E$224))=0,"",INDEX('Licences'!$Q$4:$Q$503,_calc!$E$224)))</f>
        <v/>
      </c>
      <c r="H222" s="44">
        <f>IF(_calc!$E$224="","",IF(LEN(INDEX('Licences'!$O$4:$O$503,_calc!$E$224))=0,"",INDEX('Licences'!$O$4:$O$503,_calc!$E$224)))</f>
        <v/>
      </c>
      <c r="I222" s="44">
        <f>IF(_calc!$E$224="","",IF(LEN(INDEX('Licences'!$P$4:$P$503,_calc!$E$224))=0,"",INDEX('Licences'!$P$4:$P$503,_calc!$E$224)))</f>
        <v/>
      </c>
      <c r="K222" s="44">
        <f>IF(_calc!$E$224="","",IF(LEN(INDEX('Licences'!$G$4:$G$503,_calc!$E$224))=0,"",INDEX('Licences'!$G$4:$G$503,_calc!$E$224)))</f>
        <v/>
      </c>
    </row>
    <row r="223">
      <c r="A223" s="44">
        <f>IF(_calc!$E$225="","",IF(LEN(INDEX('Licences'!$A$4:$A$503,_calc!$E$225))=0,"",INDEX('Licences'!$A$4:$A$503,_calc!$E$225)))</f>
        <v/>
      </c>
      <c r="B223" s="44">
        <f>IF(_calc!$E$225="","",IF(ISNUMBER(INDEX('Licences'!$J$4:$J$503,_calc!$E$225)),TEXT(INDEX('Licences'!$J$4:$J$503,_calc!$E$225),"yyyy-mm-dd"),""))</f>
        <v/>
      </c>
      <c r="C223" s="44">
        <f>IF(_calc!$E$225="","",IF(LEN(INDEX('Licences'!$B$4:$B$503,_calc!$E$225))=0,"",INDEX('Licences'!$B$4:$B$503,_calc!$E$225)))</f>
        <v/>
      </c>
      <c r="D223" s="44">
        <f>IF(_calc!$E$225="","",IF(ISNUMBER(INDEX('Licences'!$I$4:$I$503,_calc!$E$225)),TEXT(INDEX('Licences'!$I$4:$I$503,_calc!$E$225),"yyyy-mm-dd"),""))</f>
        <v/>
      </c>
      <c r="E223" s="44">
        <f>IF(_calc!$E$225="","",IF(LEN(INDEX('Licences'!$H$4:$H$503,_calc!$E$225))=0,"",INDEX('Licences'!$H$4:$H$503,_calc!$E$225)))</f>
        <v/>
      </c>
      <c r="F223" s="44">
        <f>IF(_calc!$E$225="","",TRIM(IF(LEN(IF(LEN(INDEX('Licences'!$D$4:$D$503,_calc!$E$225))=0,"",INDEX('Licences'!$D$4:$D$503,_calc!$E$225)))=0,"","Ref: "&amp;IF(LEN(INDEX('Licences'!$D$4:$D$503,_calc!$E$225))=0,"",INDEX('Licences'!$D$4:$D$503,_calc!$E$225))&amp;". ")&amp;IF(LEN(IF(LEN(INDEX('Licences'!$C$4:$C$503,_calc!$E$225))=0,"",INDEX('Licences'!$C$4:$C$503,_calc!$E$225)))=0,"","Issuer: "&amp;IF(LEN(INDEX('Licences'!$C$4:$C$503,_calc!$E$225))=0,"",INDEX('Licences'!$C$4:$C$503,_calc!$E$225))&amp;". ")&amp;IF(LEN(IF(LEN(INDEX('Licences'!$E$4:$E$503,_calc!$E$225))=0,"",INDEX('Licences'!$E$4:$E$503,_calc!$E$225)))=0,"","Site: "&amp;IF(LEN(INDEX('Licences'!$E$4:$E$503,_calc!$E$225))=0,"",INDEX('Licences'!$E$4:$E$503,_calc!$E$225))&amp;". ")&amp;IF(LEN(IF(LEN(INDEX('Licences'!$F$4:$F$503,_calc!$E$225))=0,"",INDEX('Licences'!$F$4:$F$503,_calc!$E$225)))=0,"","Owner: "&amp;IF(LEN(INDEX('Licences'!$F$4:$F$503,_calc!$E$225))=0,"",INDEX('Licences'!$F$4:$F$503,_calc!$E$225))&amp;". ")&amp;IF(LEN(IF(LEN(INDEX('Licences'!$R$4:$R$503,_calc!$E$225))=0,"",INDEX('Licences'!$R$4:$R$503,_calc!$E$225)))=0,"",IF(LEN(INDEX('Licences'!$R$4:$R$503,_calc!$E$225))=0,"",INDEX('Licences'!$R$4:$R$503,_calc!$E$225)))))</f>
        <v/>
      </c>
      <c r="G223" s="44">
        <f>IF(_calc!$E$225="","",IF(LEN(INDEX('Licences'!$Q$4:$Q$503,_calc!$E$225))=0,"",INDEX('Licences'!$Q$4:$Q$503,_calc!$E$225)))</f>
        <v/>
      </c>
      <c r="H223" s="44">
        <f>IF(_calc!$E$225="","",IF(LEN(INDEX('Licences'!$O$4:$O$503,_calc!$E$225))=0,"",INDEX('Licences'!$O$4:$O$503,_calc!$E$225)))</f>
        <v/>
      </c>
      <c r="I223" s="44">
        <f>IF(_calc!$E$225="","",IF(LEN(INDEX('Licences'!$P$4:$P$503,_calc!$E$225))=0,"",INDEX('Licences'!$P$4:$P$503,_calc!$E$225)))</f>
        <v/>
      </c>
      <c r="K223" s="44">
        <f>IF(_calc!$E$225="","",IF(LEN(INDEX('Licences'!$G$4:$G$503,_calc!$E$225))=0,"",INDEX('Licences'!$G$4:$G$503,_calc!$E$225)))</f>
        <v/>
      </c>
    </row>
    <row r="224">
      <c r="A224" s="44">
        <f>IF(_calc!$E$226="","",IF(LEN(INDEX('Licences'!$A$4:$A$503,_calc!$E$226))=0,"",INDEX('Licences'!$A$4:$A$503,_calc!$E$226)))</f>
        <v/>
      </c>
      <c r="B224" s="44">
        <f>IF(_calc!$E$226="","",IF(ISNUMBER(INDEX('Licences'!$J$4:$J$503,_calc!$E$226)),TEXT(INDEX('Licences'!$J$4:$J$503,_calc!$E$226),"yyyy-mm-dd"),""))</f>
        <v/>
      </c>
      <c r="C224" s="44">
        <f>IF(_calc!$E$226="","",IF(LEN(INDEX('Licences'!$B$4:$B$503,_calc!$E$226))=0,"",INDEX('Licences'!$B$4:$B$503,_calc!$E$226)))</f>
        <v/>
      </c>
      <c r="D224" s="44">
        <f>IF(_calc!$E$226="","",IF(ISNUMBER(INDEX('Licences'!$I$4:$I$503,_calc!$E$226)),TEXT(INDEX('Licences'!$I$4:$I$503,_calc!$E$226),"yyyy-mm-dd"),""))</f>
        <v/>
      </c>
      <c r="E224" s="44">
        <f>IF(_calc!$E$226="","",IF(LEN(INDEX('Licences'!$H$4:$H$503,_calc!$E$226))=0,"",INDEX('Licences'!$H$4:$H$503,_calc!$E$226)))</f>
        <v/>
      </c>
      <c r="F224" s="44">
        <f>IF(_calc!$E$226="","",TRIM(IF(LEN(IF(LEN(INDEX('Licences'!$D$4:$D$503,_calc!$E$226))=0,"",INDEX('Licences'!$D$4:$D$503,_calc!$E$226)))=0,"","Ref: "&amp;IF(LEN(INDEX('Licences'!$D$4:$D$503,_calc!$E$226))=0,"",INDEX('Licences'!$D$4:$D$503,_calc!$E$226))&amp;". ")&amp;IF(LEN(IF(LEN(INDEX('Licences'!$C$4:$C$503,_calc!$E$226))=0,"",INDEX('Licences'!$C$4:$C$503,_calc!$E$226)))=0,"","Issuer: "&amp;IF(LEN(INDEX('Licences'!$C$4:$C$503,_calc!$E$226))=0,"",INDEX('Licences'!$C$4:$C$503,_calc!$E$226))&amp;". ")&amp;IF(LEN(IF(LEN(INDEX('Licences'!$E$4:$E$503,_calc!$E$226))=0,"",INDEX('Licences'!$E$4:$E$503,_calc!$E$226)))=0,"","Site: "&amp;IF(LEN(INDEX('Licences'!$E$4:$E$503,_calc!$E$226))=0,"",INDEX('Licences'!$E$4:$E$503,_calc!$E$226))&amp;". ")&amp;IF(LEN(IF(LEN(INDEX('Licences'!$F$4:$F$503,_calc!$E$226))=0,"",INDEX('Licences'!$F$4:$F$503,_calc!$E$226)))=0,"","Owner: "&amp;IF(LEN(INDEX('Licences'!$F$4:$F$503,_calc!$E$226))=0,"",INDEX('Licences'!$F$4:$F$503,_calc!$E$226))&amp;". ")&amp;IF(LEN(IF(LEN(INDEX('Licences'!$R$4:$R$503,_calc!$E$226))=0,"",INDEX('Licences'!$R$4:$R$503,_calc!$E$226)))=0,"",IF(LEN(INDEX('Licences'!$R$4:$R$503,_calc!$E$226))=0,"",INDEX('Licences'!$R$4:$R$503,_calc!$E$226)))))</f>
        <v/>
      </c>
      <c r="G224" s="44">
        <f>IF(_calc!$E$226="","",IF(LEN(INDEX('Licences'!$Q$4:$Q$503,_calc!$E$226))=0,"",INDEX('Licences'!$Q$4:$Q$503,_calc!$E$226)))</f>
        <v/>
      </c>
      <c r="H224" s="44">
        <f>IF(_calc!$E$226="","",IF(LEN(INDEX('Licences'!$O$4:$O$503,_calc!$E$226))=0,"",INDEX('Licences'!$O$4:$O$503,_calc!$E$226)))</f>
        <v/>
      </c>
      <c r="I224" s="44">
        <f>IF(_calc!$E$226="","",IF(LEN(INDEX('Licences'!$P$4:$P$503,_calc!$E$226))=0,"",INDEX('Licences'!$P$4:$P$503,_calc!$E$226)))</f>
        <v/>
      </c>
      <c r="K224" s="44">
        <f>IF(_calc!$E$226="","",IF(LEN(INDEX('Licences'!$G$4:$G$503,_calc!$E$226))=0,"",INDEX('Licences'!$G$4:$G$503,_calc!$E$226)))</f>
        <v/>
      </c>
    </row>
    <row r="225">
      <c r="A225" s="44">
        <f>IF(_calc!$E$227="","",IF(LEN(INDEX('Licences'!$A$4:$A$503,_calc!$E$227))=0,"",INDEX('Licences'!$A$4:$A$503,_calc!$E$227)))</f>
        <v/>
      </c>
      <c r="B225" s="44">
        <f>IF(_calc!$E$227="","",IF(ISNUMBER(INDEX('Licences'!$J$4:$J$503,_calc!$E$227)),TEXT(INDEX('Licences'!$J$4:$J$503,_calc!$E$227),"yyyy-mm-dd"),""))</f>
        <v/>
      </c>
      <c r="C225" s="44">
        <f>IF(_calc!$E$227="","",IF(LEN(INDEX('Licences'!$B$4:$B$503,_calc!$E$227))=0,"",INDEX('Licences'!$B$4:$B$503,_calc!$E$227)))</f>
        <v/>
      </c>
      <c r="D225" s="44">
        <f>IF(_calc!$E$227="","",IF(ISNUMBER(INDEX('Licences'!$I$4:$I$503,_calc!$E$227)),TEXT(INDEX('Licences'!$I$4:$I$503,_calc!$E$227),"yyyy-mm-dd"),""))</f>
        <v/>
      </c>
      <c r="E225" s="44">
        <f>IF(_calc!$E$227="","",IF(LEN(INDEX('Licences'!$H$4:$H$503,_calc!$E$227))=0,"",INDEX('Licences'!$H$4:$H$503,_calc!$E$227)))</f>
        <v/>
      </c>
      <c r="F225" s="44">
        <f>IF(_calc!$E$227="","",TRIM(IF(LEN(IF(LEN(INDEX('Licences'!$D$4:$D$503,_calc!$E$227))=0,"",INDEX('Licences'!$D$4:$D$503,_calc!$E$227)))=0,"","Ref: "&amp;IF(LEN(INDEX('Licences'!$D$4:$D$503,_calc!$E$227))=0,"",INDEX('Licences'!$D$4:$D$503,_calc!$E$227))&amp;". ")&amp;IF(LEN(IF(LEN(INDEX('Licences'!$C$4:$C$503,_calc!$E$227))=0,"",INDEX('Licences'!$C$4:$C$503,_calc!$E$227)))=0,"","Issuer: "&amp;IF(LEN(INDEX('Licences'!$C$4:$C$503,_calc!$E$227))=0,"",INDEX('Licences'!$C$4:$C$503,_calc!$E$227))&amp;". ")&amp;IF(LEN(IF(LEN(INDEX('Licences'!$E$4:$E$503,_calc!$E$227))=0,"",INDEX('Licences'!$E$4:$E$503,_calc!$E$227)))=0,"","Site: "&amp;IF(LEN(INDEX('Licences'!$E$4:$E$503,_calc!$E$227))=0,"",INDEX('Licences'!$E$4:$E$503,_calc!$E$227))&amp;". ")&amp;IF(LEN(IF(LEN(INDEX('Licences'!$F$4:$F$503,_calc!$E$227))=0,"",INDEX('Licences'!$F$4:$F$503,_calc!$E$227)))=0,"","Owner: "&amp;IF(LEN(INDEX('Licences'!$F$4:$F$503,_calc!$E$227))=0,"",INDEX('Licences'!$F$4:$F$503,_calc!$E$227))&amp;". ")&amp;IF(LEN(IF(LEN(INDEX('Licences'!$R$4:$R$503,_calc!$E$227))=0,"",INDEX('Licences'!$R$4:$R$503,_calc!$E$227)))=0,"",IF(LEN(INDEX('Licences'!$R$4:$R$503,_calc!$E$227))=0,"",INDEX('Licences'!$R$4:$R$503,_calc!$E$227)))))</f>
        <v/>
      </c>
      <c r="G225" s="44">
        <f>IF(_calc!$E$227="","",IF(LEN(INDEX('Licences'!$Q$4:$Q$503,_calc!$E$227))=0,"",INDEX('Licences'!$Q$4:$Q$503,_calc!$E$227)))</f>
        <v/>
      </c>
      <c r="H225" s="44">
        <f>IF(_calc!$E$227="","",IF(LEN(INDEX('Licences'!$O$4:$O$503,_calc!$E$227))=0,"",INDEX('Licences'!$O$4:$O$503,_calc!$E$227)))</f>
        <v/>
      </c>
      <c r="I225" s="44">
        <f>IF(_calc!$E$227="","",IF(LEN(INDEX('Licences'!$P$4:$P$503,_calc!$E$227))=0,"",INDEX('Licences'!$P$4:$P$503,_calc!$E$227)))</f>
        <v/>
      </c>
      <c r="K225" s="44">
        <f>IF(_calc!$E$227="","",IF(LEN(INDEX('Licences'!$G$4:$G$503,_calc!$E$227))=0,"",INDEX('Licences'!$G$4:$G$503,_calc!$E$227)))</f>
        <v/>
      </c>
    </row>
    <row r="226">
      <c r="A226" s="44">
        <f>IF(_calc!$E$228="","",IF(LEN(INDEX('Licences'!$A$4:$A$503,_calc!$E$228))=0,"",INDEX('Licences'!$A$4:$A$503,_calc!$E$228)))</f>
        <v/>
      </c>
      <c r="B226" s="44">
        <f>IF(_calc!$E$228="","",IF(ISNUMBER(INDEX('Licences'!$J$4:$J$503,_calc!$E$228)),TEXT(INDEX('Licences'!$J$4:$J$503,_calc!$E$228),"yyyy-mm-dd"),""))</f>
        <v/>
      </c>
      <c r="C226" s="44">
        <f>IF(_calc!$E$228="","",IF(LEN(INDEX('Licences'!$B$4:$B$503,_calc!$E$228))=0,"",INDEX('Licences'!$B$4:$B$503,_calc!$E$228)))</f>
        <v/>
      </c>
      <c r="D226" s="44">
        <f>IF(_calc!$E$228="","",IF(ISNUMBER(INDEX('Licences'!$I$4:$I$503,_calc!$E$228)),TEXT(INDEX('Licences'!$I$4:$I$503,_calc!$E$228),"yyyy-mm-dd"),""))</f>
        <v/>
      </c>
      <c r="E226" s="44">
        <f>IF(_calc!$E$228="","",IF(LEN(INDEX('Licences'!$H$4:$H$503,_calc!$E$228))=0,"",INDEX('Licences'!$H$4:$H$503,_calc!$E$228)))</f>
        <v/>
      </c>
      <c r="F226" s="44">
        <f>IF(_calc!$E$228="","",TRIM(IF(LEN(IF(LEN(INDEX('Licences'!$D$4:$D$503,_calc!$E$228))=0,"",INDEX('Licences'!$D$4:$D$503,_calc!$E$228)))=0,"","Ref: "&amp;IF(LEN(INDEX('Licences'!$D$4:$D$503,_calc!$E$228))=0,"",INDEX('Licences'!$D$4:$D$503,_calc!$E$228))&amp;". ")&amp;IF(LEN(IF(LEN(INDEX('Licences'!$C$4:$C$503,_calc!$E$228))=0,"",INDEX('Licences'!$C$4:$C$503,_calc!$E$228)))=0,"","Issuer: "&amp;IF(LEN(INDEX('Licences'!$C$4:$C$503,_calc!$E$228))=0,"",INDEX('Licences'!$C$4:$C$503,_calc!$E$228))&amp;". ")&amp;IF(LEN(IF(LEN(INDEX('Licences'!$E$4:$E$503,_calc!$E$228))=0,"",INDEX('Licences'!$E$4:$E$503,_calc!$E$228)))=0,"","Site: "&amp;IF(LEN(INDEX('Licences'!$E$4:$E$503,_calc!$E$228))=0,"",INDEX('Licences'!$E$4:$E$503,_calc!$E$228))&amp;". ")&amp;IF(LEN(IF(LEN(INDEX('Licences'!$F$4:$F$503,_calc!$E$228))=0,"",INDEX('Licences'!$F$4:$F$503,_calc!$E$228)))=0,"","Owner: "&amp;IF(LEN(INDEX('Licences'!$F$4:$F$503,_calc!$E$228))=0,"",INDEX('Licences'!$F$4:$F$503,_calc!$E$228))&amp;". ")&amp;IF(LEN(IF(LEN(INDEX('Licences'!$R$4:$R$503,_calc!$E$228))=0,"",INDEX('Licences'!$R$4:$R$503,_calc!$E$228)))=0,"",IF(LEN(INDEX('Licences'!$R$4:$R$503,_calc!$E$228))=0,"",INDEX('Licences'!$R$4:$R$503,_calc!$E$228)))))</f>
        <v/>
      </c>
      <c r="G226" s="44">
        <f>IF(_calc!$E$228="","",IF(LEN(INDEX('Licences'!$Q$4:$Q$503,_calc!$E$228))=0,"",INDEX('Licences'!$Q$4:$Q$503,_calc!$E$228)))</f>
        <v/>
      </c>
      <c r="H226" s="44">
        <f>IF(_calc!$E$228="","",IF(LEN(INDEX('Licences'!$O$4:$O$503,_calc!$E$228))=0,"",INDEX('Licences'!$O$4:$O$503,_calc!$E$228)))</f>
        <v/>
      </c>
      <c r="I226" s="44">
        <f>IF(_calc!$E$228="","",IF(LEN(INDEX('Licences'!$P$4:$P$503,_calc!$E$228))=0,"",INDEX('Licences'!$P$4:$P$503,_calc!$E$228)))</f>
        <v/>
      </c>
      <c r="K226" s="44">
        <f>IF(_calc!$E$228="","",IF(LEN(INDEX('Licences'!$G$4:$G$503,_calc!$E$228))=0,"",INDEX('Licences'!$G$4:$G$503,_calc!$E$228)))</f>
        <v/>
      </c>
    </row>
    <row r="227">
      <c r="A227" s="44">
        <f>IF(_calc!$E$229="","",IF(LEN(INDEX('Licences'!$A$4:$A$503,_calc!$E$229))=0,"",INDEX('Licences'!$A$4:$A$503,_calc!$E$229)))</f>
        <v/>
      </c>
      <c r="B227" s="44">
        <f>IF(_calc!$E$229="","",IF(ISNUMBER(INDEX('Licences'!$J$4:$J$503,_calc!$E$229)),TEXT(INDEX('Licences'!$J$4:$J$503,_calc!$E$229),"yyyy-mm-dd"),""))</f>
        <v/>
      </c>
      <c r="C227" s="44">
        <f>IF(_calc!$E$229="","",IF(LEN(INDEX('Licences'!$B$4:$B$503,_calc!$E$229))=0,"",INDEX('Licences'!$B$4:$B$503,_calc!$E$229)))</f>
        <v/>
      </c>
      <c r="D227" s="44">
        <f>IF(_calc!$E$229="","",IF(ISNUMBER(INDEX('Licences'!$I$4:$I$503,_calc!$E$229)),TEXT(INDEX('Licences'!$I$4:$I$503,_calc!$E$229),"yyyy-mm-dd"),""))</f>
        <v/>
      </c>
      <c r="E227" s="44">
        <f>IF(_calc!$E$229="","",IF(LEN(INDEX('Licences'!$H$4:$H$503,_calc!$E$229))=0,"",INDEX('Licences'!$H$4:$H$503,_calc!$E$229)))</f>
        <v/>
      </c>
      <c r="F227" s="44">
        <f>IF(_calc!$E$229="","",TRIM(IF(LEN(IF(LEN(INDEX('Licences'!$D$4:$D$503,_calc!$E$229))=0,"",INDEX('Licences'!$D$4:$D$503,_calc!$E$229)))=0,"","Ref: "&amp;IF(LEN(INDEX('Licences'!$D$4:$D$503,_calc!$E$229))=0,"",INDEX('Licences'!$D$4:$D$503,_calc!$E$229))&amp;". ")&amp;IF(LEN(IF(LEN(INDEX('Licences'!$C$4:$C$503,_calc!$E$229))=0,"",INDEX('Licences'!$C$4:$C$503,_calc!$E$229)))=0,"","Issuer: "&amp;IF(LEN(INDEX('Licences'!$C$4:$C$503,_calc!$E$229))=0,"",INDEX('Licences'!$C$4:$C$503,_calc!$E$229))&amp;". ")&amp;IF(LEN(IF(LEN(INDEX('Licences'!$E$4:$E$503,_calc!$E$229))=0,"",INDEX('Licences'!$E$4:$E$503,_calc!$E$229)))=0,"","Site: "&amp;IF(LEN(INDEX('Licences'!$E$4:$E$503,_calc!$E$229))=0,"",INDEX('Licences'!$E$4:$E$503,_calc!$E$229))&amp;". ")&amp;IF(LEN(IF(LEN(INDEX('Licences'!$F$4:$F$503,_calc!$E$229))=0,"",INDEX('Licences'!$F$4:$F$503,_calc!$E$229)))=0,"","Owner: "&amp;IF(LEN(INDEX('Licences'!$F$4:$F$503,_calc!$E$229))=0,"",INDEX('Licences'!$F$4:$F$503,_calc!$E$229))&amp;". ")&amp;IF(LEN(IF(LEN(INDEX('Licences'!$R$4:$R$503,_calc!$E$229))=0,"",INDEX('Licences'!$R$4:$R$503,_calc!$E$229)))=0,"",IF(LEN(INDEX('Licences'!$R$4:$R$503,_calc!$E$229))=0,"",INDEX('Licences'!$R$4:$R$503,_calc!$E$229)))))</f>
        <v/>
      </c>
      <c r="G227" s="44">
        <f>IF(_calc!$E$229="","",IF(LEN(INDEX('Licences'!$Q$4:$Q$503,_calc!$E$229))=0,"",INDEX('Licences'!$Q$4:$Q$503,_calc!$E$229)))</f>
        <v/>
      </c>
      <c r="H227" s="44">
        <f>IF(_calc!$E$229="","",IF(LEN(INDEX('Licences'!$O$4:$O$503,_calc!$E$229))=0,"",INDEX('Licences'!$O$4:$O$503,_calc!$E$229)))</f>
        <v/>
      </c>
      <c r="I227" s="44">
        <f>IF(_calc!$E$229="","",IF(LEN(INDEX('Licences'!$P$4:$P$503,_calc!$E$229))=0,"",INDEX('Licences'!$P$4:$P$503,_calc!$E$229)))</f>
        <v/>
      </c>
      <c r="K227" s="44">
        <f>IF(_calc!$E$229="","",IF(LEN(INDEX('Licences'!$G$4:$G$503,_calc!$E$229))=0,"",INDEX('Licences'!$G$4:$G$503,_calc!$E$229)))</f>
        <v/>
      </c>
    </row>
    <row r="228">
      <c r="A228" s="44">
        <f>IF(_calc!$E$230="","",IF(LEN(INDEX('Licences'!$A$4:$A$503,_calc!$E$230))=0,"",INDEX('Licences'!$A$4:$A$503,_calc!$E$230)))</f>
        <v/>
      </c>
      <c r="B228" s="44">
        <f>IF(_calc!$E$230="","",IF(ISNUMBER(INDEX('Licences'!$J$4:$J$503,_calc!$E$230)),TEXT(INDEX('Licences'!$J$4:$J$503,_calc!$E$230),"yyyy-mm-dd"),""))</f>
        <v/>
      </c>
      <c r="C228" s="44">
        <f>IF(_calc!$E$230="","",IF(LEN(INDEX('Licences'!$B$4:$B$503,_calc!$E$230))=0,"",INDEX('Licences'!$B$4:$B$503,_calc!$E$230)))</f>
        <v/>
      </c>
      <c r="D228" s="44">
        <f>IF(_calc!$E$230="","",IF(ISNUMBER(INDEX('Licences'!$I$4:$I$503,_calc!$E$230)),TEXT(INDEX('Licences'!$I$4:$I$503,_calc!$E$230),"yyyy-mm-dd"),""))</f>
        <v/>
      </c>
      <c r="E228" s="44">
        <f>IF(_calc!$E$230="","",IF(LEN(INDEX('Licences'!$H$4:$H$503,_calc!$E$230))=0,"",INDEX('Licences'!$H$4:$H$503,_calc!$E$230)))</f>
        <v/>
      </c>
      <c r="F228" s="44">
        <f>IF(_calc!$E$230="","",TRIM(IF(LEN(IF(LEN(INDEX('Licences'!$D$4:$D$503,_calc!$E$230))=0,"",INDEX('Licences'!$D$4:$D$503,_calc!$E$230)))=0,"","Ref: "&amp;IF(LEN(INDEX('Licences'!$D$4:$D$503,_calc!$E$230))=0,"",INDEX('Licences'!$D$4:$D$503,_calc!$E$230))&amp;". ")&amp;IF(LEN(IF(LEN(INDEX('Licences'!$C$4:$C$503,_calc!$E$230))=0,"",INDEX('Licences'!$C$4:$C$503,_calc!$E$230)))=0,"","Issuer: "&amp;IF(LEN(INDEX('Licences'!$C$4:$C$503,_calc!$E$230))=0,"",INDEX('Licences'!$C$4:$C$503,_calc!$E$230))&amp;". ")&amp;IF(LEN(IF(LEN(INDEX('Licences'!$E$4:$E$503,_calc!$E$230))=0,"",INDEX('Licences'!$E$4:$E$503,_calc!$E$230)))=0,"","Site: "&amp;IF(LEN(INDEX('Licences'!$E$4:$E$503,_calc!$E$230))=0,"",INDEX('Licences'!$E$4:$E$503,_calc!$E$230))&amp;". ")&amp;IF(LEN(IF(LEN(INDEX('Licences'!$F$4:$F$503,_calc!$E$230))=0,"",INDEX('Licences'!$F$4:$F$503,_calc!$E$230)))=0,"","Owner: "&amp;IF(LEN(INDEX('Licences'!$F$4:$F$503,_calc!$E$230))=0,"",INDEX('Licences'!$F$4:$F$503,_calc!$E$230))&amp;". ")&amp;IF(LEN(IF(LEN(INDEX('Licences'!$R$4:$R$503,_calc!$E$230))=0,"",INDEX('Licences'!$R$4:$R$503,_calc!$E$230)))=0,"",IF(LEN(INDEX('Licences'!$R$4:$R$503,_calc!$E$230))=0,"",INDEX('Licences'!$R$4:$R$503,_calc!$E$230)))))</f>
        <v/>
      </c>
      <c r="G228" s="44">
        <f>IF(_calc!$E$230="","",IF(LEN(INDEX('Licences'!$Q$4:$Q$503,_calc!$E$230))=0,"",INDEX('Licences'!$Q$4:$Q$503,_calc!$E$230)))</f>
        <v/>
      </c>
      <c r="H228" s="44">
        <f>IF(_calc!$E$230="","",IF(LEN(INDEX('Licences'!$O$4:$O$503,_calc!$E$230))=0,"",INDEX('Licences'!$O$4:$O$503,_calc!$E$230)))</f>
        <v/>
      </c>
      <c r="I228" s="44">
        <f>IF(_calc!$E$230="","",IF(LEN(INDEX('Licences'!$P$4:$P$503,_calc!$E$230))=0,"",INDEX('Licences'!$P$4:$P$503,_calc!$E$230)))</f>
        <v/>
      </c>
      <c r="K228" s="44">
        <f>IF(_calc!$E$230="","",IF(LEN(INDEX('Licences'!$G$4:$G$503,_calc!$E$230))=0,"",INDEX('Licences'!$G$4:$G$503,_calc!$E$230)))</f>
        <v/>
      </c>
    </row>
    <row r="229">
      <c r="A229" s="44">
        <f>IF(_calc!$E$231="","",IF(LEN(INDEX('Licences'!$A$4:$A$503,_calc!$E$231))=0,"",INDEX('Licences'!$A$4:$A$503,_calc!$E$231)))</f>
        <v/>
      </c>
      <c r="B229" s="44">
        <f>IF(_calc!$E$231="","",IF(ISNUMBER(INDEX('Licences'!$J$4:$J$503,_calc!$E$231)),TEXT(INDEX('Licences'!$J$4:$J$503,_calc!$E$231),"yyyy-mm-dd"),""))</f>
        <v/>
      </c>
      <c r="C229" s="44">
        <f>IF(_calc!$E$231="","",IF(LEN(INDEX('Licences'!$B$4:$B$503,_calc!$E$231))=0,"",INDEX('Licences'!$B$4:$B$503,_calc!$E$231)))</f>
        <v/>
      </c>
      <c r="D229" s="44">
        <f>IF(_calc!$E$231="","",IF(ISNUMBER(INDEX('Licences'!$I$4:$I$503,_calc!$E$231)),TEXT(INDEX('Licences'!$I$4:$I$503,_calc!$E$231),"yyyy-mm-dd"),""))</f>
        <v/>
      </c>
      <c r="E229" s="44">
        <f>IF(_calc!$E$231="","",IF(LEN(INDEX('Licences'!$H$4:$H$503,_calc!$E$231))=0,"",INDEX('Licences'!$H$4:$H$503,_calc!$E$231)))</f>
        <v/>
      </c>
      <c r="F229" s="44">
        <f>IF(_calc!$E$231="","",TRIM(IF(LEN(IF(LEN(INDEX('Licences'!$D$4:$D$503,_calc!$E$231))=0,"",INDEX('Licences'!$D$4:$D$503,_calc!$E$231)))=0,"","Ref: "&amp;IF(LEN(INDEX('Licences'!$D$4:$D$503,_calc!$E$231))=0,"",INDEX('Licences'!$D$4:$D$503,_calc!$E$231))&amp;". ")&amp;IF(LEN(IF(LEN(INDEX('Licences'!$C$4:$C$503,_calc!$E$231))=0,"",INDEX('Licences'!$C$4:$C$503,_calc!$E$231)))=0,"","Issuer: "&amp;IF(LEN(INDEX('Licences'!$C$4:$C$503,_calc!$E$231))=0,"",INDEX('Licences'!$C$4:$C$503,_calc!$E$231))&amp;". ")&amp;IF(LEN(IF(LEN(INDEX('Licences'!$E$4:$E$503,_calc!$E$231))=0,"",INDEX('Licences'!$E$4:$E$503,_calc!$E$231)))=0,"","Site: "&amp;IF(LEN(INDEX('Licences'!$E$4:$E$503,_calc!$E$231))=0,"",INDEX('Licences'!$E$4:$E$503,_calc!$E$231))&amp;". ")&amp;IF(LEN(IF(LEN(INDEX('Licences'!$F$4:$F$503,_calc!$E$231))=0,"",INDEX('Licences'!$F$4:$F$503,_calc!$E$231)))=0,"","Owner: "&amp;IF(LEN(INDEX('Licences'!$F$4:$F$503,_calc!$E$231))=0,"",INDEX('Licences'!$F$4:$F$503,_calc!$E$231))&amp;". ")&amp;IF(LEN(IF(LEN(INDEX('Licences'!$R$4:$R$503,_calc!$E$231))=0,"",INDEX('Licences'!$R$4:$R$503,_calc!$E$231)))=0,"",IF(LEN(INDEX('Licences'!$R$4:$R$503,_calc!$E$231))=0,"",INDEX('Licences'!$R$4:$R$503,_calc!$E$231)))))</f>
        <v/>
      </c>
      <c r="G229" s="44">
        <f>IF(_calc!$E$231="","",IF(LEN(INDEX('Licences'!$Q$4:$Q$503,_calc!$E$231))=0,"",INDEX('Licences'!$Q$4:$Q$503,_calc!$E$231)))</f>
        <v/>
      </c>
      <c r="H229" s="44">
        <f>IF(_calc!$E$231="","",IF(LEN(INDEX('Licences'!$O$4:$O$503,_calc!$E$231))=0,"",INDEX('Licences'!$O$4:$O$503,_calc!$E$231)))</f>
        <v/>
      </c>
      <c r="I229" s="44">
        <f>IF(_calc!$E$231="","",IF(LEN(INDEX('Licences'!$P$4:$P$503,_calc!$E$231))=0,"",INDEX('Licences'!$P$4:$P$503,_calc!$E$231)))</f>
        <v/>
      </c>
      <c r="K229" s="44">
        <f>IF(_calc!$E$231="","",IF(LEN(INDEX('Licences'!$G$4:$G$503,_calc!$E$231))=0,"",INDEX('Licences'!$G$4:$G$503,_calc!$E$231)))</f>
        <v/>
      </c>
    </row>
    <row r="230">
      <c r="A230" s="44">
        <f>IF(_calc!$E$232="","",IF(LEN(INDEX('Licences'!$A$4:$A$503,_calc!$E$232))=0,"",INDEX('Licences'!$A$4:$A$503,_calc!$E$232)))</f>
        <v/>
      </c>
      <c r="B230" s="44">
        <f>IF(_calc!$E$232="","",IF(ISNUMBER(INDEX('Licences'!$J$4:$J$503,_calc!$E$232)),TEXT(INDEX('Licences'!$J$4:$J$503,_calc!$E$232),"yyyy-mm-dd"),""))</f>
        <v/>
      </c>
      <c r="C230" s="44">
        <f>IF(_calc!$E$232="","",IF(LEN(INDEX('Licences'!$B$4:$B$503,_calc!$E$232))=0,"",INDEX('Licences'!$B$4:$B$503,_calc!$E$232)))</f>
        <v/>
      </c>
      <c r="D230" s="44">
        <f>IF(_calc!$E$232="","",IF(ISNUMBER(INDEX('Licences'!$I$4:$I$503,_calc!$E$232)),TEXT(INDEX('Licences'!$I$4:$I$503,_calc!$E$232),"yyyy-mm-dd"),""))</f>
        <v/>
      </c>
      <c r="E230" s="44">
        <f>IF(_calc!$E$232="","",IF(LEN(INDEX('Licences'!$H$4:$H$503,_calc!$E$232))=0,"",INDEX('Licences'!$H$4:$H$503,_calc!$E$232)))</f>
        <v/>
      </c>
      <c r="F230" s="44">
        <f>IF(_calc!$E$232="","",TRIM(IF(LEN(IF(LEN(INDEX('Licences'!$D$4:$D$503,_calc!$E$232))=0,"",INDEX('Licences'!$D$4:$D$503,_calc!$E$232)))=0,"","Ref: "&amp;IF(LEN(INDEX('Licences'!$D$4:$D$503,_calc!$E$232))=0,"",INDEX('Licences'!$D$4:$D$503,_calc!$E$232))&amp;". ")&amp;IF(LEN(IF(LEN(INDEX('Licences'!$C$4:$C$503,_calc!$E$232))=0,"",INDEX('Licences'!$C$4:$C$503,_calc!$E$232)))=0,"","Issuer: "&amp;IF(LEN(INDEX('Licences'!$C$4:$C$503,_calc!$E$232))=0,"",INDEX('Licences'!$C$4:$C$503,_calc!$E$232))&amp;". ")&amp;IF(LEN(IF(LEN(INDEX('Licences'!$E$4:$E$503,_calc!$E$232))=0,"",INDEX('Licences'!$E$4:$E$503,_calc!$E$232)))=0,"","Site: "&amp;IF(LEN(INDEX('Licences'!$E$4:$E$503,_calc!$E$232))=0,"",INDEX('Licences'!$E$4:$E$503,_calc!$E$232))&amp;". ")&amp;IF(LEN(IF(LEN(INDEX('Licences'!$F$4:$F$503,_calc!$E$232))=0,"",INDEX('Licences'!$F$4:$F$503,_calc!$E$232)))=0,"","Owner: "&amp;IF(LEN(INDEX('Licences'!$F$4:$F$503,_calc!$E$232))=0,"",INDEX('Licences'!$F$4:$F$503,_calc!$E$232))&amp;". ")&amp;IF(LEN(IF(LEN(INDEX('Licences'!$R$4:$R$503,_calc!$E$232))=0,"",INDEX('Licences'!$R$4:$R$503,_calc!$E$232)))=0,"",IF(LEN(INDEX('Licences'!$R$4:$R$503,_calc!$E$232))=0,"",INDEX('Licences'!$R$4:$R$503,_calc!$E$232)))))</f>
        <v/>
      </c>
      <c r="G230" s="44">
        <f>IF(_calc!$E$232="","",IF(LEN(INDEX('Licences'!$Q$4:$Q$503,_calc!$E$232))=0,"",INDEX('Licences'!$Q$4:$Q$503,_calc!$E$232)))</f>
        <v/>
      </c>
      <c r="H230" s="44">
        <f>IF(_calc!$E$232="","",IF(LEN(INDEX('Licences'!$O$4:$O$503,_calc!$E$232))=0,"",INDEX('Licences'!$O$4:$O$503,_calc!$E$232)))</f>
        <v/>
      </c>
      <c r="I230" s="44">
        <f>IF(_calc!$E$232="","",IF(LEN(INDEX('Licences'!$P$4:$P$503,_calc!$E$232))=0,"",INDEX('Licences'!$P$4:$P$503,_calc!$E$232)))</f>
        <v/>
      </c>
      <c r="K230" s="44">
        <f>IF(_calc!$E$232="","",IF(LEN(INDEX('Licences'!$G$4:$G$503,_calc!$E$232))=0,"",INDEX('Licences'!$G$4:$G$503,_calc!$E$232)))</f>
        <v/>
      </c>
    </row>
    <row r="231">
      <c r="A231" s="44">
        <f>IF(_calc!$E$233="","",IF(LEN(INDEX('Licences'!$A$4:$A$503,_calc!$E$233))=0,"",INDEX('Licences'!$A$4:$A$503,_calc!$E$233)))</f>
        <v/>
      </c>
      <c r="B231" s="44">
        <f>IF(_calc!$E$233="","",IF(ISNUMBER(INDEX('Licences'!$J$4:$J$503,_calc!$E$233)),TEXT(INDEX('Licences'!$J$4:$J$503,_calc!$E$233),"yyyy-mm-dd"),""))</f>
        <v/>
      </c>
      <c r="C231" s="44">
        <f>IF(_calc!$E$233="","",IF(LEN(INDEX('Licences'!$B$4:$B$503,_calc!$E$233))=0,"",INDEX('Licences'!$B$4:$B$503,_calc!$E$233)))</f>
        <v/>
      </c>
      <c r="D231" s="44">
        <f>IF(_calc!$E$233="","",IF(ISNUMBER(INDEX('Licences'!$I$4:$I$503,_calc!$E$233)),TEXT(INDEX('Licences'!$I$4:$I$503,_calc!$E$233),"yyyy-mm-dd"),""))</f>
        <v/>
      </c>
      <c r="E231" s="44">
        <f>IF(_calc!$E$233="","",IF(LEN(INDEX('Licences'!$H$4:$H$503,_calc!$E$233))=0,"",INDEX('Licences'!$H$4:$H$503,_calc!$E$233)))</f>
        <v/>
      </c>
      <c r="F231" s="44">
        <f>IF(_calc!$E$233="","",TRIM(IF(LEN(IF(LEN(INDEX('Licences'!$D$4:$D$503,_calc!$E$233))=0,"",INDEX('Licences'!$D$4:$D$503,_calc!$E$233)))=0,"","Ref: "&amp;IF(LEN(INDEX('Licences'!$D$4:$D$503,_calc!$E$233))=0,"",INDEX('Licences'!$D$4:$D$503,_calc!$E$233))&amp;". ")&amp;IF(LEN(IF(LEN(INDEX('Licences'!$C$4:$C$503,_calc!$E$233))=0,"",INDEX('Licences'!$C$4:$C$503,_calc!$E$233)))=0,"","Issuer: "&amp;IF(LEN(INDEX('Licences'!$C$4:$C$503,_calc!$E$233))=0,"",INDEX('Licences'!$C$4:$C$503,_calc!$E$233))&amp;". ")&amp;IF(LEN(IF(LEN(INDEX('Licences'!$E$4:$E$503,_calc!$E$233))=0,"",INDEX('Licences'!$E$4:$E$503,_calc!$E$233)))=0,"","Site: "&amp;IF(LEN(INDEX('Licences'!$E$4:$E$503,_calc!$E$233))=0,"",INDEX('Licences'!$E$4:$E$503,_calc!$E$233))&amp;". ")&amp;IF(LEN(IF(LEN(INDEX('Licences'!$F$4:$F$503,_calc!$E$233))=0,"",INDEX('Licences'!$F$4:$F$503,_calc!$E$233)))=0,"","Owner: "&amp;IF(LEN(INDEX('Licences'!$F$4:$F$503,_calc!$E$233))=0,"",INDEX('Licences'!$F$4:$F$503,_calc!$E$233))&amp;". ")&amp;IF(LEN(IF(LEN(INDEX('Licences'!$R$4:$R$503,_calc!$E$233))=0,"",INDEX('Licences'!$R$4:$R$503,_calc!$E$233)))=0,"",IF(LEN(INDEX('Licences'!$R$4:$R$503,_calc!$E$233))=0,"",INDEX('Licences'!$R$4:$R$503,_calc!$E$233)))))</f>
        <v/>
      </c>
      <c r="G231" s="44">
        <f>IF(_calc!$E$233="","",IF(LEN(INDEX('Licences'!$Q$4:$Q$503,_calc!$E$233))=0,"",INDEX('Licences'!$Q$4:$Q$503,_calc!$E$233)))</f>
        <v/>
      </c>
      <c r="H231" s="44">
        <f>IF(_calc!$E$233="","",IF(LEN(INDEX('Licences'!$O$4:$O$503,_calc!$E$233))=0,"",INDEX('Licences'!$O$4:$O$503,_calc!$E$233)))</f>
        <v/>
      </c>
      <c r="I231" s="44">
        <f>IF(_calc!$E$233="","",IF(LEN(INDEX('Licences'!$P$4:$P$503,_calc!$E$233))=0,"",INDEX('Licences'!$P$4:$P$503,_calc!$E$233)))</f>
        <v/>
      </c>
      <c r="K231" s="44">
        <f>IF(_calc!$E$233="","",IF(LEN(INDEX('Licences'!$G$4:$G$503,_calc!$E$233))=0,"",INDEX('Licences'!$G$4:$G$503,_calc!$E$233)))</f>
        <v/>
      </c>
    </row>
    <row r="232">
      <c r="A232" s="44">
        <f>IF(_calc!$E$234="","",IF(LEN(INDEX('Licences'!$A$4:$A$503,_calc!$E$234))=0,"",INDEX('Licences'!$A$4:$A$503,_calc!$E$234)))</f>
        <v/>
      </c>
      <c r="B232" s="44">
        <f>IF(_calc!$E$234="","",IF(ISNUMBER(INDEX('Licences'!$J$4:$J$503,_calc!$E$234)),TEXT(INDEX('Licences'!$J$4:$J$503,_calc!$E$234),"yyyy-mm-dd"),""))</f>
        <v/>
      </c>
      <c r="C232" s="44">
        <f>IF(_calc!$E$234="","",IF(LEN(INDEX('Licences'!$B$4:$B$503,_calc!$E$234))=0,"",INDEX('Licences'!$B$4:$B$503,_calc!$E$234)))</f>
        <v/>
      </c>
      <c r="D232" s="44">
        <f>IF(_calc!$E$234="","",IF(ISNUMBER(INDEX('Licences'!$I$4:$I$503,_calc!$E$234)),TEXT(INDEX('Licences'!$I$4:$I$503,_calc!$E$234),"yyyy-mm-dd"),""))</f>
        <v/>
      </c>
      <c r="E232" s="44">
        <f>IF(_calc!$E$234="","",IF(LEN(INDEX('Licences'!$H$4:$H$503,_calc!$E$234))=0,"",INDEX('Licences'!$H$4:$H$503,_calc!$E$234)))</f>
        <v/>
      </c>
      <c r="F232" s="44">
        <f>IF(_calc!$E$234="","",TRIM(IF(LEN(IF(LEN(INDEX('Licences'!$D$4:$D$503,_calc!$E$234))=0,"",INDEX('Licences'!$D$4:$D$503,_calc!$E$234)))=0,"","Ref: "&amp;IF(LEN(INDEX('Licences'!$D$4:$D$503,_calc!$E$234))=0,"",INDEX('Licences'!$D$4:$D$503,_calc!$E$234))&amp;". ")&amp;IF(LEN(IF(LEN(INDEX('Licences'!$C$4:$C$503,_calc!$E$234))=0,"",INDEX('Licences'!$C$4:$C$503,_calc!$E$234)))=0,"","Issuer: "&amp;IF(LEN(INDEX('Licences'!$C$4:$C$503,_calc!$E$234))=0,"",INDEX('Licences'!$C$4:$C$503,_calc!$E$234))&amp;". ")&amp;IF(LEN(IF(LEN(INDEX('Licences'!$E$4:$E$503,_calc!$E$234))=0,"",INDEX('Licences'!$E$4:$E$503,_calc!$E$234)))=0,"","Site: "&amp;IF(LEN(INDEX('Licences'!$E$4:$E$503,_calc!$E$234))=0,"",INDEX('Licences'!$E$4:$E$503,_calc!$E$234))&amp;". ")&amp;IF(LEN(IF(LEN(INDEX('Licences'!$F$4:$F$503,_calc!$E$234))=0,"",INDEX('Licences'!$F$4:$F$503,_calc!$E$234)))=0,"","Owner: "&amp;IF(LEN(INDEX('Licences'!$F$4:$F$503,_calc!$E$234))=0,"",INDEX('Licences'!$F$4:$F$503,_calc!$E$234))&amp;". ")&amp;IF(LEN(IF(LEN(INDEX('Licences'!$R$4:$R$503,_calc!$E$234))=0,"",INDEX('Licences'!$R$4:$R$503,_calc!$E$234)))=0,"",IF(LEN(INDEX('Licences'!$R$4:$R$503,_calc!$E$234))=0,"",INDEX('Licences'!$R$4:$R$503,_calc!$E$234)))))</f>
        <v/>
      </c>
      <c r="G232" s="44">
        <f>IF(_calc!$E$234="","",IF(LEN(INDEX('Licences'!$Q$4:$Q$503,_calc!$E$234))=0,"",INDEX('Licences'!$Q$4:$Q$503,_calc!$E$234)))</f>
        <v/>
      </c>
      <c r="H232" s="44">
        <f>IF(_calc!$E$234="","",IF(LEN(INDEX('Licences'!$O$4:$O$503,_calc!$E$234))=0,"",INDEX('Licences'!$O$4:$O$503,_calc!$E$234)))</f>
        <v/>
      </c>
      <c r="I232" s="44">
        <f>IF(_calc!$E$234="","",IF(LEN(INDEX('Licences'!$P$4:$P$503,_calc!$E$234))=0,"",INDEX('Licences'!$P$4:$P$503,_calc!$E$234)))</f>
        <v/>
      </c>
      <c r="K232" s="44">
        <f>IF(_calc!$E$234="","",IF(LEN(INDEX('Licences'!$G$4:$G$503,_calc!$E$234))=0,"",INDEX('Licences'!$G$4:$G$503,_calc!$E$234)))</f>
        <v/>
      </c>
    </row>
    <row r="233">
      <c r="A233" s="44">
        <f>IF(_calc!$E$235="","",IF(LEN(INDEX('Licences'!$A$4:$A$503,_calc!$E$235))=0,"",INDEX('Licences'!$A$4:$A$503,_calc!$E$235)))</f>
        <v/>
      </c>
      <c r="B233" s="44">
        <f>IF(_calc!$E$235="","",IF(ISNUMBER(INDEX('Licences'!$J$4:$J$503,_calc!$E$235)),TEXT(INDEX('Licences'!$J$4:$J$503,_calc!$E$235),"yyyy-mm-dd"),""))</f>
        <v/>
      </c>
      <c r="C233" s="44">
        <f>IF(_calc!$E$235="","",IF(LEN(INDEX('Licences'!$B$4:$B$503,_calc!$E$235))=0,"",INDEX('Licences'!$B$4:$B$503,_calc!$E$235)))</f>
        <v/>
      </c>
      <c r="D233" s="44">
        <f>IF(_calc!$E$235="","",IF(ISNUMBER(INDEX('Licences'!$I$4:$I$503,_calc!$E$235)),TEXT(INDEX('Licences'!$I$4:$I$503,_calc!$E$235),"yyyy-mm-dd"),""))</f>
        <v/>
      </c>
      <c r="E233" s="44">
        <f>IF(_calc!$E$235="","",IF(LEN(INDEX('Licences'!$H$4:$H$503,_calc!$E$235))=0,"",INDEX('Licences'!$H$4:$H$503,_calc!$E$235)))</f>
        <v/>
      </c>
      <c r="F233" s="44">
        <f>IF(_calc!$E$235="","",TRIM(IF(LEN(IF(LEN(INDEX('Licences'!$D$4:$D$503,_calc!$E$235))=0,"",INDEX('Licences'!$D$4:$D$503,_calc!$E$235)))=0,"","Ref: "&amp;IF(LEN(INDEX('Licences'!$D$4:$D$503,_calc!$E$235))=0,"",INDEX('Licences'!$D$4:$D$503,_calc!$E$235))&amp;". ")&amp;IF(LEN(IF(LEN(INDEX('Licences'!$C$4:$C$503,_calc!$E$235))=0,"",INDEX('Licences'!$C$4:$C$503,_calc!$E$235)))=0,"","Issuer: "&amp;IF(LEN(INDEX('Licences'!$C$4:$C$503,_calc!$E$235))=0,"",INDEX('Licences'!$C$4:$C$503,_calc!$E$235))&amp;". ")&amp;IF(LEN(IF(LEN(INDEX('Licences'!$E$4:$E$503,_calc!$E$235))=0,"",INDEX('Licences'!$E$4:$E$503,_calc!$E$235)))=0,"","Site: "&amp;IF(LEN(INDEX('Licences'!$E$4:$E$503,_calc!$E$235))=0,"",INDEX('Licences'!$E$4:$E$503,_calc!$E$235))&amp;". ")&amp;IF(LEN(IF(LEN(INDEX('Licences'!$F$4:$F$503,_calc!$E$235))=0,"",INDEX('Licences'!$F$4:$F$503,_calc!$E$235)))=0,"","Owner: "&amp;IF(LEN(INDEX('Licences'!$F$4:$F$503,_calc!$E$235))=0,"",INDEX('Licences'!$F$4:$F$503,_calc!$E$235))&amp;". ")&amp;IF(LEN(IF(LEN(INDEX('Licences'!$R$4:$R$503,_calc!$E$235))=0,"",INDEX('Licences'!$R$4:$R$503,_calc!$E$235)))=0,"",IF(LEN(INDEX('Licences'!$R$4:$R$503,_calc!$E$235))=0,"",INDEX('Licences'!$R$4:$R$503,_calc!$E$235)))))</f>
        <v/>
      </c>
      <c r="G233" s="44">
        <f>IF(_calc!$E$235="","",IF(LEN(INDEX('Licences'!$Q$4:$Q$503,_calc!$E$235))=0,"",INDEX('Licences'!$Q$4:$Q$503,_calc!$E$235)))</f>
        <v/>
      </c>
      <c r="H233" s="44">
        <f>IF(_calc!$E$235="","",IF(LEN(INDEX('Licences'!$O$4:$O$503,_calc!$E$235))=0,"",INDEX('Licences'!$O$4:$O$503,_calc!$E$235)))</f>
        <v/>
      </c>
      <c r="I233" s="44">
        <f>IF(_calc!$E$235="","",IF(LEN(INDEX('Licences'!$P$4:$P$503,_calc!$E$235))=0,"",INDEX('Licences'!$P$4:$P$503,_calc!$E$235)))</f>
        <v/>
      </c>
      <c r="K233" s="44">
        <f>IF(_calc!$E$235="","",IF(LEN(INDEX('Licences'!$G$4:$G$503,_calc!$E$235))=0,"",INDEX('Licences'!$G$4:$G$503,_calc!$E$235)))</f>
        <v/>
      </c>
    </row>
    <row r="234">
      <c r="A234" s="44">
        <f>IF(_calc!$E$236="","",IF(LEN(INDEX('Licences'!$A$4:$A$503,_calc!$E$236))=0,"",INDEX('Licences'!$A$4:$A$503,_calc!$E$236)))</f>
        <v/>
      </c>
      <c r="B234" s="44">
        <f>IF(_calc!$E$236="","",IF(ISNUMBER(INDEX('Licences'!$J$4:$J$503,_calc!$E$236)),TEXT(INDEX('Licences'!$J$4:$J$503,_calc!$E$236),"yyyy-mm-dd"),""))</f>
        <v/>
      </c>
      <c r="C234" s="44">
        <f>IF(_calc!$E$236="","",IF(LEN(INDEX('Licences'!$B$4:$B$503,_calc!$E$236))=0,"",INDEX('Licences'!$B$4:$B$503,_calc!$E$236)))</f>
        <v/>
      </c>
      <c r="D234" s="44">
        <f>IF(_calc!$E$236="","",IF(ISNUMBER(INDEX('Licences'!$I$4:$I$503,_calc!$E$236)),TEXT(INDEX('Licences'!$I$4:$I$503,_calc!$E$236),"yyyy-mm-dd"),""))</f>
        <v/>
      </c>
      <c r="E234" s="44">
        <f>IF(_calc!$E$236="","",IF(LEN(INDEX('Licences'!$H$4:$H$503,_calc!$E$236))=0,"",INDEX('Licences'!$H$4:$H$503,_calc!$E$236)))</f>
        <v/>
      </c>
      <c r="F234" s="44">
        <f>IF(_calc!$E$236="","",TRIM(IF(LEN(IF(LEN(INDEX('Licences'!$D$4:$D$503,_calc!$E$236))=0,"",INDEX('Licences'!$D$4:$D$503,_calc!$E$236)))=0,"","Ref: "&amp;IF(LEN(INDEX('Licences'!$D$4:$D$503,_calc!$E$236))=0,"",INDEX('Licences'!$D$4:$D$503,_calc!$E$236))&amp;". ")&amp;IF(LEN(IF(LEN(INDEX('Licences'!$C$4:$C$503,_calc!$E$236))=0,"",INDEX('Licences'!$C$4:$C$503,_calc!$E$236)))=0,"","Issuer: "&amp;IF(LEN(INDEX('Licences'!$C$4:$C$503,_calc!$E$236))=0,"",INDEX('Licences'!$C$4:$C$503,_calc!$E$236))&amp;". ")&amp;IF(LEN(IF(LEN(INDEX('Licences'!$E$4:$E$503,_calc!$E$236))=0,"",INDEX('Licences'!$E$4:$E$503,_calc!$E$236)))=0,"","Site: "&amp;IF(LEN(INDEX('Licences'!$E$4:$E$503,_calc!$E$236))=0,"",INDEX('Licences'!$E$4:$E$503,_calc!$E$236))&amp;". ")&amp;IF(LEN(IF(LEN(INDEX('Licences'!$F$4:$F$503,_calc!$E$236))=0,"",INDEX('Licences'!$F$4:$F$503,_calc!$E$236)))=0,"","Owner: "&amp;IF(LEN(INDEX('Licences'!$F$4:$F$503,_calc!$E$236))=0,"",INDEX('Licences'!$F$4:$F$503,_calc!$E$236))&amp;". ")&amp;IF(LEN(IF(LEN(INDEX('Licences'!$R$4:$R$503,_calc!$E$236))=0,"",INDEX('Licences'!$R$4:$R$503,_calc!$E$236)))=0,"",IF(LEN(INDEX('Licences'!$R$4:$R$503,_calc!$E$236))=0,"",INDEX('Licences'!$R$4:$R$503,_calc!$E$236)))))</f>
        <v/>
      </c>
      <c r="G234" s="44">
        <f>IF(_calc!$E$236="","",IF(LEN(INDEX('Licences'!$Q$4:$Q$503,_calc!$E$236))=0,"",INDEX('Licences'!$Q$4:$Q$503,_calc!$E$236)))</f>
        <v/>
      </c>
      <c r="H234" s="44">
        <f>IF(_calc!$E$236="","",IF(LEN(INDEX('Licences'!$O$4:$O$503,_calc!$E$236))=0,"",INDEX('Licences'!$O$4:$O$503,_calc!$E$236)))</f>
        <v/>
      </c>
      <c r="I234" s="44">
        <f>IF(_calc!$E$236="","",IF(LEN(INDEX('Licences'!$P$4:$P$503,_calc!$E$236))=0,"",INDEX('Licences'!$P$4:$P$503,_calc!$E$236)))</f>
        <v/>
      </c>
      <c r="K234" s="44">
        <f>IF(_calc!$E$236="","",IF(LEN(INDEX('Licences'!$G$4:$G$503,_calc!$E$236))=0,"",INDEX('Licences'!$G$4:$G$503,_calc!$E$236)))</f>
        <v/>
      </c>
    </row>
    <row r="235">
      <c r="A235" s="44">
        <f>IF(_calc!$E$237="","",IF(LEN(INDEX('Licences'!$A$4:$A$503,_calc!$E$237))=0,"",INDEX('Licences'!$A$4:$A$503,_calc!$E$237)))</f>
        <v/>
      </c>
      <c r="B235" s="44">
        <f>IF(_calc!$E$237="","",IF(ISNUMBER(INDEX('Licences'!$J$4:$J$503,_calc!$E$237)),TEXT(INDEX('Licences'!$J$4:$J$503,_calc!$E$237),"yyyy-mm-dd"),""))</f>
        <v/>
      </c>
      <c r="C235" s="44">
        <f>IF(_calc!$E$237="","",IF(LEN(INDEX('Licences'!$B$4:$B$503,_calc!$E$237))=0,"",INDEX('Licences'!$B$4:$B$503,_calc!$E$237)))</f>
        <v/>
      </c>
      <c r="D235" s="44">
        <f>IF(_calc!$E$237="","",IF(ISNUMBER(INDEX('Licences'!$I$4:$I$503,_calc!$E$237)),TEXT(INDEX('Licences'!$I$4:$I$503,_calc!$E$237),"yyyy-mm-dd"),""))</f>
        <v/>
      </c>
      <c r="E235" s="44">
        <f>IF(_calc!$E$237="","",IF(LEN(INDEX('Licences'!$H$4:$H$503,_calc!$E$237))=0,"",INDEX('Licences'!$H$4:$H$503,_calc!$E$237)))</f>
        <v/>
      </c>
      <c r="F235" s="44">
        <f>IF(_calc!$E$237="","",TRIM(IF(LEN(IF(LEN(INDEX('Licences'!$D$4:$D$503,_calc!$E$237))=0,"",INDEX('Licences'!$D$4:$D$503,_calc!$E$237)))=0,"","Ref: "&amp;IF(LEN(INDEX('Licences'!$D$4:$D$503,_calc!$E$237))=0,"",INDEX('Licences'!$D$4:$D$503,_calc!$E$237))&amp;". ")&amp;IF(LEN(IF(LEN(INDEX('Licences'!$C$4:$C$503,_calc!$E$237))=0,"",INDEX('Licences'!$C$4:$C$503,_calc!$E$237)))=0,"","Issuer: "&amp;IF(LEN(INDEX('Licences'!$C$4:$C$503,_calc!$E$237))=0,"",INDEX('Licences'!$C$4:$C$503,_calc!$E$237))&amp;". ")&amp;IF(LEN(IF(LEN(INDEX('Licences'!$E$4:$E$503,_calc!$E$237))=0,"",INDEX('Licences'!$E$4:$E$503,_calc!$E$237)))=0,"","Site: "&amp;IF(LEN(INDEX('Licences'!$E$4:$E$503,_calc!$E$237))=0,"",INDEX('Licences'!$E$4:$E$503,_calc!$E$237))&amp;". ")&amp;IF(LEN(IF(LEN(INDEX('Licences'!$F$4:$F$503,_calc!$E$237))=0,"",INDEX('Licences'!$F$4:$F$503,_calc!$E$237)))=0,"","Owner: "&amp;IF(LEN(INDEX('Licences'!$F$4:$F$503,_calc!$E$237))=0,"",INDEX('Licences'!$F$4:$F$503,_calc!$E$237))&amp;". ")&amp;IF(LEN(IF(LEN(INDEX('Licences'!$R$4:$R$503,_calc!$E$237))=0,"",INDEX('Licences'!$R$4:$R$503,_calc!$E$237)))=0,"",IF(LEN(INDEX('Licences'!$R$4:$R$503,_calc!$E$237))=0,"",INDEX('Licences'!$R$4:$R$503,_calc!$E$237)))))</f>
        <v/>
      </c>
      <c r="G235" s="44">
        <f>IF(_calc!$E$237="","",IF(LEN(INDEX('Licences'!$Q$4:$Q$503,_calc!$E$237))=0,"",INDEX('Licences'!$Q$4:$Q$503,_calc!$E$237)))</f>
        <v/>
      </c>
      <c r="H235" s="44">
        <f>IF(_calc!$E$237="","",IF(LEN(INDEX('Licences'!$O$4:$O$503,_calc!$E$237))=0,"",INDEX('Licences'!$O$4:$O$503,_calc!$E$237)))</f>
        <v/>
      </c>
      <c r="I235" s="44">
        <f>IF(_calc!$E$237="","",IF(LEN(INDEX('Licences'!$P$4:$P$503,_calc!$E$237))=0,"",INDEX('Licences'!$P$4:$P$503,_calc!$E$237)))</f>
        <v/>
      </c>
      <c r="K235" s="44">
        <f>IF(_calc!$E$237="","",IF(LEN(INDEX('Licences'!$G$4:$G$503,_calc!$E$237))=0,"",INDEX('Licences'!$G$4:$G$503,_calc!$E$237)))</f>
        <v/>
      </c>
    </row>
    <row r="236">
      <c r="A236" s="44">
        <f>IF(_calc!$E$238="","",IF(LEN(INDEX('Licences'!$A$4:$A$503,_calc!$E$238))=0,"",INDEX('Licences'!$A$4:$A$503,_calc!$E$238)))</f>
        <v/>
      </c>
      <c r="B236" s="44">
        <f>IF(_calc!$E$238="","",IF(ISNUMBER(INDEX('Licences'!$J$4:$J$503,_calc!$E$238)),TEXT(INDEX('Licences'!$J$4:$J$503,_calc!$E$238),"yyyy-mm-dd"),""))</f>
        <v/>
      </c>
      <c r="C236" s="44">
        <f>IF(_calc!$E$238="","",IF(LEN(INDEX('Licences'!$B$4:$B$503,_calc!$E$238))=0,"",INDEX('Licences'!$B$4:$B$503,_calc!$E$238)))</f>
        <v/>
      </c>
      <c r="D236" s="44">
        <f>IF(_calc!$E$238="","",IF(ISNUMBER(INDEX('Licences'!$I$4:$I$503,_calc!$E$238)),TEXT(INDEX('Licences'!$I$4:$I$503,_calc!$E$238),"yyyy-mm-dd"),""))</f>
        <v/>
      </c>
      <c r="E236" s="44">
        <f>IF(_calc!$E$238="","",IF(LEN(INDEX('Licences'!$H$4:$H$503,_calc!$E$238))=0,"",INDEX('Licences'!$H$4:$H$503,_calc!$E$238)))</f>
        <v/>
      </c>
      <c r="F236" s="44">
        <f>IF(_calc!$E$238="","",TRIM(IF(LEN(IF(LEN(INDEX('Licences'!$D$4:$D$503,_calc!$E$238))=0,"",INDEX('Licences'!$D$4:$D$503,_calc!$E$238)))=0,"","Ref: "&amp;IF(LEN(INDEX('Licences'!$D$4:$D$503,_calc!$E$238))=0,"",INDEX('Licences'!$D$4:$D$503,_calc!$E$238))&amp;". ")&amp;IF(LEN(IF(LEN(INDEX('Licences'!$C$4:$C$503,_calc!$E$238))=0,"",INDEX('Licences'!$C$4:$C$503,_calc!$E$238)))=0,"","Issuer: "&amp;IF(LEN(INDEX('Licences'!$C$4:$C$503,_calc!$E$238))=0,"",INDEX('Licences'!$C$4:$C$503,_calc!$E$238))&amp;". ")&amp;IF(LEN(IF(LEN(INDEX('Licences'!$E$4:$E$503,_calc!$E$238))=0,"",INDEX('Licences'!$E$4:$E$503,_calc!$E$238)))=0,"","Site: "&amp;IF(LEN(INDEX('Licences'!$E$4:$E$503,_calc!$E$238))=0,"",INDEX('Licences'!$E$4:$E$503,_calc!$E$238))&amp;". ")&amp;IF(LEN(IF(LEN(INDEX('Licences'!$F$4:$F$503,_calc!$E$238))=0,"",INDEX('Licences'!$F$4:$F$503,_calc!$E$238)))=0,"","Owner: "&amp;IF(LEN(INDEX('Licences'!$F$4:$F$503,_calc!$E$238))=0,"",INDEX('Licences'!$F$4:$F$503,_calc!$E$238))&amp;". ")&amp;IF(LEN(IF(LEN(INDEX('Licences'!$R$4:$R$503,_calc!$E$238))=0,"",INDEX('Licences'!$R$4:$R$503,_calc!$E$238)))=0,"",IF(LEN(INDEX('Licences'!$R$4:$R$503,_calc!$E$238))=0,"",INDEX('Licences'!$R$4:$R$503,_calc!$E$238)))))</f>
        <v/>
      </c>
      <c r="G236" s="44">
        <f>IF(_calc!$E$238="","",IF(LEN(INDEX('Licences'!$Q$4:$Q$503,_calc!$E$238))=0,"",INDEX('Licences'!$Q$4:$Q$503,_calc!$E$238)))</f>
        <v/>
      </c>
      <c r="H236" s="44">
        <f>IF(_calc!$E$238="","",IF(LEN(INDEX('Licences'!$O$4:$O$503,_calc!$E$238))=0,"",INDEX('Licences'!$O$4:$O$503,_calc!$E$238)))</f>
        <v/>
      </c>
      <c r="I236" s="44">
        <f>IF(_calc!$E$238="","",IF(LEN(INDEX('Licences'!$P$4:$P$503,_calc!$E$238))=0,"",INDEX('Licences'!$P$4:$P$503,_calc!$E$238)))</f>
        <v/>
      </c>
      <c r="K236" s="44">
        <f>IF(_calc!$E$238="","",IF(LEN(INDEX('Licences'!$G$4:$G$503,_calc!$E$238))=0,"",INDEX('Licences'!$G$4:$G$503,_calc!$E$238)))</f>
        <v/>
      </c>
    </row>
    <row r="237">
      <c r="A237" s="44">
        <f>IF(_calc!$E$239="","",IF(LEN(INDEX('Licences'!$A$4:$A$503,_calc!$E$239))=0,"",INDEX('Licences'!$A$4:$A$503,_calc!$E$239)))</f>
        <v/>
      </c>
      <c r="B237" s="44">
        <f>IF(_calc!$E$239="","",IF(ISNUMBER(INDEX('Licences'!$J$4:$J$503,_calc!$E$239)),TEXT(INDEX('Licences'!$J$4:$J$503,_calc!$E$239),"yyyy-mm-dd"),""))</f>
        <v/>
      </c>
      <c r="C237" s="44">
        <f>IF(_calc!$E$239="","",IF(LEN(INDEX('Licences'!$B$4:$B$503,_calc!$E$239))=0,"",INDEX('Licences'!$B$4:$B$503,_calc!$E$239)))</f>
        <v/>
      </c>
      <c r="D237" s="44">
        <f>IF(_calc!$E$239="","",IF(ISNUMBER(INDEX('Licences'!$I$4:$I$503,_calc!$E$239)),TEXT(INDEX('Licences'!$I$4:$I$503,_calc!$E$239),"yyyy-mm-dd"),""))</f>
        <v/>
      </c>
      <c r="E237" s="44">
        <f>IF(_calc!$E$239="","",IF(LEN(INDEX('Licences'!$H$4:$H$503,_calc!$E$239))=0,"",INDEX('Licences'!$H$4:$H$503,_calc!$E$239)))</f>
        <v/>
      </c>
      <c r="F237" s="44">
        <f>IF(_calc!$E$239="","",TRIM(IF(LEN(IF(LEN(INDEX('Licences'!$D$4:$D$503,_calc!$E$239))=0,"",INDEX('Licences'!$D$4:$D$503,_calc!$E$239)))=0,"","Ref: "&amp;IF(LEN(INDEX('Licences'!$D$4:$D$503,_calc!$E$239))=0,"",INDEX('Licences'!$D$4:$D$503,_calc!$E$239))&amp;". ")&amp;IF(LEN(IF(LEN(INDEX('Licences'!$C$4:$C$503,_calc!$E$239))=0,"",INDEX('Licences'!$C$4:$C$503,_calc!$E$239)))=0,"","Issuer: "&amp;IF(LEN(INDEX('Licences'!$C$4:$C$503,_calc!$E$239))=0,"",INDEX('Licences'!$C$4:$C$503,_calc!$E$239))&amp;". ")&amp;IF(LEN(IF(LEN(INDEX('Licences'!$E$4:$E$503,_calc!$E$239))=0,"",INDEX('Licences'!$E$4:$E$503,_calc!$E$239)))=0,"","Site: "&amp;IF(LEN(INDEX('Licences'!$E$4:$E$503,_calc!$E$239))=0,"",INDEX('Licences'!$E$4:$E$503,_calc!$E$239))&amp;". ")&amp;IF(LEN(IF(LEN(INDEX('Licences'!$F$4:$F$503,_calc!$E$239))=0,"",INDEX('Licences'!$F$4:$F$503,_calc!$E$239)))=0,"","Owner: "&amp;IF(LEN(INDEX('Licences'!$F$4:$F$503,_calc!$E$239))=0,"",INDEX('Licences'!$F$4:$F$503,_calc!$E$239))&amp;". ")&amp;IF(LEN(IF(LEN(INDEX('Licences'!$R$4:$R$503,_calc!$E$239))=0,"",INDEX('Licences'!$R$4:$R$503,_calc!$E$239)))=0,"",IF(LEN(INDEX('Licences'!$R$4:$R$503,_calc!$E$239))=0,"",INDEX('Licences'!$R$4:$R$503,_calc!$E$239)))))</f>
        <v/>
      </c>
      <c r="G237" s="44">
        <f>IF(_calc!$E$239="","",IF(LEN(INDEX('Licences'!$Q$4:$Q$503,_calc!$E$239))=0,"",INDEX('Licences'!$Q$4:$Q$503,_calc!$E$239)))</f>
        <v/>
      </c>
      <c r="H237" s="44">
        <f>IF(_calc!$E$239="","",IF(LEN(INDEX('Licences'!$O$4:$O$503,_calc!$E$239))=0,"",INDEX('Licences'!$O$4:$O$503,_calc!$E$239)))</f>
        <v/>
      </c>
      <c r="I237" s="44">
        <f>IF(_calc!$E$239="","",IF(LEN(INDEX('Licences'!$P$4:$P$503,_calc!$E$239))=0,"",INDEX('Licences'!$P$4:$P$503,_calc!$E$239)))</f>
        <v/>
      </c>
      <c r="K237" s="44">
        <f>IF(_calc!$E$239="","",IF(LEN(INDEX('Licences'!$G$4:$G$503,_calc!$E$239))=0,"",INDEX('Licences'!$G$4:$G$503,_calc!$E$239)))</f>
        <v/>
      </c>
    </row>
    <row r="238">
      <c r="A238" s="44">
        <f>IF(_calc!$E$240="","",IF(LEN(INDEX('Licences'!$A$4:$A$503,_calc!$E$240))=0,"",INDEX('Licences'!$A$4:$A$503,_calc!$E$240)))</f>
        <v/>
      </c>
      <c r="B238" s="44">
        <f>IF(_calc!$E$240="","",IF(ISNUMBER(INDEX('Licences'!$J$4:$J$503,_calc!$E$240)),TEXT(INDEX('Licences'!$J$4:$J$503,_calc!$E$240),"yyyy-mm-dd"),""))</f>
        <v/>
      </c>
      <c r="C238" s="44">
        <f>IF(_calc!$E$240="","",IF(LEN(INDEX('Licences'!$B$4:$B$503,_calc!$E$240))=0,"",INDEX('Licences'!$B$4:$B$503,_calc!$E$240)))</f>
        <v/>
      </c>
      <c r="D238" s="44">
        <f>IF(_calc!$E$240="","",IF(ISNUMBER(INDEX('Licences'!$I$4:$I$503,_calc!$E$240)),TEXT(INDEX('Licences'!$I$4:$I$503,_calc!$E$240),"yyyy-mm-dd"),""))</f>
        <v/>
      </c>
      <c r="E238" s="44">
        <f>IF(_calc!$E$240="","",IF(LEN(INDEX('Licences'!$H$4:$H$503,_calc!$E$240))=0,"",INDEX('Licences'!$H$4:$H$503,_calc!$E$240)))</f>
        <v/>
      </c>
      <c r="F238" s="44">
        <f>IF(_calc!$E$240="","",TRIM(IF(LEN(IF(LEN(INDEX('Licences'!$D$4:$D$503,_calc!$E$240))=0,"",INDEX('Licences'!$D$4:$D$503,_calc!$E$240)))=0,"","Ref: "&amp;IF(LEN(INDEX('Licences'!$D$4:$D$503,_calc!$E$240))=0,"",INDEX('Licences'!$D$4:$D$503,_calc!$E$240))&amp;". ")&amp;IF(LEN(IF(LEN(INDEX('Licences'!$C$4:$C$503,_calc!$E$240))=0,"",INDEX('Licences'!$C$4:$C$503,_calc!$E$240)))=0,"","Issuer: "&amp;IF(LEN(INDEX('Licences'!$C$4:$C$503,_calc!$E$240))=0,"",INDEX('Licences'!$C$4:$C$503,_calc!$E$240))&amp;". ")&amp;IF(LEN(IF(LEN(INDEX('Licences'!$E$4:$E$503,_calc!$E$240))=0,"",INDEX('Licences'!$E$4:$E$503,_calc!$E$240)))=0,"","Site: "&amp;IF(LEN(INDEX('Licences'!$E$4:$E$503,_calc!$E$240))=0,"",INDEX('Licences'!$E$4:$E$503,_calc!$E$240))&amp;". ")&amp;IF(LEN(IF(LEN(INDEX('Licences'!$F$4:$F$503,_calc!$E$240))=0,"",INDEX('Licences'!$F$4:$F$503,_calc!$E$240)))=0,"","Owner: "&amp;IF(LEN(INDEX('Licences'!$F$4:$F$503,_calc!$E$240))=0,"",INDEX('Licences'!$F$4:$F$503,_calc!$E$240))&amp;". ")&amp;IF(LEN(IF(LEN(INDEX('Licences'!$R$4:$R$503,_calc!$E$240))=0,"",INDEX('Licences'!$R$4:$R$503,_calc!$E$240)))=0,"",IF(LEN(INDEX('Licences'!$R$4:$R$503,_calc!$E$240))=0,"",INDEX('Licences'!$R$4:$R$503,_calc!$E$240)))))</f>
        <v/>
      </c>
      <c r="G238" s="44">
        <f>IF(_calc!$E$240="","",IF(LEN(INDEX('Licences'!$Q$4:$Q$503,_calc!$E$240))=0,"",INDEX('Licences'!$Q$4:$Q$503,_calc!$E$240)))</f>
        <v/>
      </c>
      <c r="H238" s="44">
        <f>IF(_calc!$E$240="","",IF(LEN(INDEX('Licences'!$O$4:$O$503,_calc!$E$240))=0,"",INDEX('Licences'!$O$4:$O$503,_calc!$E$240)))</f>
        <v/>
      </c>
      <c r="I238" s="44">
        <f>IF(_calc!$E$240="","",IF(LEN(INDEX('Licences'!$P$4:$P$503,_calc!$E$240))=0,"",INDEX('Licences'!$P$4:$P$503,_calc!$E$240)))</f>
        <v/>
      </c>
      <c r="K238" s="44">
        <f>IF(_calc!$E$240="","",IF(LEN(INDEX('Licences'!$G$4:$G$503,_calc!$E$240))=0,"",INDEX('Licences'!$G$4:$G$503,_calc!$E$240)))</f>
        <v/>
      </c>
    </row>
    <row r="239">
      <c r="A239" s="44">
        <f>IF(_calc!$E$241="","",IF(LEN(INDEX('Licences'!$A$4:$A$503,_calc!$E$241))=0,"",INDEX('Licences'!$A$4:$A$503,_calc!$E$241)))</f>
        <v/>
      </c>
      <c r="B239" s="44">
        <f>IF(_calc!$E$241="","",IF(ISNUMBER(INDEX('Licences'!$J$4:$J$503,_calc!$E$241)),TEXT(INDEX('Licences'!$J$4:$J$503,_calc!$E$241),"yyyy-mm-dd"),""))</f>
        <v/>
      </c>
      <c r="C239" s="44">
        <f>IF(_calc!$E$241="","",IF(LEN(INDEX('Licences'!$B$4:$B$503,_calc!$E$241))=0,"",INDEX('Licences'!$B$4:$B$503,_calc!$E$241)))</f>
        <v/>
      </c>
      <c r="D239" s="44">
        <f>IF(_calc!$E$241="","",IF(ISNUMBER(INDEX('Licences'!$I$4:$I$503,_calc!$E$241)),TEXT(INDEX('Licences'!$I$4:$I$503,_calc!$E$241),"yyyy-mm-dd"),""))</f>
        <v/>
      </c>
      <c r="E239" s="44">
        <f>IF(_calc!$E$241="","",IF(LEN(INDEX('Licences'!$H$4:$H$503,_calc!$E$241))=0,"",INDEX('Licences'!$H$4:$H$503,_calc!$E$241)))</f>
        <v/>
      </c>
      <c r="F239" s="44">
        <f>IF(_calc!$E$241="","",TRIM(IF(LEN(IF(LEN(INDEX('Licences'!$D$4:$D$503,_calc!$E$241))=0,"",INDEX('Licences'!$D$4:$D$503,_calc!$E$241)))=0,"","Ref: "&amp;IF(LEN(INDEX('Licences'!$D$4:$D$503,_calc!$E$241))=0,"",INDEX('Licences'!$D$4:$D$503,_calc!$E$241))&amp;". ")&amp;IF(LEN(IF(LEN(INDEX('Licences'!$C$4:$C$503,_calc!$E$241))=0,"",INDEX('Licences'!$C$4:$C$503,_calc!$E$241)))=0,"","Issuer: "&amp;IF(LEN(INDEX('Licences'!$C$4:$C$503,_calc!$E$241))=0,"",INDEX('Licences'!$C$4:$C$503,_calc!$E$241))&amp;". ")&amp;IF(LEN(IF(LEN(INDEX('Licences'!$E$4:$E$503,_calc!$E$241))=0,"",INDEX('Licences'!$E$4:$E$503,_calc!$E$241)))=0,"","Site: "&amp;IF(LEN(INDEX('Licences'!$E$4:$E$503,_calc!$E$241))=0,"",INDEX('Licences'!$E$4:$E$503,_calc!$E$241))&amp;". ")&amp;IF(LEN(IF(LEN(INDEX('Licences'!$F$4:$F$503,_calc!$E$241))=0,"",INDEX('Licences'!$F$4:$F$503,_calc!$E$241)))=0,"","Owner: "&amp;IF(LEN(INDEX('Licences'!$F$4:$F$503,_calc!$E$241))=0,"",INDEX('Licences'!$F$4:$F$503,_calc!$E$241))&amp;". ")&amp;IF(LEN(IF(LEN(INDEX('Licences'!$R$4:$R$503,_calc!$E$241))=0,"",INDEX('Licences'!$R$4:$R$503,_calc!$E$241)))=0,"",IF(LEN(INDEX('Licences'!$R$4:$R$503,_calc!$E$241))=0,"",INDEX('Licences'!$R$4:$R$503,_calc!$E$241)))))</f>
        <v/>
      </c>
      <c r="G239" s="44">
        <f>IF(_calc!$E$241="","",IF(LEN(INDEX('Licences'!$Q$4:$Q$503,_calc!$E$241))=0,"",INDEX('Licences'!$Q$4:$Q$503,_calc!$E$241)))</f>
        <v/>
      </c>
      <c r="H239" s="44">
        <f>IF(_calc!$E$241="","",IF(LEN(INDEX('Licences'!$O$4:$O$503,_calc!$E$241))=0,"",INDEX('Licences'!$O$4:$O$503,_calc!$E$241)))</f>
        <v/>
      </c>
      <c r="I239" s="44">
        <f>IF(_calc!$E$241="","",IF(LEN(INDEX('Licences'!$P$4:$P$503,_calc!$E$241))=0,"",INDEX('Licences'!$P$4:$P$503,_calc!$E$241)))</f>
        <v/>
      </c>
      <c r="K239" s="44">
        <f>IF(_calc!$E$241="","",IF(LEN(INDEX('Licences'!$G$4:$G$503,_calc!$E$241))=0,"",INDEX('Licences'!$G$4:$G$503,_calc!$E$241)))</f>
        <v/>
      </c>
    </row>
    <row r="240">
      <c r="A240" s="44">
        <f>IF(_calc!$E$242="","",IF(LEN(INDEX('Licences'!$A$4:$A$503,_calc!$E$242))=0,"",INDEX('Licences'!$A$4:$A$503,_calc!$E$242)))</f>
        <v/>
      </c>
      <c r="B240" s="44">
        <f>IF(_calc!$E$242="","",IF(ISNUMBER(INDEX('Licences'!$J$4:$J$503,_calc!$E$242)),TEXT(INDEX('Licences'!$J$4:$J$503,_calc!$E$242),"yyyy-mm-dd"),""))</f>
        <v/>
      </c>
      <c r="C240" s="44">
        <f>IF(_calc!$E$242="","",IF(LEN(INDEX('Licences'!$B$4:$B$503,_calc!$E$242))=0,"",INDEX('Licences'!$B$4:$B$503,_calc!$E$242)))</f>
        <v/>
      </c>
      <c r="D240" s="44">
        <f>IF(_calc!$E$242="","",IF(ISNUMBER(INDEX('Licences'!$I$4:$I$503,_calc!$E$242)),TEXT(INDEX('Licences'!$I$4:$I$503,_calc!$E$242),"yyyy-mm-dd"),""))</f>
        <v/>
      </c>
      <c r="E240" s="44">
        <f>IF(_calc!$E$242="","",IF(LEN(INDEX('Licences'!$H$4:$H$503,_calc!$E$242))=0,"",INDEX('Licences'!$H$4:$H$503,_calc!$E$242)))</f>
        <v/>
      </c>
      <c r="F240" s="44">
        <f>IF(_calc!$E$242="","",TRIM(IF(LEN(IF(LEN(INDEX('Licences'!$D$4:$D$503,_calc!$E$242))=0,"",INDEX('Licences'!$D$4:$D$503,_calc!$E$242)))=0,"","Ref: "&amp;IF(LEN(INDEX('Licences'!$D$4:$D$503,_calc!$E$242))=0,"",INDEX('Licences'!$D$4:$D$503,_calc!$E$242))&amp;". ")&amp;IF(LEN(IF(LEN(INDEX('Licences'!$C$4:$C$503,_calc!$E$242))=0,"",INDEX('Licences'!$C$4:$C$503,_calc!$E$242)))=0,"","Issuer: "&amp;IF(LEN(INDEX('Licences'!$C$4:$C$503,_calc!$E$242))=0,"",INDEX('Licences'!$C$4:$C$503,_calc!$E$242))&amp;". ")&amp;IF(LEN(IF(LEN(INDEX('Licences'!$E$4:$E$503,_calc!$E$242))=0,"",INDEX('Licences'!$E$4:$E$503,_calc!$E$242)))=0,"","Site: "&amp;IF(LEN(INDEX('Licences'!$E$4:$E$503,_calc!$E$242))=0,"",INDEX('Licences'!$E$4:$E$503,_calc!$E$242))&amp;". ")&amp;IF(LEN(IF(LEN(INDEX('Licences'!$F$4:$F$503,_calc!$E$242))=0,"",INDEX('Licences'!$F$4:$F$503,_calc!$E$242)))=0,"","Owner: "&amp;IF(LEN(INDEX('Licences'!$F$4:$F$503,_calc!$E$242))=0,"",INDEX('Licences'!$F$4:$F$503,_calc!$E$242))&amp;". ")&amp;IF(LEN(IF(LEN(INDEX('Licences'!$R$4:$R$503,_calc!$E$242))=0,"",INDEX('Licences'!$R$4:$R$503,_calc!$E$242)))=0,"",IF(LEN(INDEX('Licences'!$R$4:$R$503,_calc!$E$242))=0,"",INDEX('Licences'!$R$4:$R$503,_calc!$E$242)))))</f>
        <v/>
      </c>
      <c r="G240" s="44">
        <f>IF(_calc!$E$242="","",IF(LEN(INDEX('Licences'!$Q$4:$Q$503,_calc!$E$242))=0,"",INDEX('Licences'!$Q$4:$Q$503,_calc!$E$242)))</f>
        <v/>
      </c>
      <c r="H240" s="44">
        <f>IF(_calc!$E$242="","",IF(LEN(INDEX('Licences'!$O$4:$O$503,_calc!$E$242))=0,"",INDEX('Licences'!$O$4:$O$503,_calc!$E$242)))</f>
        <v/>
      </c>
      <c r="I240" s="44">
        <f>IF(_calc!$E$242="","",IF(LEN(INDEX('Licences'!$P$4:$P$503,_calc!$E$242))=0,"",INDEX('Licences'!$P$4:$P$503,_calc!$E$242)))</f>
        <v/>
      </c>
      <c r="K240" s="44">
        <f>IF(_calc!$E$242="","",IF(LEN(INDEX('Licences'!$G$4:$G$503,_calc!$E$242))=0,"",INDEX('Licences'!$G$4:$G$503,_calc!$E$242)))</f>
        <v/>
      </c>
    </row>
    <row r="241">
      <c r="A241" s="44">
        <f>IF(_calc!$E$243="","",IF(LEN(INDEX('Licences'!$A$4:$A$503,_calc!$E$243))=0,"",INDEX('Licences'!$A$4:$A$503,_calc!$E$243)))</f>
        <v/>
      </c>
      <c r="B241" s="44">
        <f>IF(_calc!$E$243="","",IF(ISNUMBER(INDEX('Licences'!$J$4:$J$503,_calc!$E$243)),TEXT(INDEX('Licences'!$J$4:$J$503,_calc!$E$243),"yyyy-mm-dd"),""))</f>
        <v/>
      </c>
      <c r="C241" s="44">
        <f>IF(_calc!$E$243="","",IF(LEN(INDEX('Licences'!$B$4:$B$503,_calc!$E$243))=0,"",INDEX('Licences'!$B$4:$B$503,_calc!$E$243)))</f>
        <v/>
      </c>
      <c r="D241" s="44">
        <f>IF(_calc!$E$243="","",IF(ISNUMBER(INDEX('Licences'!$I$4:$I$503,_calc!$E$243)),TEXT(INDEX('Licences'!$I$4:$I$503,_calc!$E$243),"yyyy-mm-dd"),""))</f>
        <v/>
      </c>
      <c r="E241" s="44">
        <f>IF(_calc!$E$243="","",IF(LEN(INDEX('Licences'!$H$4:$H$503,_calc!$E$243))=0,"",INDEX('Licences'!$H$4:$H$503,_calc!$E$243)))</f>
        <v/>
      </c>
      <c r="F241" s="44">
        <f>IF(_calc!$E$243="","",TRIM(IF(LEN(IF(LEN(INDEX('Licences'!$D$4:$D$503,_calc!$E$243))=0,"",INDEX('Licences'!$D$4:$D$503,_calc!$E$243)))=0,"","Ref: "&amp;IF(LEN(INDEX('Licences'!$D$4:$D$503,_calc!$E$243))=0,"",INDEX('Licences'!$D$4:$D$503,_calc!$E$243))&amp;". ")&amp;IF(LEN(IF(LEN(INDEX('Licences'!$C$4:$C$503,_calc!$E$243))=0,"",INDEX('Licences'!$C$4:$C$503,_calc!$E$243)))=0,"","Issuer: "&amp;IF(LEN(INDEX('Licences'!$C$4:$C$503,_calc!$E$243))=0,"",INDEX('Licences'!$C$4:$C$503,_calc!$E$243))&amp;". ")&amp;IF(LEN(IF(LEN(INDEX('Licences'!$E$4:$E$503,_calc!$E$243))=0,"",INDEX('Licences'!$E$4:$E$503,_calc!$E$243)))=0,"","Site: "&amp;IF(LEN(INDEX('Licences'!$E$4:$E$503,_calc!$E$243))=0,"",INDEX('Licences'!$E$4:$E$503,_calc!$E$243))&amp;". ")&amp;IF(LEN(IF(LEN(INDEX('Licences'!$F$4:$F$503,_calc!$E$243))=0,"",INDEX('Licences'!$F$4:$F$503,_calc!$E$243)))=0,"","Owner: "&amp;IF(LEN(INDEX('Licences'!$F$4:$F$503,_calc!$E$243))=0,"",INDEX('Licences'!$F$4:$F$503,_calc!$E$243))&amp;". ")&amp;IF(LEN(IF(LEN(INDEX('Licences'!$R$4:$R$503,_calc!$E$243))=0,"",INDEX('Licences'!$R$4:$R$503,_calc!$E$243)))=0,"",IF(LEN(INDEX('Licences'!$R$4:$R$503,_calc!$E$243))=0,"",INDEX('Licences'!$R$4:$R$503,_calc!$E$243)))))</f>
        <v/>
      </c>
      <c r="G241" s="44">
        <f>IF(_calc!$E$243="","",IF(LEN(INDEX('Licences'!$Q$4:$Q$503,_calc!$E$243))=0,"",INDEX('Licences'!$Q$4:$Q$503,_calc!$E$243)))</f>
        <v/>
      </c>
      <c r="H241" s="44">
        <f>IF(_calc!$E$243="","",IF(LEN(INDEX('Licences'!$O$4:$O$503,_calc!$E$243))=0,"",INDEX('Licences'!$O$4:$O$503,_calc!$E$243)))</f>
        <v/>
      </c>
      <c r="I241" s="44">
        <f>IF(_calc!$E$243="","",IF(LEN(INDEX('Licences'!$P$4:$P$503,_calc!$E$243))=0,"",INDEX('Licences'!$P$4:$P$503,_calc!$E$243)))</f>
        <v/>
      </c>
      <c r="K241" s="44">
        <f>IF(_calc!$E$243="","",IF(LEN(INDEX('Licences'!$G$4:$G$503,_calc!$E$243))=0,"",INDEX('Licences'!$G$4:$G$503,_calc!$E$243)))</f>
        <v/>
      </c>
    </row>
    <row r="242">
      <c r="A242" s="44">
        <f>IF(_calc!$E$244="","",IF(LEN(INDEX('Licences'!$A$4:$A$503,_calc!$E$244))=0,"",INDEX('Licences'!$A$4:$A$503,_calc!$E$244)))</f>
        <v/>
      </c>
      <c r="B242" s="44">
        <f>IF(_calc!$E$244="","",IF(ISNUMBER(INDEX('Licences'!$J$4:$J$503,_calc!$E$244)),TEXT(INDEX('Licences'!$J$4:$J$503,_calc!$E$244),"yyyy-mm-dd"),""))</f>
        <v/>
      </c>
      <c r="C242" s="44">
        <f>IF(_calc!$E$244="","",IF(LEN(INDEX('Licences'!$B$4:$B$503,_calc!$E$244))=0,"",INDEX('Licences'!$B$4:$B$503,_calc!$E$244)))</f>
        <v/>
      </c>
      <c r="D242" s="44">
        <f>IF(_calc!$E$244="","",IF(ISNUMBER(INDEX('Licences'!$I$4:$I$503,_calc!$E$244)),TEXT(INDEX('Licences'!$I$4:$I$503,_calc!$E$244),"yyyy-mm-dd"),""))</f>
        <v/>
      </c>
      <c r="E242" s="44">
        <f>IF(_calc!$E$244="","",IF(LEN(INDEX('Licences'!$H$4:$H$503,_calc!$E$244))=0,"",INDEX('Licences'!$H$4:$H$503,_calc!$E$244)))</f>
        <v/>
      </c>
      <c r="F242" s="44">
        <f>IF(_calc!$E$244="","",TRIM(IF(LEN(IF(LEN(INDEX('Licences'!$D$4:$D$503,_calc!$E$244))=0,"",INDEX('Licences'!$D$4:$D$503,_calc!$E$244)))=0,"","Ref: "&amp;IF(LEN(INDEX('Licences'!$D$4:$D$503,_calc!$E$244))=0,"",INDEX('Licences'!$D$4:$D$503,_calc!$E$244))&amp;". ")&amp;IF(LEN(IF(LEN(INDEX('Licences'!$C$4:$C$503,_calc!$E$244))=0,"",INDEX('Licences'!$C$4:$C$503,_calc!$E$244)))=0,"","Issuer: "&amp;IF(LEN(INDEX('Licences'!$C$4:$C$503,_calc!$E$244))=0,"",INDEX('Licences'!$C$4:$C$503,_calc!$E$244))&amp;". ")&amp;IF(LEN(IF(LEN(INDEX('Licences'!$E$4:$E$503,_calc!$E$244))=0,"",INDEX('Licences'!$E$4:$E$503,_calc!$E$244)))=0,"","Site: "&amp;IF(LEN(INDEX('Licences'!$E$4:$E$503,_calc!$E$244))=0,"",INDEX('Licences'!$E$4:$E$503,_calc!$E$244))&amp;". ")&amp;IF(LEN(IF(LEN(INDEX('Licences'!$F$4:$F$503,_calc!$E$244))=0,"",INDEX('Licences'!$F$4:$F$503,_calc!$E$244)))=0,"","Owner: "&amp;IF(LEN(INDEX('Licences'!$F$4:$F$503,_calc!$E$244))=0,"",INDEX('Licences'!$F$4:$F$503,_calc!$E$244))&amp;". ")&amp;IF(LEN(IF(LEN(INDEX('Licences'!$R$4:$R$503,_calc!$E$244))=0,"",INDEX('Licences'!$R$4:$R$503,_calc!$E$244)))=0,"",IF(LEN(INDEX('Licences'!$R$4:$R$503,_calc!$E$244))=0,"",INDEX('Licences'!$R$4:$R$503,_calc!$E$244)))))</f>
        <v/>
      </c>
      <c r="G242" s="44">
        <f>IF(_calc!$E$244="","",IF(LEN(INDEX('Licences'!$Q$4:$Q$503,_calc!$E$244))=0,"",INDEX('Licences'!$Q$4:$Q$503,_calc!$E$244)))</f>
        <v/>
      </c>
      <c r="H242" s="44">
        <f>IF(_calc!$E$244="","",IF(LEN(INDEX('Licences'!$O$4:$O$503,_calc!$E$244))=0,"",INDEX('Licences'!$O$4:$O$503,_calc!$E$244)))</f>
        <v/>
      </c>
      <c r="I242" s="44">
        <f>IF(_calc!$E$244="","",IF(LEN(INDEX('Licences'!$P$4:$P$503,_calc!$E$244))=0,"",INDEX('Licences'!$P$4:$P$503,_calc!$E$244)))</f>
        <v/>
      </c>
      <c r="K242" s="44">
        <f>IF(_calc!$E$244="","",IF(LEN(INDEX('Licences'!$G$4:$G$503,_calc!$E$244))=0,"",INDEX('Licences'!$G$4:$G$503,_calc!$E$244)))</f>
        <v/>
      </c>
    </row>
    <row r="243">
      <c r="A243" s="44">
        <f>IF(_calc!$E$245="","",IF(LEN(INDEX('Licences'!$A$4:$A$503,_calc!$E$245))=0,"",INDEX('Licences'!$A$4:$A$503,_calc!$E$245)))</f>
        <v/>
      </c>
      <c r="B243" s="44">
        <f>IF(_calc!$E$245="","",IF(ISNUMBER(INDEX('Licences'!$J$4:$J$503,_calc!$E$245)),TEXT(INDEX('Licences'!$J$4:$J$503,_calc!$E$245),"yyyy-mm-dd"),""))</f>
        <v/>
      </c>
      <c r="C243" s="44">
        <f>IF(_calc!$E$245="","",IF(LEN(INDEX('Licences'!$B$4:$B$503,_calc!$E$245))=0,"",INDEX('Licences'!$B$4:$B$503,_calc!$E$245)))</f>
        <v/>
      </c>
      <c r="D243" s="44">
        <f>IF(_calc!$E$245="","",IF(ISNUMBER(INDEX('Licences'!$I$4:$I$503,_calc!$E$245)),TEXT(INDEX('Licences'!$I$4:$I$503,_calc!$E$245),"yyyy-mm-dd"),""))</f>
        <v/>
      </c>
      <c r="E243" s="44">
        <f>IF(_calc!$E$245="","",IF(LEN(INDEX('Licences'!$H$4:$H$503,_calc!$E$245))=0,"",INDEX('Licences'!$H$4:$H$503,_calc!$E$245)))</f>
        <v/>
      </c>
      <c r="F243" s="44">
        <f>IF(_calc!$E$245="","",TRIM(IF(LEN(IF(LEN(INDEX('Licences'!$D$4:$D$503,_calc!$E$245))=0,"",INDEX('Licences'!$D$4:$D$503,_calc!$E$245)))=0,"","Ref: "&amp;IF(LEN(INDEX('Licences'!$D$4:$D$503,_calc!$E$245))=0,"",INDEX('Licences'!$D$4:$D$503,_calc!$E$245))&amp;". ")&amp;IF(LEN(IF(LEN(INDEX('Licences'!$C$4:$C$503,_calc!$E$245))=0,"",INDEX('Licences'!$C$4:$C$503,_calc!$E$245)))=0,"","Issuer: "&amp;IF(LEN(INDEX('Licences'!$C$4:$C$503,_calc!$E$245))=0,"",INDEX('Licences'!$C$4:$C$503,_calc!$E$245))&amp;". ")&amp;IF(LEN(IF(LEN(INDEX('Licences'!$E$4:$E$503,_calc!$E$245))=0,"",INDEX('Licences'!$E$4:$E$503,_calc!$E$245)))=0,"","Site: "&amp;IF(LEN(INDEX('Licences'!$E$4:$E$503,_calc!$E$245))=0,"",INDEX('Licences'!$E$4:$E$503,_calc!$E$245))&amp;". ")&amp;IF(LEN(IF(LEN(INDEX('Licences'!$F$4:$F$503,_calc!$E$245))=0,"",INDEX('Licences'!$F$4:$F$503,_calc!$E$245)))=0,"","Owner: "&amp;IF(LEN(INDEX('Licences'!$F$4:$F$503,_calc!$E$245))=0,"",INDEX('Licences'!$F$4:$F$503,_calc!$E$245))&amp;". ")&amp;IF(LEN(IF(LEN(INDEX('Licences'!$R$4:$R$503,_calc!$E$245))=0,"",INDEX('Licences'!$R$4:$R$503,_calc!$E$245)))=0,"",IF(LEN(INDEX('Licences'!$R$4:$R$503,_calc!$E$245))=0,"",INDEX('Licences'!$R$4:$R$503,_calc!$E$245)))))</f>
        <v/>
      </c>
      <c r="G243" s="44">
        <f>IF(_calc!$E$245="","",IF(LEN(INDEX('Licences'!$Q$4:$Q$503,_calc!$E$245))=0,"",INDEX('Licences'!$Q$4:$Q$503,_calc!$E$245)))</f>
        <v/>
      </c>
      <c r="H243" s="44">
        <f>IF(_calc!$E$245="","",IF(LEN(INDEX('Licences'!$O$4:$O$503,_calc!$E$245))=0,"",INDEX('Licences'!$O$4:$O$503,_calc!$E$245)))</f>
        <v/>
      </c>
      <c r="I243" s="44">
        <f>IF(_calc!$E$245="","",IF(LEN(INDEX('Licences'!$P$4:$P$503,_calc!$E$245))=0,"",INDEX('Licences'!$P$4:$P$503,_calc!$E$245)))</f>
        <v/>
      </c>
      <c r="K243" s="44">
        <f>IF(_calc!$E$245="","",IF(LEN(INDEX('Licences'!$G$4:$G$503,_calc!$E$245))=0,"",INDEX('Licences'!$G$4:$G$503,_calc!$E$245)))</f>
        <v/>
      </c>
    </row>
    <row r="244">
      <c r="A244" s="44">
        <f>IF(_calc!$E$246="","",IF(LEN(INDEX('Licences'!$A$4:$A$503,_calc!$E$246))=0,"",INDEX('Licences'!$A$4:$A$503,_calc!$E$246)))</f>
        <v/>
      </c>
      <c r="B244" s="44">
        <f>IF(_calc!$E$246="","",IF(ISNUMBER(INDEX('Licences'!$J$4:$J$503,_calc!$E$246)),TEXT(INDEX('Licences'!$J$4:$J$503,_calc!$E$246),"yyyy-mm-dd"),""))</f>
        <v/>
      </c>
      <c r="C244" s="44">
        <f>IF(_calc!$E$246="","",IF(LEN(INDEX('Licences'!$B$4:$B$503,_calc!$E$246))=0,"",INDEX('Licences'!$B$4:$B$503,_calc!$E$246)))</f>
        <v/>
      </c>
      <c r="D244" s="44">
        <f>IF(_calc!$E$246="","",IF(ISNUMBER(INDEX('Licences'!$I$4:$I$503,_calc!$E$246)),TEXT(INDEX('Licences'!$I$4:$I$503,_calc!$E$246),"yyyy-mm-dd"),""))</f>
        <v/>
      </c>
      <c r="E244" s="44">
        <f>IF(_calc!$E$246="","",IF(LEN(INDEX('Licences'!$H$4:$H$503,_calc!$E$246))=0,"",INDEX('Licences'!$H$4:$H$503,_calc!$E$246)))</f>
        <v/>
      </c>
      <c r="F244" s="44">
        <f>IF(_calc!$E$246="","",TRIM(IF(LEN(IF(LEN(INDEX('Licences'!$D$4:$D$503,_calc!$E$246))=0,"",INDEX('Licences'!$D$4:$D$503,_calc!$E$246)))=0,"","Ref: "&amp;IF(LEN(INDEX('Licences'!$D$4:$D$503,_calc!$E$246))=0,"",INDEX('Licences'!$D$4:$D$503,_calc!$E$246))&amp;". ")&amp;IF(LEN(IF(LEN(INDEX('Licences'!$C$4:$C$503,_calc!$E$246))=0,"",INDEX('Licences'!$C$4:$C$503,_calc!$E$246)))=0,"","Issuer: "&amp;IF(LEN(INDEX('Licences'!$C$4:$C$503,_calc!$E$246))=0,"",INDEX('Licences'!$C$4:$C$503,_calc!$E$246))&amp;". ")&amp;IF(LEN(IF(LEN(INDEX('Licences'!$E$4:$E$503,_calc!$E$246))=0,"",INDEX('Licences'!$E$4:$E$503,_calc!$E$246)))=0,"","Site: "&amp;IF(LEN(INDEX('Licences'!$E$4:$E$503,_calc!$E$246))=0,"",INDEX('Licences'!$E$4:$E$503,_calc!$E$246))&amp;". ")&amp;IF(LEN(IF(LEN(INDEX('Licences'!$F$4:$F$503,_calc!$E$246))=0,"",INDEX('Licences'!$F$4:$F$503,_calc!$E$246)))=0,"","Owner: "&amp;IF(LEN(INDEX('Licences'!$F$4:$F$503,_calc!$E$246))=0,"",INDEX('Licences'!$F$4:$F$503,_calc!$E$246))&amp;". ")&amp;IF(LEN(IF(LEN(INDEX('Licences'!$R$4:$R$503,_calc!$E$246))=0,"",INDEX('Licences'!$R$4:$R$503,_calc!$E$246)))=0,"",IF(LEN(INDEX('Licences'!$R$4:$R$503,_calc!$E$246))=0,"",INDEX('Licences'!$R$4:$R$503,_calc!$E$246)))))</f>
        <v/>
      </c>
      <c r="G244" s="44">
        <f>IF(_calc!$E$246="","",IF(LEN(INDEX('Licences'!$Q$4:$Q$503,_calc!$E$246))=0,"",INDEX('Licences'!$Q$4:$Q$503,_calc!$E$246)))</f>
        <v/>
      </c>
      <c r="H244" s="44">
        <f>IF(_calc!$E$246="","",IF(LEN(INDEX('Licences'!$O$4:$O$503,_calc!$E$246))=0,"",INDEX('Licences'!$O$4:$O$503,_calc!$E$246)))</f>
        <v/>
      </c>
      <c r="I244" s="44">
        <f>IF(_calc!$E$246="","",IF(LEN(INDEX('Licences'!$P$4:$P$503,_calc!$E$246))=0,"",INDEX('Licences'!$P$4:$P$503,_calc!$E$246)))</f>
        <v/>
      </c>
      <c r="K244" s="44">
        <f>IF(_calc!$E$246="","",IF(LEN(INDEX('Licences'!$G$4:$G$503,_calc!$E$246))=0,"",INDEX('Licences'!$G$4:$G$503,_calc!$E$246)))</f>
        <v/>
      </c>
    </row>
    <row r="245">
      <c r="A245" s="44">
        <f>IF(_calc!$E$247="","",IF(LEN(INDEX('Licences'!$A$4:$A$503,_calc!$E$247))=0,"",INDEX('Licences'!$A$4:$A$503,_calc!$E$247)))</f>
        <v/>
      </c>
      <c r="B245" s="44">
        <f>IF(_calc!$E$247="","",IF(ISNUMBER(INDEX('Licences'!$J$4:$J$503,_calc!$E$247)),TEXT(INDEX('Licences'!$J$4:$J$503,_calc!$E$247),"yyyy-mm-dd"),""))</f>
        <v/>
      </c>
      <c r="C245" s="44">
        <f>IF(_calc!$E$247="","",IF(LEN(INDEX('Licences'!$B$4:$B$503,_calc!$E$247))=0,"",INDEX('Licences'!$B$4:$B$503,_calc!$E$247)))</f>
        <v/>
      </c>
      <c r="D245" s="44">
        <f>IF(_calc!$E$247="","",IF(ISNUMBER(INDEX('Licences'!$I$4:$I$503,_calc!$E$247)),TEXT(INDEX('Licences'!$I$4:$I$503,_calc!$E$247),"yyyy-mm-dd"),""))</f>
        <v/>
      </c>
      <c r="E245" s="44">
        <f>IF(_calc!$E$247="","",IF(LEN(INDEX('Licences'!$H$4:$H$503,_calc!$E$247))=0,"",INDEX('Licences'!$H$4:$H$503,_calc!$E$247)))</f>
        <v/>
      </c>
      <c r="F245" s="44">
        <f>IF(_calc!$E$247="","",TRIM(IF(LEN(IF(LEN(INDEX('Licences'!$D$4:$D$503,_calc!$E$247))=0,"",INDEX('Licences'!$D$4:$D$503,_calc!$E$247)))=0,"","Ref: "&amp;IF(LEN(INDEX('Licences'!$D$4:$D$503,_calc!$E$247))=0,"",INDEX('Licences'!$D$4:$D$503,_calc!$E$247))&amp;". ")&amp;IF(LEN(IF(LEN(INDEX('Licences'!$C$4:$C$503,_calc!$E$247))=0,"",INDEX('Licences'!$C$4:$C$503,_calc!$E$247)))=0,"","Issuer: "&amp;IF(LEN(INDEX('Licences'!$C$4:$C$503,_calc!$E$247))=0,"",INDEX('Licences'!$C$4:$C$503,_calc!$E$247))&amp;". ")&amp;IF(LEN(IF(LEN(INDEX('Licences'!$E$4:$E$503,_calc!$E$247))=0,"",INDEX('Licences'!$E$4:$E$503,_calc!$E$247)))=0,"","Site: "&amp;IF(LEN(INDEX('Licences'!$E$4:$E$503,_calc!$E$247))=0,"",INDEX('Licences'!$E$4:$E$503,_calc!$E$247))&amp;". ")&amp;IF(LEN(IF(LEN(INDEX('Licences'!$F$4:$F$503,_calc!$E$247))=0,"",INDEX('Licences'!$F$4:$F$503,_calc!$E$247)))=0,"","Owner: "&amp;IF(LEN(INDEX('Licences'!$F$4:$F$503,_calc!$E$247))=0,"",INDEX('Licences'!$F$4:$F$503,_calc!$E$247))&amp;". ")&amp;IF(LEN(IF(LEN(INDEX('Licences'!$R$4:$R$503,_calc!$E$247))=0,"",INDEX('Licences'!$R$4:$R$503,_calc!$E$247)))=0,"",IF(LEN(INDEX('Licences'!$R$4:$R$503,_calc!$E$247))=0,"",INDEX('Licences'!$R$4:$R$503,_calc!$E$247)))))</f>
        <v/>
      </c>
      <c r="G245" s="44">
        <f>IF(_calc!$E$247="","",IF(LEN(INDEX('Licences'!$Q$4:$Q$503,_calc!$E$247))=0,"",INDEX('Licences'!$Q$4:$Q$503,_calc!$E$247)))</f>
        <v/>
      </c>
      <c r="H245" s="44">
        <f>IF(_calc!$E$247="","",IF(LEN(INDEX('Licences'!$O$4:$O$503,_calc!$E$247))=0,"",INDEX('Licences'!$O$4:$O$503,_calc!$E$247)))</f>
        <v/>
      </c>
      <c r="I245" s="44">
        <f>IF(_calc!$E$247="","",IF(LEN(INDEX('Licences'!$P$4:$P$503,_calc!$E$247))=0,"",INDEX('Licences'!$P$4:$P$503,_calc!$E$247)))</f>
        <v/>
      </c>
      <c r="K245" s="44">
        <f>IF(_calc!$E$247="","",IF(LEN(INDEX('Licences'!$G$4:$G$503,_calc!$E$247))=0,"",INDEX('Licences'!$G$4:$G$503,_calc!$E$247)))</f>
        <v/>
      </c>
    </row>
    <row r="246">
      <c r="A246" s="44">
        <f>IF(_calc!$E$248="","",IF(LEN(INDEX('Licences'!$A$4:$A$503,_calc!$E$248))=0,"",INDEX('Licences'!$A$4:$A$503,_calc!$E$248)))</f>
        <v/>
      </c>
      <c r="B246" s="44">
        <f>IF(_calc!$E$248="","",IF(ISNUMBER(INDEX('Licences'!$J$4:$J$503,_calc!$E$248)),TEXT(INDEX('Licences'!$J$4:$J$503,_calc!$E$248),"yyyy-mm-dd"),""))</f>
        <v/>
      </c>
      <c r="C246" s="44">
        <f>IF(_calc!$E$248="","",IF(LEN(INDEX('Licences'!$B$4:$B$503,_calc!$E$248))=0,"",INDEX('Licences'!$B$4:$B$503,_calc!$E$248)))</f>
        <v/>
      </c>
      <c r="D246" s="44">
        <f>IF(_calc!$E$248="","",IF(ISNUMBER(INDEX('Licences'!$I$4:$I$503,_calc!$E$248)),TEXT(INDEX('Licences'!$I$4:$I$503,_calc!$E$248),"yyyy-mm-dd"),""))</f>
        <v/>
      </c>
      <c r="E246" s="44">
        <f>IF(_calc!$E$248="","",IF(LEN(INDEX('Licences'!$H$4:$H$503,_calc!$E$248))=0,"",INDEX('Licences'!$H$4:$H$503,_calc!$E$248)))</f>
        <v/>
      </c>
      <c r="F246" s="44">
        <f>IF(_calc!$E$248="","",TRIM(IF(LEN(IF(LEN(INDEX('Licences'!$D$4:$D$503,_calc!$E$248))=0,"",INDEX('Licences'!$D$4:$D$503,_calc!$E$248)))=0,"","Ref: "&amp;IF(LEN(INDEX('Licences'!$D$4:$D$503,_calc!$E$248))=0,"",INDEX('Licences'!$D$4:$D$503,_calc!$E$248))&amp;". ")&amp;IF(LEN(IF(LEN(INDEX('Licences'!$C$4:$C$503,_calc!$E$248))=0,"",INDEX('Licences'!$C$4:$C$503,_calc!$E$248)))=0,"","Issuer: "&amp;IF(LEN(INDEX('Licences'!$C$4:$C$503,_calc!$E$248))=0,"",INDEX('Licences'!$C$4:$C$503,_calc!$E$248))&amp;". ")&amp;IF(LEN(IF(LEN(INDEX('Licences'!$E$4:$E$503,_calc!$E$248))=0,"",INDEX('Licences'!$E$4:$E$503,_calc!$E$248)))=0,"","Site: "&amp;IF(LEN(INDEX('Licences'!$E$4:$E$503,_calc!$E$248))=0,"",INDEX('Licences'!$E$4:$E$503,_calc!$E$248))&amp;". ")&amp;IF(LEN(IF(LEN(INDEX('Licences'!$F$4:$F$503,_calc!$E$248))=0,"",INDEX('Licences'!$F$4:$F$503,_calc!$E$248)))=0,"","Owner: "&amp;IF(LEN(INDEX('Licences'!$F$4:$F$503,_calc!$E$248))=0,"",INDEX('Licences'!$F$4:$F$503,_calc!$E$248))&amp;". ")&amp;IF(LEN(IF(LEN(INDEX('Licences'!$R$4:$R$503,_calc!$E$248))=0,"",INDEX('Licences'!$R$4:$R$503,_calc!$E$248)))=0,"",IF(LEN(INDEX('Licences'!$R$4:$R$503,_calc!$E$248))=0,"",INDEX('Licences'!$R$4:$R$503,_calc!$E$248)))))</f>
        <v/>
      </c>
      <c r="G246" s="44">
        <f>IF(_calc!$E$248="","",IF(LEN(INDEX('Licences'!$Q$4:$Q$503,_calc!$E$248))=0,"",INDEX('Licences'!$Q$4:$Q$503,_calc!$E$248)))</f>
        <v/>
      </c>
      <c r="H246" s="44">
        <f>IF(_calc!$E$248="","",IF(LEN(INDEX('Licences'!$O$4:$O$503,_calc!$E$248))=0,"",INDEX('Licences'!$O$4:$O$503,_calc!$E$248)))</f>
        <v/>
      </c>
      <c r="I246" s="44">
        <f>IF(_calc!$E$248="","",IF(LEN(INDEX('Licences'!$P$4:$P$503,_calc!$E$248))=0,"",INDEX('Licences'!$P$4:$P$503,_calc!$E$248)))</f>
        <v/>
      </c>
      <c r="K246" s="44">
        <f>IF(_calc!$E$248="","",IF(LEN(INDEX('Licences'!$G$4:$G$503,_calc!$E$248))=0,"",INDEX('Licences'!$G$4:$G$503,_calc!$E$248)))</f>
        <v/>
      </c>
    </row>
    <row r="247">
      <c r="A247" s="44">
        <f>IF(_calc!$E$249="","",IF(LEN(INDEX('Licences'!$A$4:$A$503,_calc!$E$249))=0,"",INDEX('Licences'!$A$4:$A$503,_calc!$E$249)))</f>
        <v/>
      </c>
      <c r="B247" s="44">
        <f>IF(_calc!$E$249="","",IF(ISNUMBER(INDEX('Licences'!$J$4:$J$503,_calc!$E$249)),TEXT(INDEX('Licences'!$J$4:$J$503,_calc!$E$249),"yyyy-mm-dd"),""))</f>
        <v/>
      </c>
      <c r="C247" s="44">
        <f>IF(_calc!$E$249="","",IF(LEN(INDEX('Licences'!$B$4:$B$503,_calc!$E$249))=0,"",INDEX('Licences'!$B$4:$B$503,_calc!$E$249)))</f>
        <v/>
      </c>
      <c r="D247" s="44">
        <f>IF(_calc!$E$249="","",IF(ISNUMBER(INDEX('Licences'!$I$4:$I$503,_calc!$E$249)),TEXT(INDEX('Licences'!$I$4:$I$503,_calc!$E$249),"yyyy-mm-dd"),""))</f>
        <v/>
      </c>
      <c r="E247" s="44">
        <f>IF(_calc!$E$249="","",IF(LEN(INDEX('Licences'!$H$4:$H$503,_calc!$E$249))=0,"",INDEX('Licences'!$H$4:$H$503,_calc!$E$249)))</f>
        <v/>
      </c>
      <c r="F247" s="44">
        <f>IF(_calc!$E$249="","",TRIM(IF(LEN(IF(LEN(INDEX('Licences'!$D$4:$D$503,_calc!$E$249))=0,"",INDEX('Licences'!$D$4:$D$503,_calc!$E$249)))=0,"","Ref: "&amp;IF(LEN(INDEX('Licences'!$D$4:$D$503,_calc!$E$249))=0,"",INDEX('Licences'!$D$4:$D$503,_calc!$E$249))&amp;". ")&amp;IF(LEN(IF(LEN(INDEX('Licences'!$C$4:$C$503,_calc!$E$249))=0,"",INDEX('Licences'!$C$4:$C$503,_calc!$E$249)))=0,"","Issuer: "&amp;IF(LEN(INDEX('Licences'!$C$4:$C$503,_calc!$E$249))=0,"",INDEX('Licences'!$C$4:$C$503,_calc!$E$249))&amp;". ")&amp;IF(LEN(IF(LEN(INDEX('Licences'!$E$4:$E$503,_calc!$E$249))=0,"",INDEX('Licences'!$E$4:$E$503,_calc!$E$249)))=0,"","Site: "&amp;IF(LEN(INDEX('Licences'!$E$4:$E$503,_calc!$E$249))=0,"",INDEX('Licences'!$E$4:$E$503,_calc!$E$249))&amp;". ")&amp;IF(LEN(IF(LEN(INDEX('Licences'!$F$4:$F$503,_calc!$E$249))=0,"",INDEX('Licences'!$F$4:$F$503,_calc!$E$249)))=0,"","Owner: "&amp;IF(LEN(INDEX('Licences'!$F$4:$F$503,_calc!$E$249))=0,"",INDEX('Licences'!$F$4:$F$503,_calc!$E$249))&amp;". ")&amp;IF(LEN(IF(LEN(INDEX('Licences'!$R$4:$R$503,_calc!$E$249))=0,"",INDEX('Licences'!$R$4:$R$503,_calc!$E$249)))=0,"",IF(LEN(INDEX('Licences'!$R$4:$R$503,_calc!$E$249))=0,"",INDEX('Licences'!$R$4:$R$503,_calc!$E$249)))))</f>
        <v/>
      </c>
      <c r="G247" s="44">
        <f>IF(_calc!$E$249="","",IF(LEN(INDEX('Licences'!$Q$4:$Q$503,_calc!$E$249))=0,"",INDEX('Licences'!$Q$4:$Q$503,_calc!$E$249)))</f>
        <v/>
      </c>
      <c r="H247" s="44">
        <f>IF(_calc!$E$249="","",IF(LEN(INDEX('Licences'!$O$4:$O$503,_calc!$E$249))=0,"",INDEX('Licences'!$O$4:$O$503,_calc!$E$249)))</f>
        <v/>
      </c>
      <c r="I247" s="44">
        <f>IF(_calc!$E$249="","",IF(LEN(INDEX('Licences'!$P$4:$P$503,_calc!$E$249))=0,"",INDEX('Licences'!$P$4:$P$503,_calc!$E$249)))</f>
        <v/>
      </c>
      <c r="K247" s="44">
        <f>IF(_calc!$E$249="","",IF(LEN(INDEX('Licences'!$G$4:$G$503,_calc!$E$249))=0,"",INDEX('Licences'!$G$4:$G$503,_calc!$E$249)))</f>
        <v/>
      </c>
    </row>
    <row r="248">
      <c r="A248" s="44">
        <f>IF(_calc!$E$250="","",IF(LEN(INDEX('Licences'!$A$4:$A$503,_calc!$E$250))=0,"",INDEX('Licences'!$A$4:$A$503,_calc!$E$250)))</f>
        <v/>
      </c>
      <c r="B248" s="44">
        <f>IF(_calc!$E$250="","",IF(ISNUMBER(INDEX('Licences'!$J$4:$J$503,_calc!$E$250)),TEXT(INDEX('Licences'!$J$4:$J$503,_calc!$E$250),"yyyy-mm-dd"),""))</f>
        <v/>
      </c>
      <c r="C248" s="44">
        <f>IF(_calc!$E$250="","",IF(LEN(INDEX('Licences'!$B$4:$B$503,_calc!$E$250))=0,"",INDEX('Licences'!$B$4:$B$503,_calc!$E$250)))</f>
        <v/>
      </c>
      <c r="D248" s="44">
        <f>IF(_calc!$E$250="","",IF(ISNUMBER(INDEX('Licences'!$I$4:$I$503,_calc!$E$250)),TEXT(INDEX('Licences'!$I$4:$I$503,_calc!$E$250),"yyyy-mm-dd"),""))</f>
        <v/>
      </c>
      <c r="E248" s="44">
        <f>IF(_calc!$E$250="","",IF(LEN(INDEX('Licences'!$H$4:$H$503,_calc!$E$250))=0,"",INDEX('Licences'!$H$4:$H$503,_calc!$E$250)))</f>
        <v/>
      </c>
      <c r="F248" s="44">
        <f>IF(_calc!$E$250="","",TRIM(IF(LEN(IF(LEN(INDEX('Licences'!$D$4:$D$503,_calc!$E$250))=0,"",INDEX('Licences'!$D$4:$D$503,_calc!$E$250)))=0,"","Ref: "&amp;IF(LEN(INDEX('Licences'!$D$4:$D$503,_calc!$E$250))=0,"",INDEX('Licences'!$D$4:$D$503,_calc!$E$250))&amp;". ")&amp;IF(LEN(IF(LEN(INDEX('Licences'!$C$4:$C$503,_calc!$E$250))=0,"",INDEX('Licences'!$C$4:$C$503,_calc!$E$250)))=0,"","Issuer: "&amp;IF(LEN(INDEX('Licences'!$C$4:$C$503,_calc!$E$250))=0,"",INDEX('Licences'!$C$4:$C$503,_calc!$E$250))&amp;". ")&amp;IF(LEN(IF(LEN(INDEX('Licences'!$E$4:$E$503,_calc!$E$250))=0,"",INDEX('Licences'!$E$4:$E$503,_calc!$E$250)))=0,"","Site: "&amp;IF(LEN(INDEX('Licences'!$E$4:$E$503,_calc!$E$250))=0,"",INDEX('Licences'!$E$4:$E$503,_calc!$E$250))&amp;". ")&amp;IF(LEN(IF(LEN(INDEX('Licences'!$F$4:$F$503,_calc!$E$250))=0,"",INDEX('Licences'!$F$4:$F$503,_calc!$E$250)))=0,"","Owner: "&amp;IF(LEN(INDEX('Licences'!$F$4:$F$503,_calc!$E$250))=0,"",INDEX('Licences'!$F$4:$F$503,_calc!$E$250))&amp;". ")&amp;IF(LEN(IF(LEN(INDEX('Licences'!$R$4:$R$503,_calc!$E$250))=0,"",INDEX('Licences'!$R$4:$R$503,_calc!$E$250)))=0,"",IF(LEN(INDEX('Licences'!$R$4:$R$503,_calc!$E$250))=0,"",INDEX('Licences'!$R$4:$R$503,_calc!$E$250)))))</f>
        <v/>
      </c>
      <c r="G248" s="44">
        <f>IF(_calc!$E$250="","",IF(LEN(INDEX('Licences'!$Q$4:$Q$503,_calc!$E$250))=0,"",INDEX('Licences'!$Q$4:$Q$503,_calc!$E$250)))</f>
        <v/>
      </c>
      <c r="H248" s="44">
        <f>IF(_calc!$E$250="","",IF(LEN(INDEX('Licences'!$O$4:$O$503,_calc!$E$250))=0,"",INDEX('Licences'!$O$4:$O$503,_calc!$E$250)))</f>
        <v/>
      </c>
      <c r="I248" s="44">
        <f>IF(_calc!$E$250="","",IF(LEN(INDEX('Licences'!$P$4:$P$503,_calc!$E$250))=0,"",INDEX('Licences'!$P$4:$P$503,_calc!$E$250)))</f>
        <v/>
      </c>
      <c r="K248" s="44">
        <f>IF(_calc!$E$250="","",IF(LEN(INDEX('Licences'!$G$4:$G$503,_calc!$E$250))=0,"",INDEX('Licences'!$G$4:$G$503,_calc!$E$250)))</f>
        <v/>
      </c>
    </row>
    <row r="249">
      <c r="A249" s="44">
        <f>IF(_calc!$E$251="","",IF(LEN(INDEX('Licences'!$A$4:$A$503,_calc!$E$251))=0,"",INDEX('Licences'!$A$4:$A$503,_calc!$E$251)))</f>
        <v/>
      </c>
      <c r="B249" s="44">
        <f>IF(_calc!$E$251="","",IF(ISNUMBER(INDEX('Licences'!$J$4:$J$503,_calc!$E$251)),TEXT(INDEX('Licences'!$J$4:$J$503,_calc!$E$251),"yyyy-mm-dd"),""))</f>
        <v/>
      </c>
      <c r="C249" s="44">
        <f>IF(_calc!$E$251="","",IF(LEN(INDEX('Licences'!$B$4:$B$503,_calc!$E$251))=0,"",INDEX('Licences'!$B$4:$B$503,_calc!$E$251)))</f>
        <v/>
      </c>
      <c r="D249" s="44">
        <f>IF(_calc!$E$251="","",IF(ISNUMBER(INDEX('Licences'!$I$4:$I$503,_calc!$E$251)),TEXT(INDEX('Licences'!$I$4:$I$503,_calc!$E$251),"yyyy-mm-dd"),""))</f>
        <v/>
      </c>
      <c r="E249" s="44">
        <f>IF(_calc!$E$251="","",IF(LEN(INDEX('Licences'!$H$4:$H$503,_calc!$E$251))=0,"",INDEX('Licences'!$H$4:$H$503,_calc!$E$251)))</f>
        <v/>
      </c>
      <c r="F249" s="44">
        <f>IF(_calc!$E$251="","",TRIM(IF(LEN(IF(LEN(INDEX('Licences'!$D$4:$D$503,_calc!$E$251))=0,"",INDEX('Licences'!$D$4:$D$503,_calc!$E$251)))=0,"","Ref: "&amp;IF(LEN(INDEX('Licences'!$D$4:$D$503,_calc!$E$251))=0,"",INDEX('Licences'!$D$4:$D$503,_calc!$E$251))&amp;". ")&amp;IF(LEN(IF(LEN(INDEX('Licences'!$C$4:$C$503,_calc!$E$251))=0,"",INDEX('Licences'!$C$4:$C$503,_calc!$E$251)))=0,"","Issuer: "&amp;IF(LEN(INDEX('Licences'!$C$4:$C$503,_calc!$E$251))=0,"",INDEX('Licences'!$C$4:$C$503,_calc!$E$251))&amp;". ")&amp;IF(LEN(IF(LEN(INDEX('Licences'!$E$4:$E$503,_calc!$E$251))=0,"",INDEX('Licences'!$E$4:$E$503,_calc!$E$251)))=0,"","Site: "&amp;IF(LEN(INDEX('Licences'!$E$4:$E$503,_calc!$E$251))=0,"",INDEX('Licences'!$E$4:$E$503,_calc!$E$251))&amp;". ")&amp;IF(LEN(IF(LEN(INDEX('Licences'!$F$4:$F$503,_calc!$E$251))=0,"",INDEX('Licences'!$F$4:$F$503,_calc!$E$251)))=0,"","Owner: "&amp;IF(LEN(INDEX('Licences'!$F$4:$F$503,_calc!$E$251))=0,"",INDEX('Licences'!$F$4:$F$503,_calc!$E$251))&amp;". ")&amp;IF(LEN(IF(LEN(INDEX('Licences'!$R$4:$R$503,_calc!$E$251))=0,"",INDEX('Licences'!$R$4:$R$503,_calc!$E$251)))=0,"",IF(LEN(INDEX('Licences'!$R$4:$R$503,_calc!$E$251))=0,"",INDEX('Licences'!$R$4:$R$503,_calc!$E$251)))))</f>
        <v/>
      </c>
      <c r="G249" s="44">
        <f>IF(_calc!$E$251="","",IF(LEN(INDEX('Licences'!$Q$4:$Q$503,_calc!$E$251))=0,"",INDEX('Licences'!$Q$4:$Q$503,_calc!$E$251)))</f>
        <v/>
      </c>
      <c r="H249" s="44">
        <f>IF(_calc!$E$251="","",IF(LEN(INDEX('Licences'!$O$4:$O$503,_calc!$E$251))=0,"",INDEX('Licences'!$O$4:$O$503,_calc!$E$251)))</f>
        <v/>
      </c>
      <c r="I249" s="44">
        <f>IF(_calc!$E$251="","",IF(LEN(INDEX('Licences'!$P$4:$P$503,_calc!$E$251))=0,"",INDEX('Licences'!$P$4:$P$503,_calc!$E$251)))</f>
        <v/>
      </c>
      <c r="K249" s="44">
        <f>IF(_calc!$E$251="","",IF(LEN(INDEX('Licences'!$G$4:$G$503,_calc!$E$251))=0,"",INDEX('Licences'!$G$4:$G$503,_calc!$E$251)))</f>
        <v/>
      </c>
    </row>
    <row r="250">
      <c r="A250" s="44">
        <f>IF(_calc!$E$252="","",IF(LEN(INDEX('Licences'!$A$4:$A$503,_calc!$E$252))=0,"",INDEX('Licences'!$A$4:$A$503,_calc!$E$252)))</f>
        <v/>
      </c>
      <c r="B250" s="44">
        <f>IF(_calc!$E$252="","",IF(ISNUMBER(INDEX('Licences'!$J$4:$J$503,_calc!$E$252)),TEXT(INDEX('Licences'!$J$4:$J$503,_calc!$E$252),"yyyy-mm-dd"),""))</f>
        <v/>
      </c>
      <c r="C250" s="44">
        <f>IF(_calc!$E$252="","",IF(LEN(INDEX('Licences'!$B$4:$B$503,_calc!$E$252))=0,"",INDEX('Licences'!$B$4:$B$503,_calc!$E$252)))</f>
        <v/>
      </c>
      <c r="D250" s="44">
        <f>IF(_calc!$E$252="","",IF(ISNUMBER(INDEX('Licences'!$I$4:$I$503,_calc!$E$252)),TEXT(INDEX('Licences'!$I$4:$I$503,_calc!$E$252),"yyyy-mm-dd"),""))</f>
        <v/>
      </c>
      <c r="E250" s="44">
        <f>IF(_calc!$E$252="","",IF(LEN(INDEX('Licences'!$H$4:$H$503,_calc!$E$252))=0,"",INDEX('Licences'!$H$4:$H$503,_calc!$E$252)))</f>
        <v/>
      </c>
      <c r="F250" s="44">
        <f>IF(_calc!$E$252="","",TRIM(IF(LEN(IF(LEN(INDEX('Licences'!$D$4:$D$503,_calc!$E$252))=0,"",INDEX('Licences'!$D$4:$D$503,_calc!$E$252)))=0,"","Ref: "&amp;IF(LEN(INDEX('Licences'!$D$4:$D$503,_calc!$E$252))=0,"",INDEX('Licences'!$D$4:$D$503,_calc!$E$252))&amp;". ")&amp;IF(LEN(IF(LEN(INDEX('Licences'!$C$4:$C$503,_calc!$E$252))=0,"",INDEX('Licences'!$C$4:$C$503,_calc!$E$252)))=0,"","Issuer: "&amp;IF(LEN(INDEX('Licences'!$C$4:$C$503,_calc!$E$252))=0,"",INDEX('Licences'!$C$4:$C$503,_calc!$E$252))&amp;". ")&amp;IF(LEN(IF(LEN(INDEX('Licences'!$E$4:$E$503,_calc!$E$252))=0,"",INDEX('Licences'!$E$4:$E$503,_calc!$E$252)))=0,"","Site: "&amp;IF(LEN(INDEX('Licences'!$E$4:$E$503,_calc!$E$252))=0,"",INDEX('Licences'!$E$4:$E$503,_calc!$E$252))&amp;". ")&amp;IF(LEN(IF(LEN(INDEX('Licences'!$F$4:$F$503,_calc!$E$252))=0,"",INDEX('Licences'!$F$4:$F$503,_calc!$E$252)))=0,"","Owner: "&amp;IF(LEN(INDEX('Licences'!$F$4:$F$503,_calc!$E$252))=0,"",INDEX('Licences'!$F$4:$F$503,_calc!$E$252))&amp;". ")&amp;IF(LEN(IF(LEN(INDEX('Licences'!$R$4:$R$503,_calc!$E$252))=0,"",INDEX('Licences'!$R$4:$R$503,_calc!$E$252)))=0,"",IF(LEN(INDEX('Licences'!$R$4:$R$503,_calc!$E$252))=0,"",INDEX('Licences'!$R$4:$R$503,_calc!$E$252)))))</f>
        <v/>
      </c>
      <c r="G250" s="44">
        <f>IF(_calc!$E$252="","",IF(LEN(INDEX('Licences'!$Q$4:$Q$503,_calc!$E$252))=0,"",INDEX('Licences'!$Q$4:$Q$503,_calc!$E$252)))</f>
        <v/>
      </c>
      <c r="H250" s="44">
        <f>IF(_calc!$E$252="","",IF(LEN(INDEX('Licences'!$O$4:$O$503,_calc!$E$252))=0,"",INDEX('Licences'!$O$4:$O$503,_calc!$E$252)))</f>
        <v/>
      </c>
      <c r="I250" s="44">
        <f>IF(_calc!$E$252="","",IF(LEN(INDEX('Licences'!$P$4:$P$503,_calc!$E$252))=0,"",INDEX('Licences'!$P$4:$P$503,_calc!$E$252)))</f>
        <v/>
      </c>
      <c r="K250" s="44">
        <f>IF(_calc!$E$252="","",IF(LEN(INDEX('Licences'!$G$4:$G$503,_calc!$E$252))=0,"",INDEX('Licences'!$G$4:$G$503,_calc!$E$252)))</f>
        <v/>
      </c>
    </row>
    <row r="251">
      <c r="A251" s="44">
        <f>IF(_calc!$E$253="","",IF(LEN(INDEX('Licences'!$A$4:$A$503,_calc!$E$253))=0,"",INDEX('Licences'!$A$4:$A$503,_calc!$E$253)))</f>
        <v/>
      </c>
      <c r="B251" s="44">
        <f>IF(_calc!$E$253="","",IF(ISNUMBER(INDEX('Licences'!$J$4:$J$503,_calc!$E$253)),TEXT(INDEX('Licences'!$J$4:$J$503,_calc!$E$253),"yyyy-mm-dd"),""))</f>
        <v/>
      </c>
      <c r="C251" s="44">
        <f>IF(_calc!$E$253="","",IF(LEN(INDEX('Licences'!$B$4:$B$503,_calc!$E$253))=0,"",INDEX('Licences'!$B$4:$B$503,_calc!$E$253)))</f>
        <v/>
      </c>
      <c r="D251" s="44">
        <f>IF(_calc!$E$253="","",IF(ISNUMBER(INDEX('Licences'!$I$4:$I$503,_calc!$E$253)),TEXT(INDEX('Licences'!$I$4:$I$503,_calc!$E$253),"yyyy-mm-dd"),""))</f>
        <v/>
      </c>
      <c r="E251" s="44">
        <f>IF(_calc!$E$253="","",IF(LEN(INDEX('Licences'!$H$4:$H$503,_calc!$E$253))=0,"",INDEX('Licences'!$H$4:$H$503,_calc!$E$253)))</f>
        <v/>
      </c>
      <c r="F251" s="44">
        <f>IF(_calc!$E$253="","",TRIM(IF(LEN(IF(LEN(INDEX('Licences'!$D$4:$D$503,_calc!$E$253))=0,"",INDEX('Licences'!$D$4:$D$503,_calc!$E$253)))=0,"","Ref: "&amp;IF(LEN(INDEX('Licences'!$D$4:$D$503,_calc!$E$253))=0,"",INDEX('Licences'!$D$4:$D$503,_calc!$E$253))&amp;". ")&amp;IF(LEN(IF(LEN(INDEX('Licences'!$C$4:$C$503,_calc!$E$253))=0,"",INDEX('Licences'!$C$4:$C$503,_calc!$E$253)))=0,"","Issuer: "&amp;IF(LEN(INDEX('Licences'!$C$4:$C$503,_calc!$E$253))=0,"",INDEX('Licences'!$C$4:$C$503,_calc!$E$253))&amp;". ")&amp;IF(LEN(IF(LEN(INDEX('Licences'!$E$4:$E$503,_calc!$E$253))=0,"",INDEX('Licences'!$E$4:$E$503,_calc!$E$253)))=0,"","Site: "&amp;IF(LEN(INDEX('Licences'!$E$4:$E$503,_calc!$E$253))=0,"",INDEX('Licences'!$E$4:$E$503,_calc!$E$253))&amp;". ")&amp;IF(LEN(IF(LEN(INDEX('Licences'!$F$4:$F$503,_calc!$E$253))=0,"",INDEX('Licences'!$F$4:$F$503,_calc!$E$253)))=0,"","Owner: "&amp;IF(LEN(INDEX('Licences'!$F$4:$F$503,_calc!$E$253))=0,"",INDEX('Licences'!$F$4:$F$503,_calc!$E$253))&amp;". ")&amp;IF(LEN(IF(LEN(INDEX('Licences'!$R$4:$R$503,_calc!$E$253))=0,"",INDEX('Licences'!$R$4:$R$503,_calc!$E$253)))=0,"",IF(LEN(INDEX('Licences'!$R$4:$R$503,_calc!$E$253))=0,"",INDEX('Licences'!$R$4:$R$503,_calc!$E$253)))))</f>
        <v/>
      </c>
      <c r="G251" s="44">
        <f>IF(_calc!$E$253="","",IF(LEN(INDEX('Licences'!$Q$4:$Q$503,_calc!$E$253))=0,"",INDEX('Licences'!$Q$4:$Q$503,_calc!$E$253)))</f>
        <v/>
      </c>
      <c r="H251" s="44">
        <f>IF(_calc!$E$253="","",IF(LEN(INDEX('Licences'!$O$4:$O$503,_calc!$E$253))=0,"",INDEX('Licences'!$O$4:$O$503,_calc!$E$253)))</f>
        <v/>
      </c>
      <c r="I251" s="44">
        <f>IF(_calc!$E$253="","",IF(LEN(INDEX('Licences'!$P$4:$P$503,_calc!$E$253))=0,"",INDEX('Licences'!$P$4:$P$503,_calc!$E$253)))</f>
        <v/>
      </c>
      <c r="K251" s="44">
        <f>IF(_calc!$E$253="","",IF(LEN(INDEX('Licences'!$G$4:$G$503,_calc!$E$253))=0,"",INDEX('Licences'!$G$4:$G$503,_calc!$E$253)))</f>
        <v/>
      </c>
    </row>
    <row r="252">
      <c r="A252" s="44">
        <f>IF(_calc!$E$254="","",IF(LEN(INDEX('Licences'!$A$4:$A$503,_calc!$E$254))=0,"",INDEX('Licences'!$A$4:$A$503,_calc!$E$254)))</f>
        <v/>
      </c>
      <c r="B252" s="44">
        <f>IF(_calc!$E$254="","",IF(ISNUMBER(INDEX('Licences'!$J$4:$J$503,_calc!$E$254)),TEXT(INDEX('Licences'!$J$4:$J$503,_calc!$E$254),"yyyy-mm-dd"),""))</f>
        <v/>
      </c>
      <c r="C252" s="44">
        <f>IF(_calc!$E$254="","",IF(LEN(INDEX('Licences'!$B$4:$B$503,_calc!$E$254))=0,"",INDEX('Licences'!$B$4:$B$503,_calc!$E$254)))</f>
        <v/>
      </c>
      <c r="D252" s="44">
        <f>IF(_calc!$E$254="","",IF(ISNUMBER(INDEX('Licences'!$I$4:$I$503,_calc!$E$254)),TEXT(INDEX('Licences'!$I$4:$I$503,_calc!$E$254),"yyyy-mm-dd"),""))</f>
        <v/>
      </c>
      <c r="E252" s="44">
        <f>IF(_calc!$E$254="","",IF(LEN(INDEX('Licences'!$H$4:$H$503,_calc!$E$254))=0,"",INDEX('Licences'!$H$4:$H$503,_calc!$E$254)))</f>
        <v/>
      </c>
      <c r="F252" s="44">
        <f>IF(_calc!$E$254="","",TRIM(IF(LEN(IF(LEN(INDEX('Licences'!$D$4:$D$503,_calc!$E$254))=0,"",INDEX('Licences'!$D$4:$D$503,_calc!$E$254)))=0,"","Ref: "&amp;IF(LEN(INDEX('Licences'!$D$4:$D$503,_calc!$E$254))=0,"",INDEX('Licences'!$D$4:$D$503,_calc!$E$254))&amp;". ")&amp;IF(LEN(IF(LEN(INDEX('Licences'!$C$4:$C$503,_calc!$E$254))=0,"",INDEX('Licences'!$C$4:$C$503,_calc!$E$254)))=0,"","Issuer: "&amp;IF(LEN(INDEX('Licences'!$C$4:$C$503,_calc!$E$254))=0,"",INDEX('Licences'!$C$4:$C$503,_calc!$E$254))&amp;". ")&amp;IF(LEN(IF(LEN(INDEX('Licences'!$E$4:$E$503,_calc!$E$254))=0,"",INDEX('Licences'!$E$4:$E$503,_calc!$E$254)))=0,"","Site: "&amp;IF(LEN(INDEX('Licences'!$E$4:$E$503,_calc!$E$254))=0,"",INDEX('Licences'!$E$4:$E$503,_calc!$E$254))&amp;". ")&amp;IF(LEN(IF(LEN(INDEX('Licences'!$F$4:$F$503,_calc!$E$254))=0,"",INDEX('Licences'!$F$4:$F$503,_calc!$E$254)))=0,"","Owner: "&amp;IF(LEN(INDEX('Licences'!$F$4:$F$503,_calc!$E$254))=0,"",INDEX('Licences'!$F$4:$F$503,_calc!$E$254))&amp;". ")&amp;IF(LEN(IF(LEN(INDEX('Licences'!$R$4:$R$503,_calc!$E$254))=0,"",INDEX('Licences'!$R$4:$R$503,_calc!$E$254)))=0,"",IF(LEN(INDEX('Licences'!$R$4:$R$503,_calc!$E$254))=0,"",INDEX('Licences'!$R$4:$R$503,_calc!$E$254)))))</f>
        <v/>
      </c>
      <c r="G252" s="44">
        <f>IF(_calc!$E$254="","",IF(LEN(INDEX('Licences'!$Q$4:$Q$503,_calc!$E$254))=0,"",INDEX('Licences'!$Q$4:$Q$503,_calc!$E$254)))</f>
        <v/>
      </c>
      <c r="H252" s="44">
        <f>IF(_calc!$E$254="","",IF(LEN(INDEX('Licences'!$O$4:$O$503,_calc!$E$254))=0,"",INDEX('Licences'!$O$4:$O$503,_calc!$E$254)))</f>
        <v/>
      </c>
      <c r="I252" s="44">
        <f>IF(_calc!$E$254="","",IF(LEN(INDEX('Licences'!$P$4:$P$503,_calc!$E$254))=0,"",INDEX('Licences'!$P$4:$P$503,_calc!$E$254)))</f>
        <v/>
      </c>
      <c r="K252" s="44">
        <f>IF(_calc!$E$254="","",IF(LEN(INDEX('Licences'!$G$4:$G$503,_calc!$E$254))=0,"",INDEX('Licences'!$G$4:$G$503,_calc!$E$254)))</f>
        <v/>
      </c>
    </row>
    <row r="253">
      <c r="A253" s="44">
        <f>IF(_calc!$E$255="","",IF(LEN(INDEX('Licences'!$A$4:$A$503,_calc!$E$255))=0,"",INDEX('Licences'!$A$4:$A$503,_calc!$E$255)))</f>
        <v/>
      </c>
      <c r="B253" s="44">
        <f>IF(_calc!$E$255="","",IF(ISNUMBER(INDEX('Licences'!$J$4:$J$503,_calc!$E$255)),TEXT(INDEX('Licences'!$J$4:$J$503,_calc!$E$255),"yyyy-mm-dd"),""))</f>
        <v/>
      </c>
      <c r="C253" s="44">
        <f>IF(_calc!$E$255="","",IF(LEN(INDEX('Licences'!$B$4:$B$503,_calc!$E$255))=0,"",INDEX('Licences'!$B$4:$B$503,_calc!$E$255)))</f>
        <v/>
      </c>
      <c r="D253" s="44">
        <f>IF(_calc!$E$255="","",IF(ISNUMBER(INDEX('Licences'!$I$4:$I$503,_calc!$E$255)),TEXT(INDEX('Licences'!$I$4:$I$503,_calc!$E$255),"yyyy-mm-dd"),""))</f>
        <v/>
      </c>
      <c r="E253" s="44">
        <f>IF(_calc!$E$255="","",IF(LEN(INDEX('Licences'!$H$4:$H$503,_calc!$E$255))=0,"",INDEX('Licences'!$H$4:$H$503,_calc!$E$255)))</f>
        <v/>
      </c>
      <c r="F253" s="44">
        <f>IF(_calc!$E$255="","",TRIM(IF(LEN(IF(LEN(INDEX('Licences'!$D$4:$D$503,_calc!$E$255))=0,"",INDEX('Licences'!$D$4:$D$503,_calc!$E$255)))=0,"","Ref: "&amp;IF(LEN(INDEX('Licences'!$D$4:$D$503,_calc!$E$255))=0,"",INDEX('Licences'!$D$4:$D$503,_calc!$E$255))&amp;". ")&amp;IF(LEN(IF(LEN(INDEX('Licences'!$C$4:$C$503,_calc!$E$255))=0,"",INDEX('Licences'!$C$4:$C$503,_calc!$E$255)))=0,"","Issuer: "&amp;IF(LEN(INDEX('Licences'!$C$4:$C$503,_calc!$E$255))=0,"",INDEX('Licences'!$C$4:$C$503,_calc!$E$255))&amp;". ")&amp;IF(LEN(IF(LEN(INDEX('Licences'!$E$4:$E$503,_calc!$E$255))=0,"",INDEX('Licences'!$E$4:$E$503,_calc!$E$255)))=0,"","Site: "&amp;IF(LEN(INDEX('Licences'!$E$4:$E$503,_calc!$E$255))=0,"",INDEX('Licences'!$E$4:$E$503,_calc!$E$255))&amp;". ")&amp;IF(LEN(IF(LEN(INDEX('Licences'!$F$4:$F$503,_calc!$E$255))=0,"",INDEX('Licences'!$F$4:$F$503,_calc!$E$255)))=0,"","Owner: "&amp;IF(LEN(INDEX('Licences'!$F$4:$F$503,_calc!$E$255))=0,"",INDEX('Licences'!$F$4:$F$503,_calc!$E$255))&amp;". ")&amp;IF(LEN(IF(LEN(INDEX('Licences'!$R$4:$R$503,_calc!$E$255))=0,"",INDEX('Licences'!$R$4:$R$503,_calc!$E$255)))=0,"",IF(LEN(INDEX('Licences'!$R$4:$R$503,_calc!$E$255))=0,"",INDEX('Licences'!$R$4:$R$503,_calc!$E$255)))))</f>
        <v/>
      </c>
      <c r="G253" s="44">
        <f>IF(_calc!$E$255="","",IF(LEN(INDEX('Licences'!$Q$4:$Q$503,_calc!$E$255))=0,"",INDEX('Licences'!$Q$4:$Q$503,_calc!$E$255)))</f>
        <v/>
      </c>
      <c r="H253" s="44">
        <f>IF(_calc!$E$255="","",IF(LEN(INDEX('Licences'!$O$4:$O$503,_calc!$E$255))=0,"",INDEX('Licences'!$O$4:$O$503,_calc!$E$255)))</f>
        <v/>
      </c>
      <c r="I253" s="44">
        <f>IF(_calc!$E$255="","",IF(LEN(INDEX('Licences'!$P$4:$P$503,_calc!$E$255))=0,"",INDEX('Licences'!$P$4:$P$503,_calc!$E$255)))</f>
        <v/>
      </c>
      <c r="K253" s="44">
        <f>IF(_calc!$E$255="","",IF(LEN(INDEX('Licences'!$G$4:$G$503,_calc!$E$255))=0,"",INDEX('Licences'!$G$4:$G$503,_calc!$E$255)))</f>
        <v/>
      </c>
    </row>
    <row r="254">
      <c r="A254" s="44">
        <f>IF(_calc!$E$256="","",IF(LEN(INDEX('Licences'!$A$4:$A$503,_calc!$E$256))=0,"",INDEX('Licences'!$A$4:$A$503,_calc!$E$256)))</f>
        <v/>
      </c>
      <c r="B254" s="44">
        <f>IF(_calc!$E$256="","",IF(ISNUMBER(INDEX('Licences'!$J$4:$J$503,_calc!$E$256)),TEXT(INDEX('Licences'!$J$4:$J$503,_calc!$E$256),"yyyy-mm-dd"),""))</f>
        <v/>
      </c>
      <c r="C254" s="44">
        <f>IF(_calc!$E$256="","",IF(LEN(INDEX('Licences'!$B$4:$B$503,_calc!$E$256))=0,"",INDEX('Licences'!$B$4:$B$503,_calc!$E$256)))</f>
        <v/>
      </c>
      <c r="D254" s="44">
        <f>IF(_calc!$E$256="","",IF(ISNUMBER(INDEX('Licences'!$I$4:$I$503,_calc!$E$256)),TEXT(INDEX('Licences'!$I$4:$I$503,_calc!$E$256),"yyyy-mm-dd"),""))</f>
        <v/>
      </c>
      <c r="E254" s="44">
        <f>IF(_calc!$E$256="","",IF(LEN(INDEX('Licences'!$H$4:$H$503,_calc!$E$256))=0,"",INDEX('Licences'!$H$4:$H$503,_calc!$E$256)))</f>
        <v/>
      </c>
      <c r="F254" s="44">
        <f>IF(_calc!$E$256="","",TRIM(IF(LEN(IF(LEN(INDEX('Licences'!$D$4:$D$503,_calc!$E$256))=0,"",INDEX('Licences'!$D$4:$D$503,_calc!$E$256)))=0,"","Ref: "&amp;IF(LEN(INDEX('Licences'!$D$4:$D$503,_calc!$E$256))=0,"",INDEX('Licences'!$D$4:$D$503,_calc!$E$256))&amp;". ")&amp;IF(LEN(IF(LEN(INDEX('Licences'!$C$4:$C$503,_calc!$E$256))=0,"",INDEX('Licences'!$C$4:$C$503,_calc!$E$256)))=0,"","Issuer: "&amp;IF(LEN(INDEX('Licences'!$C$4:$C$503,_calc!$E$256))=0,"",INDEX('Licences'!$C$4:$C$503,_calc!$E$256))&amp;". ")&amp;IF(LEN(IF(LEN(INDEX('Licences'!$E$4:$E$503,_calc!$E$256))=0,"",INDEX('Licences'!$E$4:$E$503,_calc!$E$256)))=0,"","Site: "&amp;IF(LEN(INDEX('Licences'!$E$4:$E$503,_calc!$E$256))=0,"",INDEX('Licences'!$E$4:$E$503,_calc!$E$256))&amp;". ")&amp;IF(LEN(IF(LEN(INDEX('Licences'!$F$4:$F$503,_calc!$E$256))=0,"",INDEX('Licences'!$F$4:$F$503,_calc!$E$256)))=0,"","Owner: "&amp;IF(LEN(INDEX('Licences'!$F$4:$F$503,_calc!$E$256))=0,"",INDEX('Licences'!$F$4:$F$503,_calc!$E$256))&amp;". ")&amp;IF(LEN(IF(LEN(INDEX('Licences'!$R$4:$R$503,_calc!$E$256))=0,"",INDEX('Licences'!$R$4:$R$503,_calc!$E$256)))=0,"",IF(LEN(INDEX('Licences'!$R$4:$R$503,_calc!$E$256))=0,"",INDEX('Licences'!$R$4:$R$503,_calc!$E$256)))))</f>
        <v/>
      </c>
      <c r="G254" s="44">
        <f>IF(_calc!$E$256="","",IF(LEN(INDEX('Licences'!$Q$4:$Q$503,_calc!$E$256))=0,"",INDEX('Licences'!$Q$4:$Q$503,_calc!$E$256)))</f>
        <v/>
      </c>
      <c r="H254" s="44">
        <f>IF(_calc!$E$256="","",IF(LEN(INDEX('Licences'!$O$4:$O$503,_calc!$E$256))=0,"",INDEX('Licences'!$O$4:$O$503,_calc!$E$256)))</f>
        <v/>
      </c>
      <c r="I254" s="44">
        <f>IF(_calc!$E$256="","",IF(LEN(INDEX('Licences'!$P$4:$P$503,_calc!$E$256))=0,"",INDEX('Licences'!$P$4:$P$503,_calc!$E$256)))</f>
        <v/>
      </c>
      <c r="K254" s="44">
        <f>IF(_calc!$E$256="","",IF(LEN(INDEX('Licences'!$G$4:$G$503,_calc!$E$256))=0,"",INDEX('Licences'!$G$4:$G$503,_calc!$E$256)))</f>
        <v/>
      </c>
    </row>
    <row r="255">
      <c r="A255" s="44">
        <f>IF(_calc!$E$257="","",IF(LEN(INDEX('Licences'!$A$4:$A$503,_calc!$E$257))=0,"",INDEX('Licences'!$A$4:$A$503,_calc!$E$257)))</f>
        <v/>
      </c>
      <c r="B255" s="44">
        <f>IF(_calc!$E$257="","",IF(ISNUMBER(INDEX('Licences'!$J$4:$J$503,_calc!$E$257)),TEXT(INDEX('Licences'!$J$4:$J$503,_calc!$E$257),"yyyy-mm-dd"),""))</f>
        <v/>
      </c>
      <c r="C255" s="44">
        <f>IF(_calc!$E$257="","",IF(LEN(INDEX('Licences'!$B$4:$B$503,_calc!$E$257))=0,"",INDEX('Licences'!$B$4:$B$503,_calc!$E$257)))</f>
        <v/>
      </c>
      <c r="D255" s="44">
        <f>IF(_calc!$E$257="","",IF(ISNUMBER(INDEX('Licences'!$I$4:$I$503,_calc!$E$257)),TEXT(INDEX('Licences'!$I$4:$I$503,_calc!$E$257),"yyyy-mm-dd"),""))</f>
        <v/>
      </c>
      <c r="E255" s="44">
        <f>IF(_calc!$E$257="","",IF(LEN(INDEX('Licences'!$H$4:$H$503,_calc!$E$257))=0,"",INDEX('Licences'!$H$4:$H$503,_calc!$E$257)))</f>
        <v/>
      </c>
      <c r="F255" s="44">
        <f>IF(_calc!$E$257="","",TRIM(IF(LEN(IF(LEN(INDEX('Licences'!$D$4:$D$503,_calc!$E$257))=0,"",INDEX('Licences'!$D$4:$D$503,_calc!$E$257)))=0,"","Ref: "&amp;IF(LEN(INDEX('Licences'!$D$4:$D$503,_calc!$E$257))=0,"",INDEX('Licences'!$D$4:$D$503,_calc!$E$257))&amp;". ")&amp;IF(LEN(IF(LEN(INDEX('Licences'!$C$4:$C$503,_calc!$E$257))=0,"",INDEX('Licences'!$C$4:$C$503,_calc!$E$257)))=0,"","Issuer: "&amp;IF(LEN(INDEX('Licences'!$C$4:$C$503,_calc!$E$257))=0,"",INDEX('Licences'!$C$4:$C$503,_calc!$E$257))&amp;". ")&amp;IF(LEN(IF(LEN(INDEX('Licences'!$E$4:$E$503,_calc!$E$257))=0,"",INDEX('Licences'!$E$4:$E$503,_calc!$E$257)))=0,"","Site: "&amp;IF(LEN(INDEX('Licences'!$E$4:$E$503,_calc!$E$257))=0,"",INDEX('Licences'!$E$4:$E$503,_calc!$E$257))&amp;". ")&amp;IF(LEN(IF(LEN(INDEX('Licences'!$F$4:$F$503,_calc!$E$257))=0,"",INDEX('Licences'!$F$4:$F$503,_calc!$E$257)))=0,"","Owner: "&amp;IF(LEN(INDEX('Licences'!$F$4:$F$503,_calc!$E$257))=0,"",INDEX('Licences'!$F$4:$F$503,_calc!$E$257))&amp;". ")&amp;IF(LEN(IF(LEN(INDEX('Licences'!$R$4:$R$503,_calc!$E$257))=0,"",INDEX('Licences'!$R$4:$R$503,_calc!$E$257)))=0,"",IF(LEN(INDEX('Licences'!$R$4:$R$503,_calc!$E$257))=0,"",INDEX('Licences'!$R$4:$R$503,_calc!$E$257)))))</f>
        <v/>
      </c>
      <c r="G255" s="44">
        <f>IF(_calc!$E$257="","",IF(LEN(INDEX('Licences'!$Q$4:$Q$503,_calc!$E$257))=0,"",INDEX('Licences'!$Q$4:$Q$503,_calc!$E$257)))</f>
        <v/>
      </c>
      <c r="H255" s="44">
        <f>IF(_calc!$E$257="","",IF(LEN(INDEX('Licences'!$O$4:$O$503,_calc!$E$257))=0,"",INDEX('Licences'!$O$4:$O$503,_calc!$E$257)))</f>
        <v/>
      </c>
      <c r="I255" s="44">
        <f>IF(_calc!$E$257="","",IF(LEN(INDEX('Licences'!$P$4:$P$503,_calc!$E$257))=0,"",INDEX('Licences'!$P$4:$P$503,_calc!$E$257)))</f>
        <v/>
      </c>
      <c r="K255" s="44">
        <f>IF(_calc!$E$257="","",IF(LEN(INDEX('Licences'!$G$4:$G$503,_calc!$E$257))=0,"",INDEX('Licences'!$G$4:$G$503,_calc!$E$257)))</f>
        <v/>
      </c>
    </row>
    <row r="256">
      <c r="A256" s="44">
        <f>IF(_calc!$E$258="","",IF(LEN(INDEX('Licences'!$A$4:$A$503,_calc!$E$258))=0,"",INDEX('Licences'!$A$4:$A$503,_calc!$E$258)))</f>
        <v/>
      </c>
      <c r="B256" s="44">
        <f>IF(_calc!$E$258="","",IF(ISNUMBER(INDEX('Licences'!$J$4:$J$503,_calc!$E$258)),TEXT(INDEX('Licences'!$J$4:$J$503,_calc!$E$258),"yyyy-mm-dd"),""))</f>
        <v/>
      </c>
      <c r="C256" s="44">
        <f>IF(_calc!$E$258="","",IF(LEN(INDEX('Licences'!$B$4:$B$503,_calc!$E$258))=0,"",INDEX('Licences'!$B$4:$B$503,_calc!$E$258)))</f>
        <v/>
      </c>
      <c r="D256" s="44">
        <f>IF(_calc!$E$258="","",IF(ISNUMBER(INDEX('Licences'!$I$4:$I$503,_calc!$E$258)),TEXT(INDEX('Licences'!$I$4:$I$503,_calc!$E$258),"yyyy-mm-dd"),""))</f>
        <v/>
      </c>
      <c r="E256" s="44">
        <f>IF(_calc!$E$258="","",IF(LEN(INDEX('Licences'!$H$4:$H$503,_calc!$E$258))=0,"",INDEX('Licences'!$H$4:$H$503,_calc!$E$258)))</f>
        <v/>
      </c>
      <c r="F256" s="44">
        <f>IF(_calc!$E$258="","",TRIM(IF(LEN(IF(LEN(INDEX('Licences'!$D$4:$D$503,_calc!$E$258))=0,"",INDEX('Licences'!$D$4:$D$503,_calc!$E$258)))=0,"","Ref: "&amp;IF(LEN(INDEX('Licences'!$D$4:$D$503,_calc!$E$258))=0,"",INDEX('Licences'!$D$4:$D$503,_calc!$E$258))&amp;". ")&amp;IF(LEN(IF(LEN(INDEX('Licences'!$C$4:$C$503,_calc!$E$258))=0,"",INDEX('Licences'!$C$4:$C$503,_calc!$E$258)))=0,"","Issuer: "&amp;IF(LEN(INDEX('Licences'!$C$4:$C$503,_calc!$E$258))=0,"",INDEX('Licences'!$C$4:$C$503,_calc!$E$258))&amp;". ")&amp;IF(LEN(IF(LEN(INDEX('Licences'!$E$4:$E$503,_calc!$E$258))=0,"",INDEX('Licences'!$E$4:$E$503,_calc!$E$258)))=0,"","Site: "&amp;IF(LEN(INDEX('Licences'!$E$4:$E$503,_calc!$E$258))=0,"",INDEX('Licences'!$E$4:$E$503,_calc!$E$258))&amp;". ")&amp;IF(LEN(IF(LEN(INDEX('Licences'!$F$4:$F$503,_calc!$E$258))=0,"",INDEX('Licences'!$F$4:$F$503,_calc!$E$258)))=0,"","Owner: "&amp;IF(LEN(INDEX('Licences'!$F$4:$F$503,_calc!$E$258))=0,"",INDEX('Licences'!$F$4:$F$503,_calc!$E$258))&amp;". ")&amp;IF(LEN(IF(LEN(INDEX('Licences'!$R$4:$R$503,_calc!$E$258))=0,"",INDEX('Licences'!$R$4:$R$503,_calc!$E$258)))=0,"",IF(LEN(INDEX('Licences'!$R$4:$R$503,_calc!$E$258))=0,"",INDEX('Licences'!$R$4:$R$503,_calc!$E$258)))))</f>
        <v/>
      </c>
      <c r="G256" s="44">
        <f>IF(_calc!$E$258="","",IF(LEN(INDEX('Licences'!$Q$4:$Q$503,_calc!$E$258))=0,"",INDEX('Licences'!$Q$4:$Q$503,_calc!$E$258)))</f>
        <v/>
      </c>
      <c r="H256" s="44">
        <f>IF(_calc!$E$258="","",IF(LEN(INDEX('Licences'!$O$4:$O$503,_calc!$E$258))=0,"",INDEX('Licences'!$O$4:$O$503,_calc!$E$258)))</f>
        <v/>
      </c>
      <c r="I256" s="44">
        <f>IF(_calc!$E$258="","",IF(LEN(INDEX('Licences'!$P$4:$P$503,_calc!$E$258))=0,"",INDEX('Licences'!$P$4:$P$503,_calc!$E$258)))</f>
        <v/>
      </c>
      <c r="K256" s="44">
        <f>IF(_calc!$E$258="","",IF(LEN(INDEX('Licences'!$G$4:$G$503,_calc!$E$258))=0,"",INDEX('Licences'!$G$4:$G$503,_calc!$E$258)))</f>
        <v/>
      </c>
    </row>
    <row r="257">
      <c r="A257" s="44">
        <f>IF(_calc!$E$259="","",IF(LEN(INDEX('Licences'!$A$4:$A$503,_calc!$E$259))=0,"",INDEX('Licences'!$A$4:$A$503,_calc!$E$259)))</f>
        <v/>
      </c>
      <c r="B257" s="44">
        <f>IF(_calc!$E$259="","",IF(ISNUMBER(INDEX('Licences'!$J$4:$J$503,_calc!$E$259)),TEXT(INDEX('Licences'!$J$4:$J$503,_calc!$E$259),"yyyy-mm-dd"),""))</f>
        <v/>
      </c>
      <c r="C257" s="44">
        <f>IF(_calc!$E$259="","",IF(LEN(INDEX('Licences'!$B$4:$B$503,_calc!$E$259))=0,"",INDEX('Licences'!$B$4:$B$503,_calc!$E$259)))</f>
        <v/>
      </c>
      <c r="D257" s="44">
        <f>IF(_calc!$E$259="","",IF(ISNUMBER(INDEX('Licences'!$I$4:$I$503,_calc!$E$259)),TEXT(INDEX('Licences'!$I$4:$I$503,_calc!$E$259),"yyyy-mm-dd"),""))</f>
        <v/>
      </c>
      <c r="E257" s="44">
        <f>IF(_calc!$E$259="","",IF(LEN(INDEX('Licences'!$H$4:$H$503,_calc!$E$259))=0,"",INDEX('Licences'!$H$4:$H$503,_calc!$E$259)))</f>
        <v/>
      </c>
      <c r="F257" s="44">
        <f>IF(_calc!$E$259="","",TRIM(IF(LEN(IF(LEN(INDEX('Licences'!$D$4:$D$503,_calc!$E$259))=0,"",INDEX('Licences'!$D$4:$D$503,_calc!$E$259)))=0,"","Ref: "&amp;IF(LEN(INDEX('Licences'!$D$4:$D$503,_calc!$E$259))=0,"",INDEX('Licences'!$D$4:$D$503,_calc!$E$259))&amp;". ")&amp;IF(LEN(IF(LEN(INDEX('Licences'!$C$4:$C$503,_calc!$E$259))=0,"",INDEX('Licences'!$C$4:$C$503,_calc!$E$259)))=0,"","Issuer: "&amp;IF(LEN(INDEX('Licences'!$C$4:$C$503,_calc!$E$259))=0,"",INDEX('Licences'!$C$4:$C$503,_calc!$E$259))&amp;". ")&amp;IF(LEN(IF(LEN(INDEX('Licences'!$E$4:$E$503,_calc!$E$259))=0,"",INDEX('Licences'!$E$4:$E$503,_calc!$E$259)))=0,"","Site: "&amp;IF(LEN(INDEX('Licences'!$E$4:$E$503,_calc!$E$259))=0,"",INDEX('Licences'!$E$4:$E$503,_calc!$E$259))&amp;". ")&amp;IF(LEN(IF(LEN(INDEX('Licences'!$F$4:$F$503,_calc!$E$259))=0,"",INDEX('Licences'!$F$4:$F$503,_calc!$E$259)))=0,"","Owner: "&amp;IF(LEN(INDEX('Licences'!$F$4:$F$503,_calc!$E$259))=0,"",INDEX('Licences'!$F$4:$F$503,_calc!$E$259))&amp;". ")&amp;IF(LEN(IF(LEN(INDEX('Licences'!$R$4:$R$503,_calc!$E$259))=0,"",INDEX('Licences'!$R$4:$R$503,_calc!$E$259)))=0,"",IF(LEN(INDEX('Licences'!$R$4:$R$503,_calc!$E$259))=0,"",INDEX('Licences'!$R$4:$R$503,_calc!$E$259)))))</f>
        <v/>
      </c>
      <c r="G257" s="44">
        <f>IF(_calc!$E$259="","",IF(LEN(INDEX('Licences'!$Q$4:$Q$503,_calc!$E$259))=0,"",INDEX('Licences'!$Q$4:$Q$503,_calc!$E$259)))</f>
        <v/>
      </c>
      <c r="H257" s="44">
        <f>IF(_calc!$E$259="","",IF(LEN(INDEX('Licences'!$O$4:$O$503,_calc!$E$259))=0,"",INDEX('Licences'!$O$4:$O$503,_calc!$E$259)))</f>
        <v/>
      </c>
      <c r="I257" s="44">
        <f>IF(_calc!$E$259="","",IF(LEN(INDEX('Licences'!$P$4:$P$503,_calc!$E$259))=0,"",INDEX('Licences'!$P$4:$P$503,_calc!$E$259)))</f>
        <v/>
      </c>
      <c r="K257" s="44">
        <f>IF(_calc!$E$259="","",IF(LEN(INDEX('Licences'!$G$4:$G$503,_calc!$E$259))=0,"",INDEX('Licences'!$G$4:$G$503,_calc!$E$259)))</f>
        <v/>
      </c>
    </row>
    <row r="258">
      <c r="A258" s="44">
        <f>IF(_calc!$E$260="","",IF(LEN(INDEX('Licences'!$A$4:$A$503,_calc!$E$260))=0,"",INDEX('Licences'!$A$4:$A$503,_calc!$E$260)))</f>
        <v/>
      </c>
      <c r="B258" s="44">
        <f>IF(_calc!$E$260="","",IF(ISNUMBER(INDEX('Licences'!$J$4:$J$503,_calc!$E$260)),TEXT(INDEX('Licences'!$J$4:$J$503,_calc!$E$260),"yyyy-mm-dd"),""))</f>
        <v/>
      </c>
      <c r="C258" s="44">
        <f>IF(_calc!$E$260="","",IF(LEN(INDEX('Licences'!$B$4:$B$503,_calc!$E$260))=0,"",INDEX('Licences'!$B$4:$B$503,_calc!$E$260)))</f>
        <v/>
      </c>
      <c r="D258" s="44">
        <f>IF(_calc!$E$260="","",IF(ISNUMBER(INDEX('Licences'!$I$4:$I$503,_calc!$E$260)),TEXT(INDEX('Licences'!$I$4:$I$503,_calc!$E$260),"yyyy-mm-dd"),""))</f>
        <v/>
      </c>
      <c r="E258" s="44">
        <f>IF(_calc!$E$260="","",IF(LEN(INDEX('Licences'!$H$4:$H$503,_calc!$E$260))=0,"",INDEX('Licences'!$H$4:$H$503,_calc!$E$260)))</f>
        <v/>
      </c>
      <c r="F258" s="44">
        <f>IF(_calc!$E$260="","",TRIM(IF(LEN(IF(LEN(INDEX('Licences'!$D$4:$D$503,_calc!$E$260))=0,"",INDEX('Licences'!$D$4:$D$503,_calc!$E$260)))=0,"","Ref: "&amp;IF(LEN(INDEX('Licences'!$D$4:$D$503,_calc!$E$260))=0,"",INDEX('Licences'!$D$4:$D$503,_calc!$E$260))&amp;". ")&amp;IF(LEN(IF(LEN(INDEX('Licences'!$C$4:$C$503,_calc!$E$260))=0,"",INDEX('Licences'!$C$4:$C$503,_calc!$E$260)))=0,"","Issuer: "&amp;IF(LEN(INDEX('Licences'!$C$4:$C$503,_calc!$E$260))=0,"",INDEX('Licences'!$C$4:$C$503,_calc!$E$260))&amp;". ")&amp;IF(LEN(IF(LEN(INDEX('Licences'!$E$4:$E$503,_calc!$E$260))=0,"",INDEX('Licences'!$E$4:$E$503,_calc!$E$260)))=0,"","Site: "&amp;IF(LEN(INDEX('Licences'!$E$4:$E$503,_calc!$E$260))=0,"",INDEX('Licences'!$E$4:$E$503,_calc!$E$260))&amp;". ")&amp;IF(LEN(IF(LEN(INDEX('Licences'!$F$4:$F$503,_calc!$E$260))=0,"",INDEX('Licences'!$F$4:$F$503,_calc!$E$260)))=0,"","Owner: "&amp;IF(LEN(INDEX('Licences'!$F$4:$F$503,_calc!$E$260))=0,"",INDEX('Licences'!$F$4:$F$503,_calc!$E$260))&amp;". ")&amp;IF(LEN(IF(LEN(INDEX('Licences'!$R$4:$R$503,_calc!$E$260))=0,"",INDEX('Licences'!$R$4:$R$503,_calc!$E$260)))=0,"",IF(LEN(INDEX('Licences'!$R$4:$R$503,_calc!$E$260))=0,"",INDEX('Licences'!$R$4:$R$503,_calc!$E$260)))))</f>
        <v/>
      </c>
      <c r="G258" s="44">
        <f>IF(_calc!$E$260="","",IF(LEN(INDEX('Licences'!$Q$4:$Q$503,_calc!$E$260))=0,"",INDEX('Licences'!$Q$4:$Q$503,_calc!$E$260)))</f>
        <v/>
      </c>
      <c r="H258" s="44">
        <f>IF(_calc!$E$260="","",IF(LEN(INDEX('Licences'!$O$4:$O$503,_calc!$E$260))=0,"",INDEX('Licences'!$O$4:$O$503,_calc!$E$260)))</f>
        <v/>
      </c>
      <c r="I258" s="44">
        <f>IF(_calc!$E$260="","",IF(LEN(INDEX('Licences'!$P$4:$P$503,_calc!$E$260))=0,"",INDEX('Licences'!$P$4:$P$503,_calc!$E$260)))</f>
        <v/>
      </c>
      <c r="K258" s="44">
        <f>IF(_calc!$E$260="","",IF(LEN(INDEX('Licences'!$G$4:$G$503,_calc!$E$260))=0,"",INDEX('Licences'!$G$4:$G$503,_calc!$E$260)))</f>
        <v/>
      </c>
    </row>
    <row r="259">
      <c r="A259" s="44">
        <f>IF(_calc!$E$261="","",IF(LEN(INDEX('Licences'!$A$4:$A$503,_calc!$E$261))=0,"",INDEX('Licences'!$A$4:$A$503,_calc!$E$261)))</f>
        <v/>
      </c>
      <c r="B259" s="44">
        <f>IF(_calc!$E$261="","",IF(ISNUMBER(INDEX('Licences'!$J$4:$J$503,_calc!$E$261)),TEXT(INDEX('Licences'!$J$4:$J$503,_calc!$E$261),"yyyy-mm-dd"),""))</f>
        <v/>
      </c>
      <c r="C259" s="44">
        <f>IF(_calc!$E$261="","",IF(LEN(INDEX('Licences'!$B$4:$B$503,_calc!$E$261))=0,"",INDEX('Licences'!$B$4:$B$503,_calc!$E$261)))</f>
        <v/>
      </c>
      <c r="D259" s="44">
        <f>IF(_calc!$E$261="","",IF(ISNUMBER(INDEX('Licences'!$I$4:$I$503,_calc!$E$261)),TEXT(INDEX('Licences'!$I$4:$I$503,_calc!$E$261),"yyyy-mm-dd"),""))</f>
        <v/>
      </c>
      <c r="E259" s="44">
        <f>IF(_calc!$E$261="","",IF(LEN(INDEX('Licences'!$H$4:$H$503,_calc!$E$261))=0,"",INDEX('Licences'!$H$4:$H$503,_calc!$E$261)))</f>
        <v/>
      </c>
      <c r="F259" s="44">
        <f>IF(_calc!$E$261="","",TRIM(IF(LEN(IF(LEN(INDEX('Licences'!$D$4:$D$503,_calc!$E$261))=0,"",INDEX('Licences'!$D$4:$D$503,_calc!$E$261)))=0,"","Ref: "&amp;IF(LEN(INDEX('Licences'!$D$4:$D$503,_calc!$E$261))=0,"",INDEX('Licences'!$D$4:$D$503,_calc!$E$261))&amp;". ")&amp;IF(LEN(IF(LEN(INDEX('Licences'!$C$4:$C$503,_calc!$E$261))=0,"",INDEX('Licences'!$C$4:$C$503,_calc!$E$261)))=0,"","Issuer: "&amp;IF(LEN(INDEX('Licences'!$C$4:$C$503,_calc!$E$261))=0,"",INDEX('Licences'!$C$4:$C$503,_calc!$E$261))&amp;". ")&amp;IF(LEN(IF(LEN(INDEX('Licences'!$E$4:$E$503,_calc!$E$261))=0,"",INDEX('Licences'!$E$4:$E$503,_calc!$E$261)))=0,"","Site: "&amp;IF(LEN(INDEX('Licences'!$E$4:$E$503,_calc!$E$261))=0,"",INDEX('Licences'!$E$4:$E$503,_calc!$E$261))&amp;". ")&amp;IF(LEN(IF(LEN(INDEX('Licences'!$F$4:$F$503,_calc!$E$261))=0,"",INDEX('Licences'!$F$4:$F$503,_calc!$E$261)))=0,"","Owner: "&amp;IF(LEN(INDEX('Licences'!$F$4:$F$503,_calc!$E$261))=0,"",INDEX('Licences'!$F$4:$F$503,_calc!$E$261))&amp;". ")&amp;IF(LEN(IF(LEN(INDEX('Licences'!$R$4:$R$503,_calc!$E$261))=0,"",INDEX('Licences'!$R$4:$R$503,_calc!$E$261)))=0,"",IF(LEN(INDEX('Licences'!$R$4:$R$503,_calc!$E$261))=0,"",INDEX('Licences'!$R$4:$R$503,_calc!$E$261)))))</f>
        <v/>
      </c>
      <c r="G259" s="44">
        <f>IF(_calc!$E$261="","",IF(LEN(INDEX('Licences'!$Q$4:$Q$503,_calc!$E$261))=0,"",INDEX('Licences'!$Q$4:$Q$503,_calc!$E$261)))</f>
        <v/>
      </c>
      <c r="H259" s="44">
        <f>IF(_calc!$E$261="","",IF(LEN(INDEX('Licences'!$O$4:$O$503,_calc!$E$261))=0,"",INDEX('Licences'!$O$4:$O$503,_calc!$E$261)))</f>
        <v/>
      </c>
      <c r="I259" s="44">
        <f>IF(_calc!$E$261="","",IF(LEN(INDEX('Licences'!$P$4:$P$503,_calc!$E$261))=0,"",INDEX('Licences'!$P$4:$P$503,_calc!$E$261)))</f>
        <v/>
      </c>
      <c r="K259" s="44">
        <f>IF(_calc!$E$261="","",IF(LEN(INDEX('Licences'!$G$4:$G$503,_calc!$E$261))=0,"",INDEX('Licences'!$G$4:$G$503,_calc!$E$261)))</f>
        <v/>
      </c>
    </row>
    <row r="260">
      <c r="A260" s="44">
        <f>IF(_calc!$E$262="","",IF(LEN(INDEX('Licences'!$A$4:$A$503,_calc!$E$262))=0,"",INDEX('Licences'!$A$4:$A$503,_calc!$E$262)))</f>
        <v/>
      </c>
      <c r="B260" s="44">
        <f>IF(_calc!$E$262="","",IF(ISNUMBER(INDEX('Licences'!$J$4:$J$503,_calc!$E$262)),TEXT(INDEX('Licences'!$J$4:$J$503,_calc!$E$262),"yyyy-mm-dd"),""))</f>
        <v/>
      </c>
      <c r="C260" s="44">
        <f>IF(_calc!$E$262="","",IF(LEN(INDEX('Licences'!$B$4:$B$503,_calc!$E$262))=0,"",INDEX('Licences'!$B$4:$B$503,_calc!$E$262)))</f>
        <v/>
      </c>
      <c r="D260" s="44">
        <f>IF(_calc!$E$262="","",IF(ISNUMBER(INDEX('Licences'!$I$4:$I$503,_calc!$E$262)),TEXT(INDEX('Licences'!$I$4:$I$503,_calc!$E$262),"yyyy-mm-dd"),""))</f>
        <v/>
      </c>
      <c r="E260" s="44">
        <f>IF(_calc!$E$262="","",IF(LEN(INDEX('Licences'!$H$4:$H$503,_calc!$E$262))=0,"",INDEX('Licences'!$H$4:$H$503,_calc!$E$262)))</f>
        <v/>
      </c>
      <c r="F260" s="44">
        <f>IF(_calc!$E$262="","",TRIM(IF(LEN(IF(LEN(INDEX('Licences'!$D$4:$D$503,_calc!$E$262))=0,"",INDEX('Licences'!$D$4:$D$503,_calc!$E$262)))=0,"","Ref: "&amp;IF(LEN(INDEX('Licences'!$D$4:$D$503,_calc!$E$262))=0,"",INDEX('Licences'!$D$4:$D$503,_calc!$E$262))&amp;". ")&amp;IF(LEN(IF(LEN(INDEX('Licences'!$C$4:$C$503,_calc!$E$262))=0,"",INDEX('Licences'!$C$4:$C$503,_calc!$E$262)))=0,"","Issuer: "&amp;IF(LEN(INDEX('Licences'!$C$4:$C$503,_calc!$E$262))=0,"",INDEX('Licences'!$C$4:$C$503,_calc!$E$262))&amp;". ")&amp;IF(LEN(IF(LEN(INDEX('Licences'!$E$4:$E$503,_calc!$E$262))=0,"",INDEX('Licences'!$E$4:$E$503,_calc!$E$262)))=0,"","Site: "&amp;IF(LEN(INDEX('Licences'!$E$4:$E$503,_calc!$E$262))=0,"",INDEX('Licences'!$E$4:$E$503,_calc!$E$262))&amp;". ")&amp;IF(LEN(IF(LEN(INDEX('Licences'!$F$4:$F$503,_calc!$E$262))=0,"",INDEX('Licences'!$F$4:$F$503,_calc!$E$262)))=0,"","Owner: "&amp;IF(LEN(INDEX('Licences'!$F$4:$F$503,_calc!$E$262))=0,"",INDEX('Licences'!$F$4:$F$503,_calc!$E$262))&amp;". ")&amp;IF(LEN(IF(LEN(INDEX('Licences'!$R$4:$R$503,_calc!$E$262))=0,"",INDEX('Licences'!$R$4:$R$503,_calc!$E$262)))=0,"",IF(LEN(INDEX('Licences'!$R$4:$R$503,_calc!$E$262))=0,"",INDEX('Licences'!$R$4:$R$503,_calc!$E$262)))))</f>
        <v/>
      </c>
      <c r="G260" s="44">
        <f>IF(_calc!$E$262="","",IF(LEN(INDEX('Licences'!$Q$4:$Q$503,_calc!$E$262))=0,"",INDEX('Licences'!$Q$4:$Q$503,_calc!$E$262)))</f>
        <v/>
      </c>
      <c r="H260" s="44">
        <f>IF(_calc!$E$262="","",IF(LEN(INDEX('Licences'!$O$4:$O$503,_calc!$E$262))=0,"",INDEX('Licences'!$O$4:$O$503,_calc!$E$262)))</f>
        <v/>
      </c>
      <c r="I260" s="44">
        <f>IF(_calc!$E$262="","",IF(LEN(INDEX('Licences'!$P$4:$P$503,_calc!$E$262))=0,"",INDEX('Licences'!$P$4:$P$503,_calc!$E$262)))</f>
        <v/>
      </c>
      <c r="K260" s="44">
        <f>IF(_calc!$E$262="","",IF(LEN(INDEX('Licences'!$G$4:$G$503,_calc!$E$262))=0,"",INDEX('Licences'!$G$4:$G$503,_calc!$E$262)))</f>
        <v/>
      </c>
    </row>
    <row r="261">
      <c r="A261" s="44">
        <f>IF(_calc!$E$263="","",IF(LEN(INDEX('Licences'!$A$4:$A$503,_calc!$E$263))=0,"",INDEX('Licences'!$A$4:$A$503,_calc!$E$263)))</f>
        <v/>
      </c>
      <c r="B261" s="44">
        <f>IF(_calc!$E$263="","",IF(ISNUMBER(INDEX('Licences'!$J$4:$J$503,_calc!$E$263)),TEXT(INDEX('Licences'!$J$4:$J$503,_calc!$E$263),"yyyy-mm-dd"),""))</f>
        <v/>
      </c>
      <c r="C261" s="44">
        <f>IF(_calc!$E$263="","",IF(LEN(INDEX('Licences'!$B$4:$B$503,_calc!$E$263))=0,"",INDEX('Licences'!$B$4:$B$503,_calc!$E$263)))</f>
        <v/>
      </c>
      <c r="D261" s="44">
        <f>IF(_calc!$E$263="","",IF(ISNUMBER(INDEX('Licences'!$I$4:$I$503,_calc!$E$263)),TEXT(INDEX('Licences'!$I$4:$I$503,_calc!$E$263),"yyyy-mm-dd"),""))</f>
        <v/>
      </c>
      <c r="E261" s="44">
        <f>IF(_calc!$E$263="","",IF(LEN(INDEX('Licences'!$H$4:$H$503,_calc!$E$263))=0,"",INDEX('Licences'!$H$4:$H$503,_calc!$E$263)))</f>
        <v/>
      </c>
      <c r="F261" s="44">
        <f>IF(_calc!$E$263="","",TRIM(IF(LEN(IF(LEN(INDEX('Licences'!$D$4:$D$503,_calc!$E$263))=0,"",INDEX('Licences'!$D$4:$D$503,_calc!$E$263)))=0,"","Ref: "&amp;IF(LEN(INDEX('Licences'!$D$4:$D$503,_calc!$E$263))=0,"",INDEX('Licences'!$D$4:$D$503,_calc!$E$263))&amp;". ")&amp;IF(LEN(IF(LEN(INDEX('Licences'!$C$4:$C$503,_calc!$E$263))=0,"",INDEX('Licences'!$C$4:$C$503,_calc!$E$263)))=0,"","Issuer: "&amp;IF(LEN(INDEX('Licences'!$C$4:$C$503,_calc!$E$263))=0,"",INDEX('Licences'!$C$4:$C$503,_calc!$E$263))&amp;". ")&amp;IF(LEN(IF(LEN(INDEX('Licences'!$E$4:$E$503,_calc!$E$263))=0,"",INDEX('Licences'!$E$4:$E$503,_calc!$E$263)))=0,"","Site: "&amp;IF(LEN(INDEX('Licences'!$E$4:$E$503,_calc!$E$263))=0,"",INDEX('Licences'!$E$4:$E$503,_calc!$E$263))&amp;". ")&amp;IF(LEN(IF(LEN(INDEX('Licences'!$F$4:$F$503,_calc!$E$263))=0,"",INDEX('Licences'!$F$4:$F$503,_calc!$E$263)))=0,"","Owner: "&amp;IF(LEN(INDEX('Licences'!$F$4:$F$503,_calc!$E$263))=0,"",INDEX('Licences'!$F$4:$F$503,_calc!$E$263))&amp;". ")&amp;IF(LEN(IF(LEN(INDEX('Licences'!$R$4:$R$503,_calc!$E$263))=0,"",INDEX('Licences'!$R$4:$R$503,_calc!$E$263)))=0,"",IF(LEN(INDEX('Licences'!$R$4:$R$503,_calc!$E$263))=0,"",INDEX('Licences'!$R$4:$R$503,_calc!$E$263)))))</f>
        <v/>
      </c>
      <c r="G261" s="44">
        <f>IF(_calc!$E$263="","",IF(LEN(INDEX('Licences'!$Q$4:$Q$503,_calc!$E$263))=0,"",INDEX('Licences'!$Q$4:$Q$503,_calc!$E$263)))</f>
        <v/>
      </c>
      <c r="H261" s="44">
        <f>IF(_calc!$E$263="","",IF(LEN(INDEX('Licences'!$O$4:$O$503,_calc!$E$263))=0,"",INDEX('Licences'!$O$4:$O$503,_calc!$E$263)))</f>
        <v/>
      </c>
      <c r="I261" s="44">
        <f>IF(_calc!$E$263="","",IF(LEN(INDEX('Licences'!$P$4:$P$503,_calc!$E$263))=0,"",INDEX('Licences'!$P$4:$P$503,_calc!$E$263)))</f>
        <v/>
      </c>
      <c r="K261" s="44">
        <f>IF(_calc!$E$263="","",IF(LEN(INDEX('Licences'!$G$4:$G$503,_calc!$E$263))=0,"",INDEX('Licences'!$G$4:$G$503,_calc!$E$263)))</f>
        <v/>
      </c>
    </row>
    <row r="262">
      <c r="A262" s="44">
        <f>IF(_calc!$E$264="","",IF(LEN(INDEX('Licences'!$A$4:$A$503,_calc!$E$264))=0,"",INDEX('Licences'!$A$4:$A$503,_calc!$E$264)))</f>
        <v/>
      </c>
      <c r="B262" s="44">
        <f>IF(_calc!$E$264="","",IF(ISNUMBER(INDEX('Licences'!$J$4:$J$503,_calc!$E$264)),TEXT(INDEX('Licences'!$J$4:$J$503,_calc!$E$264),"yyyy-mm-dd"),""))</f>
        <v/>
      </c>
      <c r="C262" s="44">
        <f>IF(_calc!$E$264="","",IF(LEN(INDEX('Licences'!$B$4:$B$503,_calc!$E$264))=0,"",INDEX('Licences'!$B$4:$B$503,_calc!$E$264)))</f>
        <v/>
      </c>
      <c r="D262" s="44">
        <f>IF(_calc!$E$264="","",IF(ISNUMBER(INDEX('Licences'!$I$4:$I$503,_calc!$E$264)),TEXT(INDEX('Licences'!$I$4:$I$503,_calc!$E$264),"yyyy-mm-dd"),""))</f>
        <v/>
      </c>
      <c r="E262" s="44">
        <f>IF(_calc!$E$264="","",IF(LEN(INDEX('Licences'!$H$4:$H$503,_calc!$E$264))=0,"",INDEX('Licences'!$H$4:$H$503,_calc!$E$264)))</f>
        <v/>
      </c>
      <c r="F262" s="44">
        <f>IF(_calc!$E$264="","",TRIM(IF(LEN(IF(LEN(INDEX('Licences'!$D$4:$D$503,_calc!$E$264))=0,"",INDEX('Licences'!$D$4:$D$503,_calc!$E$264)))=0,"","Ref: "&amp;IF(LEN(INDEX('Licences'!$D$4:$D$503,_calc!$E$264))=0,"",INDEX('Licences'!$D$4:$D$503,_calc!$E$264))&amp;". ")&amp;IF(LEN(IF(LEN(INDEX('Licences'!$C$4:$C$503,_calc!$E$264))=0,"",INDEX('Licences'!$C$4:$C$503,_calc!$E$264)))=0,"","Issuer: "&amp;IF(LEN(INDEX('Licences'!$C$4:$C$503,_calc!$E$264))=0,"",INDEX('Licences'!$C$4:$C$503,_calc!$E$264))&amp;". ")&amp;IF(LEN(IF(LEN(INDEX('Licences'!$E$4:$E$503,_calc!$E$264))=0,"",INDEX('Licences'!$E$4:$E$503,_calc!$E$264)))=0,"","Site: "&amp;IF(LEN(INDEX('Licences'!$E$4:$E$503,_calc!$E$264))=0,"",INDEX('Licences'!$E$4:$E$503,_calc!$E$264))&amp;". ")&amp;IF(LEN(IF(LEN(INDEX('Licences'!$F$4:$F$503,_calc!$E$264))=0,"",INDEX('Licences'!$F$4:$F$503,_calc!$E$264)))=0,"","Owner: "&amp;IF(LEN(INDEX('Licences'!$F$4:$F$503,_calc!$E$264))=0,"",INDEX('Licences'!$F$4:$F$503,_calc!$E$264))&amp;". ")&amp;IF(LEN(IF(LEN(INDEX('Licences'!$R$4:$R$503,_calc!$E$264))=0,"",INDEX('Licences'!$R$4:$R$503,_calc!$E$264)))=0,"",IF(LEN(INDEX('Licences'!$R$4:$R$503,_calc!$E$264))=0,"",INDEX('Licences'!$R$4:$R$503,_calc!$E$264)))))</f>
        <v/>
      </c>
      <c r="G262" s="44">
        <f>IF(_calc!$E$264="","",IF(LEN(INDEX('Licences'!$Q$4:$Q$503,_calc!$E$264))=0,"",INDEX('Licences'!$Q$4:$Q$503,_calc!$E$264)))</f>
        <v/>
      </c>
      <c r="H262" s="44">
        <f>IF(_calc!$E$264="","",IF(LEN(INDEX('Licences'!$O$4:$O$503,_calc!$E$264))=0,"",INDEX('Licences'!$O$4:$O$503,_calc!$E$264)))</f>
        <v/>
      </c>
      <c r="I262" s="44">
        <f>IF(_calc!$E$264="","",IF(LEN(INDEX('Licences'!$P$4:$P$503,_calc!$E$264))=0,"",INDEX('Licences'!$P$4:$P$503,_calc!$E$264)))</f>
        <v/>
      </c>
      <c r="K262" s="44">
        <f>IF(_calc!$E$264="","",IF(LEN(INDEX('Licences'!$G$4:$G$503,_calc!$E$264))=0,"",INDEX('Licences'!$G$4:$G$503,_calc!$E$264)))</f>
        <v/>
      </c>
    </row>
    <row r="263">
      <c r="A263" s="44">
        <f>IF(_calc!$E$265="","",IF(LEN(INDEX('Licences'!$A$4:$A$503,_calc!$E$265))=0,"",INDEX('Licences'!$A$4:$A$503,_calc!$E$265)))</f>
        <v/>
      </c>
      <c r="B263" s="44">
        <f>IF(_calc!$E$265="","",IF(ISNUMBER(INDEX('Licences'!$J$4:$J$503,_calc!$E$265)),TEXT(INDEX('Licences'!$J$4:$J$503,_calc!$E$265),"yyyy-mm-dd"),""))</f>
        <v/>
      </c>
      <c r="C263" s="44">
        <f>IF(_calc!$E$265="","",IF(LEN(INDEX('Licences'!$B$4:$B$503,_calc!$E$265))=0,"",INDEX('Licences'!$B$4:$B$503,_calc!$E$265)))</f>
        <v/>
      </c>
      <c r="D263" s="44">
        <f>IF(_calc!$E$265="","",IF(ISNUMBER(INDEX('Licences'!$I$4:$I$503,_calc!$E$265)),TEXT(INDEX('Licences'!$I$4:$I$503,_calc!$E$265),"yyyy-mm-dd"),""))</f>
        <v/>
      </c>
      <c r="E263" s="44">
        <f>IF(_calc!$E$265="","",IF(LEN(INDEX('Licences'!$H$4:$H$503,_calc!$E$265))=0,"",INDEX('Licences'!$H$4:$H$503,_calc!$E$265)))</f>
        <v/>
      </c>
      <c r="F263" s="44">
        <f>IF(_calc!$E$265="","",TRIM(IF(LEN(IF(LEN(INDEX('Licences'!$D$4:$D$503,_calc!$E$265))=0,"",INDEX('Licences'!$D$4:$D$503,_calc!$E$265)))=0,"","Ref: "&amp;IF(LEN(INDEX('Licences'!$D$4:$D$503,_calc!$E$265))=0,"",INDEX('Licences'!$D$4:$D$503,_calc!$E$265))&amp;". ")&amp;IF(LEN(IF(LEN(INDEX('Licences'!$C$4:$C$503,_calc!$E$265))=0,"",INDEX('Licences'!$C$4:$C$503,_calc!$E$265)))=0,"","Issuer: "&amp;IF(LEN(INDEX('Licences'!$C$4:$C$503,_calc!$E$265))=0,"",INDEX('Licences'!$C$4:$C$503,_calc!$E$265))&amp;". ")&amp;IF(LEN(IF(LEN(INDEX('Licences'!$E$4:$E$503,_calc!$E$265))=0,"",INDEX('Licences'!$E$4:$E$503,_calc!$E$265)))=0,"","Site: "&amp;IF(LEN(INDEX('Licences'!$E$4:$E$503,_calc!$E$265))=0,"",INDEX('Licences'!$E$4:$E$503,_calc!$E$265))&amp;". ")&amp;IF(LEN(IF(LEN(INDEX('Licences'!$F$4:$F$503,_calc!$E$265))=0,"",INDEX('Licences'!$F$4:$F$503,_calc!$E$265)))=0,"","Owner: "&amp;IF(LEN(INDEX('Licences'!$F$4:$F$503,_calc!$E$265))=0,"",INDEX('Licences'!$F$4:$F$503,_calc!$E$265))&amp;". ")&amp;IF(LEN(IF(LEN(INDEX('Licences'!$R$4:$R$503,_calc!$E$265))=0,"",INDEX('Licences'!$R$4:$R$503,_calc!$E$265)))=0,"",IF(LEN(INDEX('Licences'!$R$4:$R$503,_calc!$E$265))=0,"",INDEX('Licences'!$R$4:$R$503,_calc!$E$265)))))</f>
        <v/>
      </c>
      <c r="G263" s="44">
        <f>IF(_calc!$E$265="","",IF(LEN(INDEX('Licences'!$Q$4:$Q$503,_calc!$E$265))=0,"",INDEX('Licences'!$Q$4:$Q$503,_calc!$E$265)))</f>
        <v/>
      </c>
      <c r="H263" s="44">
        <f>IF(_calc!$E$265="","",IF(LEN(INDEX('Licences'!$O$4:$O$503,_calc!$E$265))=0,"",INDEX('Licences'!$O$4:$O$503,_calc!$E$265)))</f>
        <v/>
      </c>
      <c r="I263" s="44">
        <f>IF(_calc!$E$265="","",IF(LEN(INDEX('Licences'!$P$4:$P$503,_calc!$E$265))=0,"",INDEX('Licences'!$P$4:$P$503,_calc!$E$265)))</f>
        <v/>
      </c>
      <c r="K263" s="44">
        <f>IF(_calc!$E$265="","",IF(LEN(INDEX('Licences'!$G$4:$G$503,_calc!$E$265))=0,"",INDEX('Licences'!$G$4:$G$503,_calc!$E$265)))</f>
        <v/>
      </c>
    </row>
    <row r="264">
      <c r="A264" s="44">
        <f>IF(_calc!$E$266="","",IF(LEN(INDEX('Licences'!$A$4:$A$503,_calc!$E$266))=0,"",INDEX('Licences'!$A$4:$A$503,_calc!$E$266)))</f>
        <v/>
      </c>
      <c r="B264" s="44">
        <f>IF(_calc!$E$266="","",IF(ISNUMBER(INDEX('Licences'!$J$4:$J$503,_calc!$E$266)),TEXT(INDEX('Licences'!$J$4:$J$503,_calc!$E$266),"yyyy-mm-dd"),""))</f>
        <v/>
      </c>
      <c r="C264" s="44">
        <f>IF(_calc!$E$266="","",IF(LEN(INDEX('Licences'!$B$4:$B$503,_calc!$E$266))=0,"",INDEX('Licences'!$B$4:$B$503,_calc!$E$266)))</f>
        <v/>
      </c>
      <c r="D264" s="44">
        <f>IF(_calc!$E$266="","",IF(ISNUMBER(INDEX('Licences'!$I$4:$I$503,_calc!$E$266)),TEXT(INDEX('Licences'!$I$4:$I$503,_calc!$E$266),"yyyy-mm-dd"),""))</f>
        <v/>
      </c>
      <c r="E264" s="44">
        <f>IF(_calc!$E$266="","",IF(LEN(INDEX('Licences'!$H$4:$H$503,_calc!$E$266))=0,"",INDEX('Licences'!$H$4:$H$503,_calc!$E$266)))</f>
        <v/>
      </c>
      <c r="F264" s="44">
        <f>IF(_calc!$E$266="","",TRIM(IF(LEN(IF(LEN(INDEX('Licences'!$D$4:$D$503,_calc!$E$266))=0,"",INDEX('Licences'!$D$4:$D$503,_calc!$E$266)))=0,"","Ref: "&amp;IF(LEN(INDEX('Licences'!$D$4:$D$503,_calc!$E$266))=0,"",INDEX('Licences'!$D$4:$D$503,_calc!$E$266))&amp;". ")&amp;IF(LEN(IF(LEN(INDEX('Licences'!$C$4:$C$503,_calc!$E$266))=0,"",INDEX('Licences'!$C$4:$C$503,_calc!$E$266)))=0,"","Issuer: "&amp;IF(LEN(INDEX('Licences'!$C$4:$C$503,_calc!$E$266))=0,"",INDEX('Licences'!$C$4:$C$503,_calc!$E$266))&amp;". ")&amp;IF(LEN(IF(LEN(INDEX('Licences'!$E$4:$E$503,_calc!$E$266))=0,"",INDEX('Licences'!$E$4:$E$503,_calc!$E$266)))=0,"","Site: "&amp;IF(LEN(INDEX('Licences'!$E$4:$E$503,_calc!$E$266))=0,"",INDEX('Licences'!$E$4:$E$503,_calc!$E$266))&amp;". ")&amp;IF(LEN(IF(LEN(INDEX('Licences'!$F$4:$F$503,_calc!$E$266))=0,"",INDEX('Licences'!$F$4:$F$503,_calc!$E$266)))=0,"","Owner: "&amp;IF(LEN(INDEX('Licences'!$F$4:$F$503,_calc!$E$266))=0,"",INDEX('Licences'!$F$4:$F$503,_calc!$E$266))&amp;". ")&amp;IF(LEN(IF(LEN(INDEX('Licences'!$R$4:$R$503,_calc!$E$266))=0,"",INDEX('Licences'!$R$4:$R$503,_calc!$E$266)))=0,"",IF(LEN(INDEX('Licences'!$R$4:$R$503,_calc!$E$266))=0,"",INDEX('Licences'!$R$4:$R$503,_calc!$E$266)))))</f>
        <v/>
      </c>
      <c r="G264" s="44">
        <f>IF(_calc!$E$266="","",IF(LEN(INDEX('Licences'!$Q$4:$Q$503,_calc!$E$266))=0,"",INDEX('Licences'!$Q$4:$Q$503,_calc!$E$266)))</f>
        <v/>
      </c>
      <c r="H264" s="44">
        <f>IF(_calc!$E$266="","",IF(LEN(INDEX('Licences'!$O$4:$O$503,_calc!$E$266))=0,"",INDEX('Licences'!$O$4:$O$503,_calc!$E$266)))</f>
        <v/>
      </c>
      <c r="I264" s="44">
        <f>IF(_calc!$E$266="","",IF(LEN(INDEX('Licences'!$P$4:$P$503,_calc!$E$266))=0,"",INDEX('Licences'!$P$4:$P$503,_calc!$E$266)))</f>
        <v/>
      </c>
      <c r="K264" s="44">
        <f>IF(_calc!$E$266="","",IF(LEN(INDEX('Licences'!$G$4:$G$503,_calc!$E$266))=0,"",INDEX('Licences'!$G$4:$G$503,_calc!$E$266)))</f>
        <v/>
      </c>
    </row>
    <row r="265">
      <c r="A265" s="44">
        <f>IF(_calc!$E$267="","",IF(LEN(INDEX('Licences'!$A$4:$A$503,_calc!$E$267))=0,"",INDEX('Licences'!$A$4:$A$503,_calc!$E$267)))</f>
        <v/>
      </c>
      <c r="B265" s="44">
        <f>IF(_calc!$E$267="","",IF(ISNUMBER(INDEX('Licences'!$J$4:$J$503,_calc!$E$267)),TEXT(INDEX('Licences'!$J$4:$J$503,_calc!$E$267),"yyyy-mm-dd"),""))</f>
        <v/>
      </c>
      <c r="C265" s="44">
        <f>IF(_calc!$E$267="","",IF(LEN(INDEX('Licences'!$B$4:$B$503,_calc!$E$267))=0,"",INDEX('Licences'!$B$4:$B$503,_calc!$E$267)))</f>
        <v/>
      </c>
      <c r="D265" s="44">
        <f>IF(_calc!$E$267="","",IF(ISNUMBER(INDEX('Licences'!$I$4:$I$503,_calc!$E$267)),TEXT(INDEX('Licences'!$I$4:$I$503,_calc!$E$267),"yyyy-mm-dd"),""))</f>
        <v/>
      </c>
      <c r="E265" s="44">
        <f>IF(_calc!$E$267="","",IF(LEN(INDEX('Licences'!$H$4:$H$503,_calc!$E$267))=0,"",INDEX('Licences'!$H$4:$H$503,_calc!$E$267)))</f>
        <v/>
      </c>
      <c r="F265" s="44">
        <f>IF(_calc!$E$267="","",TRIM(IF(LEN(IF(LEN(INDEX('Licences'!$D$4:$D$503,_calc!$E$267))=0,"",INDEX('Licences'!$D$4:$D$503,_calc!$E$267)))=0,"","Ref: "&amp;IF(LEN(INDEX('Licences'!$D$4:$D$503,_calc!$E$267))=0,"",INDEX('Licences'!$D$4:$D$503,_calc!$E$267))&amp;". ")&amp;IF(LEN(IF(LEN(INDEX('Licences'!$C$4:$C$503,_calc!$E$267))=0,"",INDEX('Licences'!$C$4:$C$503,_calc!$E$267)))=0,"","Issuer: "&amp;IF(LEN(INDEX('Licences'!$C$4:$C$503,_calc!$E$267))=0,"",INDEX('Licences'!$C$4:$C$503,_calc!$E$267))&amp;". ")&amp;IF(LEN(IF(LEN(INDEX('Licences'!$E$4:$E$503,_calc!$E$267))=0,"",INDEX('Licences'!$E$4:$E$503,_calc!$E$267)))=0,"","Site: "&amp;IF(LEN(INDEX('Licences'!$E$4:$E$503,_calc!$E$267))=0,"",INDEX('Licences'!$E$4:$E$503,_calc!$E$267))&amp;". ")&amp;IF(LEN(IF(LEN(INDEX('Licences'!$F$4:$F$503,_calc!$E$267))=0,"",INDEX('Licences'!$F$4:$F$503,_calc!$E$267)))=0,"","Owner: "&amp;IF(LEN(INDEX('Licences'!$F$4:$F$503,_calc!$E$267))=0,"",INDEX('Licences'!$F$4:$F$503,_calc!$E$267))&amp;". ")&amp;IF(LEN(IF(LEN(INDEX('Licences'!$R$4:$R$503,_calc!$E$267))=0,"",INDEX('Licences'!$R$4:$R$503,_calc!$E$267)))=0,"",IF(LEN(INDEX('Licences'!$R$4:$R$503,_calc!$E$267))=0,"",INDEX('Licences'!$R$4:$R$503,_calc!$E$267)))))</f>
        <v/>
      </c>
      <c r="G265" s="44">
        <f>IF(_calc!$E$267="","",IF(LEN(INDEX('Licences'!$Q$4:$Q$503,_calc!$E$267))=0,"",INDEX('Licences'!$Q$4:$Q$503,_calc!$E$267)))</f>
        <v/>
      </c>
      <c r="H265" s="44">
        <f>IF(_calc!$E$267="","",IF(LEN(INDEX('Licences'!$O$4:$O$503,_calc!$E$267))=0,"",INDEX('Licences'!$O$4:$O$503,_calc!$E$267)))</f>
        <v/>
      </c>
      <c r="I265" s="44">
        <f>IF(_calc!$E$267="","",IF(LEN(INDEX('Licences'!$P$4:$P$503,_calc!$E$267))=0,"",INDEX('Licences'!$P$4:$P$503,_calc!$E$267)))</f>
        <v/>
      </c>
      <c r="K265" s="44">
        <f>IF(_calc!$E$267="","",IF(LEN(INDEX('Licences'!$G$4:$G$503,_calc!$E$267))=0,"",INDEX('Licences'!$G$4:$G$503,_calc!$E$267)))</f>
        <v/>
      </c>
    </row>
    <row r="266">
      <c r="A266" s="44">
        <f>IF(_calc!$E$268="","",IF(LEN(INDEX('Licences'!$A$4:$A$503,_calc!$E$268))=0,"",INDEX('Licences'!$A$4:$A$503,_calc!$E$268)))</f>
        <v/>
      </c>
      <c r="B266" s="44">
        <f>IF(_calc!$E$268="","",IF(ISNUMBER(INDEX('Licences'!$J$4:$J$503,_calc!$E$268)),TEXT(INDEX('Licences'!$J$4:$J$503,_calc!$E$268),"yyyy-mm-dd"),""))</f>
        <v/>
      </c>
      <c r="C266" s="44">
        <f>IF(_calc!$E$268="","",IF(LEN(INDEX('Licences'!$B$4:$B$503,_calc!$E$268))=0,"",INDEX('Licences'!$B$4:$B$503,_calc!$E$268)))</f>
        <v/>
      </c>
      <c r="D266" s="44">
        <f>IF(_calc!$E$268="","",IF(ISNUMBER(INDEX('Licences'!$I$4:$I$503,_calc!$E$268)),TEXT(INDEX('Licences'!$I$4:$I$503,_calc!$E$268),"yyyy-mm-dd"),""))</f>
        <v/>
      </c>
      <c r="E266" s="44">
        <f>IF(_calc!$E$268="","",IF(LEN(INDEX('Licences'!$H$4:$H$503,_calc!$E$268))=0,"",INDEX('Licences'!$H$4:$H$503,_calc!$E$268)))</f>
        <v/>
      </c>
      <c r="F266" s="44">
        <f>IF(_calc!$E$268="","",TRIM(IF(LEN(IF(LEN(INDEX('Licences'!$D$4:$D$503,_calc!$E$268))=0,"",INDEX('Licences'!$D$4:$D$503,_calc!$E$268)))=0,"","Ref: "&amp;IF(LEN(INDEX('Licences'!$D$4:$D$503,_calc!$E$268))=0,"",INDEX('Licences'!$D$4:$D$503,_calc!$E$268))&amp;". ")&amp;IF(LEN(IF(LEN(INDEX('Licences'!$C$4:$C$503,_calc!$E$268))=0,"",INDEX('Licences'!$C$4:$C$503,_calc!$E$268)))=0,"","Issuer: "&amp;IF(LEN(INDEX('Licences'!$C$4:$C$503,_calc!$E$268))=0,"",INDEX('Licences'!$C$4:$C$503,_calc!$E$268))&amp;". ")&amp;IF(LEN(IF(LEN(INDEX('Licences'!$E$4:$E$503,_calc!$E$268))=0,"",INDEX('Licences'!$E$4:$E$503,_calc!$E$268)))=0,"","Site: "&amp;IF(LEN(INDEX('Licences'!$E$4:$E$503,_calc!$E$268))=0,"",INDEX('Licences'!$E$4:$E$503,_calc!$E$268))&amp;". ")&amp;IF(LEN(IF(LEN(INDEX('Licences'!$F$4:$F$503,_calc!$E$268))=0,"",INDEX('Licences'!$F$4:$F$503,_calc!$E$268)))=0,"","Owner: "&amp;IF(LEN(INDEX('Licences'!$F$4:$F$503,_calc!$E$268))=0,"",INDEX('Licences'!$F$4:$F$503,_calc!$E$268))&amp;". ")&amp;IF(LEN(IF(LEN(INDEX('Licences'!$R$4:$R$503,_calc!$E$268))=0,"",INDEX('Licences'!$R$4:$R$503,_calc!$E$268)))=0,"",IF(LEN(INDEX('Licences'!$R$4:$R$503,_calc!$E$268))=0,"",INDEX('Licences'!$R$4:$R$503,_calc!$E$268)))))</f>
        <v/>
      </c>
      <c r="G266" s="44">
        <f>IF(_calc!$E$268="","",IF(LEN(INDEX('Licences'!$Q$4:$Q$503,_calc!$E$268))=0,"",INDEX('Licences'!$Q$4:$Q$503,_calc!$E$268)))</f>
        <v/>
      </c>
      <c r="H266" s="44">
        <f>IF(_calc!$E$268="","",IF(LEN(INDEX('Licences'!$O$4:$O$503,_calc!$E$268))=0,"",INDEX('Licences'!$O$4:$O$503,_calc!$E$268)))</f>
        <v/>
      </c>
      <c r="I266" s="44">
        <f>IF(_calc!$E$268="","",IF(LEN(INDEX('Licences'!$P$4:$P$503,_calc!$E$268))=0,"",INDEX('Licences'!$P$4:$P$503,_calc!$E$268)))</f>
        <v/>
      </c>
      <c r="K266" s="44">
        <f>IF(_calc!$E$268="","",IF(LEN(INDEX('Licences'!$G$4:$G$503,_calc!$E$268))=0,"",INDEX('Licences'!$G$4:$G$503,_calc!$E$268)))</f>
        <v/>
      </c>
    </row>
    <row r="267">
      <c r="A267" s="44">
        <f>IF(_calc!$E$269="","",IF(LEN(INDEX('Licences'!$A$4:$A$503,_calc!$E$269))=0,"",INDEX('Licences'!$A$4:$A$503,_calc!$E$269)))</f>
        <v/>
      </c>
      <c r="B267" s="44">
        <f>IF(_calc!$E$269="","",IF(ISNUMBER(INDEX('Licences'!$J$4:$J$503,_calc!$E$269)),TEXT(INDEX('Licences'!$J$4:$J$503,_calc!$E$269),"yyyy-mm-dd"),""))</f>
        <v/>
      </c>
      <c r="C267" s="44">
        <f>IF(_calc!$E$269="","",IF(LEN(INDEX('Licences'!$B$4:$B$503,_calc!$E$269))=0,"",INDEX('Licences'!$B$4:$B$503,_calc!$E$269)))</f>
        <v/>
      </c>
      <c r="D267" s="44">
        <f>IF(_calc!$E$269="","",IF(ISNUMBER(INDEX('Licences'!$I$4:$I$503,_calc!$E$269)),TEXT(INDEX('Licences'!$I$4:$I$503,_calc!$E$269),"yyyy-mm-dd"),""))</f>
        <v/>
      </c>
      <c r="E267" s="44">
        <f>IF(_calc!$E$269="","",IF(LEN(INDEX('Licences'!$H$4:$H$503,_calc!$E$269))=0,"",INDEX('Licences'!$H$4:$H$503,_calc!$E$269)))</f>
        <v/>
      </c>
      <c r="F267" s="44">
        <f>IF(_calc!$E$269="","",TRIM(IF(LEN(IF(LEN(INDEX('Licences'!$D$4:$D$503,_calc!$E$269))=0,"",INDEX('Licences'!$D$4:$D$503,_calc!$E$269)))=0,"","Ref: "&amp;IF(LEN(INDEX('Licences'!$D$4:$D$503,_calc!$E$269))=0,"",INDEX('Licences'!$D$4:$D$503,_calc!$E$269))&amp;". ")&amp;IF(LEN(IF(LEN(INDEX('Licences'!$C$4:$C$503,_calc!$E$269))=0,"",INDEX('Licences'!$C$4:$C$503,_calc!$E$269)))=0,"","Issuer: "&amp;IF(LEN(INDEX('Licences'!$C$4:$C$503,_calc!$E$269))=0,"",INDEX('Licences'!$C$4:$C$503,_calc!$E$269))&amp;". ")&amp;IF(LEN(IF(LEN(INDEX('Licences'!$E$4:$E$503,_calc!$E$269))=0,"",INDEX('Licences'!$E$4:$E$503,_calc!$E$269)))=0,"","Site: "&amp;IF(LEN(INDEX('Licences'!$E$4:$E$503,_calc!$E$269))=0,"",INDEX('Licences'!$E$4:$E$503,_calc!$E$269))&amp;". ")&amp;IF(LEN(IF(LEN(INDEX('Licences'!$F$4:$F$503,_calc!$E$269))=0,"",INDEX('Licences'!$F$4:$F$503,_calc!$E$269)))=0,"","Owner: "&amp;IF(LEN(INDEX('Licences'!$F$4:$F$503,_calc!$E$269))=0,"",INDEX('Licences'!$F$4:$F$503,_calc!$E$269))&amp;". ")&amp;IF(LEN(IF(LEN(INDEX('Licences'!$R$4:$R$503,_calc!$E$269))=0,"",INDEX('Licences'!$R$4:$R$503,_calc!$E$269)))=0,"",IF(LEN(INDEX('Licences'!$R$4:$R$503,_calc!$E$269))=0,"",INDEX('Licences'!$R$4:$R$503,_calc!$E$269)))))</f>
        <v/>
      </c>
      <c r="G267" s="44">
        <f>IF(_calc!$E$269="","",IF(LEN(INDEX('Licences'!$Q$4:$Q$503,_calc!$E$269))=0,"",INDEX('Licences'!$Q$4:$Q$503,_calc!$E$269)))</f>
        <v/>
      </c>
      <c r="H267" s="44">
        <f>IF(_calc!$E$269="","",IF(LEN(INDEX('Licences'!$O$4:$O$503,_calc!$E$269))=0,"",INDEX('Licences'!$O$4:$O$503,_calc!$E$269)))</f>
        <v/>
      </c>
      <c r="I267" s="44">
        <f>IF(_calc!$E$269="","",IF(LEN(INDEX('Licences'!$P$4:$P$503,_calc!$E$269))=0,"",INDEX('Licences'!$P$4:$P$503,_calc!$E$269)))</f>
        <v/>
      </c>
      <c r="K267" s="44">
        <f>IF(_calc!$E$269="","",IF(LEN(INDEX('Licences'!$G$4:$G$503,_calc!$E$269))=0,"",INDEX('Licences'!$G$4:$G$503,_calc!$E$269)))</f>
        <v/>
      </c>
    </row>
    <row r="268">
      <c r="A268" s="44">
        <f>IF(_calc!$E$270="","",IF(LEN(INDEX('Licences'!$A$4:$A$503,_calc!$E$270))=0,"",INDEX('Licences'!$A$4:$A$503,_calc!$E$270)))</f>
        <v/>
      </c>
      <c r="B268" s="44">
        <f>IF(_calc!$E$270="","",IF(ISNUMBER(INDEX('Licences'!$J$4:$J$503,_calc!$E$270)),TEXT(INDEX('Licences'!$J$4:$J$503,_calc!$E$270),"yyyy-mm-dd"),""))</f>
        <v/>
      </c>
      <c r="C268" s="44">
        <f>IF(_calc!$E$270="","",IF(LEN(INDEX('Licences'!$B$4:$B$503,_calc!$E$270))=0,"",INDEX('Licences'!$B$4:$B$503,_calc!$E$270)))</f>
        <v/>
      </c>
      <c r="D268" s="44">
        <f>IF(_calc!$E$270="","",IF(ISNUMBER(INDEX('Licences'!$I$4:$I$503,_calc!$E$270)),TEXT(INDEX('Licences'!$I$4:$I$503,_calc!$E$270),"yyyy-mm-dd"),""))</f>
        <v/>
      </c>
      <c r="E268" s="44">
        <f>IF(_calc!$E$270="","",IF(LEN(INDEX('Licences'!$H$4:$H$503,_calc!$E$270))=0,"",INDEX('Licences'!$H$4:$H$503,_calc!$E$270)))</f>
        <v/>
      </c>
      <c r="F268" s="44">
        <f>IF(_calc!$E$270="","",TRIM(IF(LEN(IF(LEN(INDEX('Licences'!$D$4:$D$503,_calc!$E$270))=0,"",INDEX('Licences'!$D$4:$D$503,_calc!$E$270)))=0,"","Ref: "&amp;IF(LEN(INDEX('Licences'!$D$4:$D$503,_calc!$E$270))=0,"",INDEX('Licences'!$D$4:$D$503,_calc!$E$270))&amp;". ")&amp;IF(LEN(IF(LEN(INDEX('Licences'!$C$4:$C$503,_calc!$E$270))=0,"",INDEX('Licences'!$C$4:$C$503,_calc!$E$270)))=0,"","Issuer: "&amp;IF(LEN(INDEX('Licences'!$C$4:$C$503,_calc!$E$270))=0,"",INDEX('Licences'!$C$4:$C$503,_calc!$E$270))&amp;". ")&amp;IF(LEN(IF(LEN(INDEX('Licences'!$E$4:$E$503,_calc!$E$270))=0,"",INDEX('Licences'!$E$4:$E$503,_calc!$E$270)))=0,"","Site: "&amp;IF(LEN(INDEX('Licences'!$E$4:$E$503,_calc!$E$270))=0,"",INDEX('Licences'!$E$4:$E$503,_calc!$E$270))&amp;". ")&amp;IF(LEN(IF(LEN(INDEX('Licences'!$F$4:$F$503,_calc!$E$270))=0,"",INDEX('Licences'!$F$4:$F$503,_calc!$E$270)))=0,"","Owner: "&amp;IF(LEN(INDEX('Licences'!$F$4:$F$503,_calc!$E$270))=0,"",INDEX('Licences'!$F$4:$F$503,_calc!$E$270))&amp;". ")&amp;IF(LEN(IF(LEN(INDEX('Licences'!$R$4:$R$503,_calc!$E$270))=0,"",INDEX('Licences'!$R$4:$R$503,_calc!$E$270)))=0,"",IF(LEN(INDEX('Licences'!$R$4:$R$503,_calc!$E$270))=0,"",INDEX('Licences'!$R$4:$R$503,_calc!$E$270)))))</f>
        <v/>
      </c>
      <c r="G268" s="44">
        <f>IF(_calc!$E$270="","",IF(LEN(INDEX('Licences'!$Q$4:$Q$503,_calc!$E$270))=0,"",INDEX('Licences'!$Q$4:$Q$503,_calc!$E$270)))</f>
        <v/>
      </c>
      <c r="H268" s="44">
        <f>IF(_calc!$E$270="","",IF(LEN(INDEX('Licences'!$O$4:$O$503,_calc!$E$270))=0,"",INDEX('Licences'!$O$4:$O$503,_calc!$E$270)))</f>
        <v/>
      </c>
      <c r="I268" s="44">
        <f>IF(_calc!$E$270="","",IF(LEN(INDEX('Licences'!$P$4:$P$503,_calc!$E$270))=0,"",INDEX('Licences'!$P$4:$P$503,_calc!$E$270)))</f>
        <v/>
      </c>
      <c r="K268" s="44">
        <f>IF(_calc!$E$270="","",IF(LEN(INDEX('Licences'!$G$4:$G$503,_calc!$E$270))=0,"",INDEX('Licences'!$G$4:$G$503,_calc!$E$270)))</f>
        <v/>
      </c>
    </row>
    <row r="269">
      <c r="A269" s="44">
        <f>IF(_calc!$E$271="","",IF(LEN(INDEX('Licences'!$A$4:$A$503,_calc!$E$271))=0,"",INDEX('Licences'!$A$4:$A$503,_calc!$E$271)))</f>
        <v/>
      </c>
      <c r="B269" s="44">
        <f>IF(_calc!$E$271="","",IF(ISNUMBER(INDEX('Licences'!$J$4:$J$503,_calc!$E$271)),TEXT(INDEX('Licences'!$J$4:$J$503,_calc!$E$271),"yyyy-mm-dd"),""))</f>
        <v/>
      </c>
      <c r="C269" s="44">
        <f>IF(_calc!$E$271="","",IF(LEN(INDEX('Licences'!$B$4:$B$503,_calc!$E$271))=0,"",INDEX('Licences'!$B$4:$B$503,_calc!$E$271)))</f>
        <v/>
      </c>
      <c r="D269" s="44">
        <f>IF(_calc!$E$271="","",IF(ISNUMBER(INDEX('Licences'!$I$4:$I$503,_calc!$E$271)),TEXT(INDEX('Licences'!$I$4:$I$503,_calc!$E$271),"yyyy-mm-dd"),""))</f>
        <v/>
      </c>
      <c r="E269" s="44">
        <f>IF(_calc!$E$271="","",IF(LEN(INDEX('Licences'!$H$4:$H$503,_calc!$E$271))=0,"",INDEX('Licences'!$H$4:$H$503,_calc!$E$271)))</f>
        <v/>
      </c>
      <c r="F269" s="44">
        <f>IF(_calc!$E$271="","",TRIM(IF(LEN(IF(LEN(INDEX('Licences'!$D$4:$D$503,_calc!$E$271))=0,"",INDEX('Licences'!$D$4:$D$503,_calc!$E$271)))=0,"","Ref: "&amp;IF(LEN(INDEX('Licences'!$D$4:$D$503,_calc!$E$271))=0,"",INDEX('Licences'!$D$4:$D$503,_calc!$E$271))&amp;". ")&amp;IF(LEN(IF(LEN(INDEX('Licences'!$C$4:$C$503,_calc!$E$271))=0,"",INDEX('Licences'!$C$4:$C$503,_calc!$E$271)))=0,"","Issuer: "&amp;IF(LEN(INDEX('Licences'!$C$4:$C$503,_calc!$E$271))=0,"",INDEX('Licences'!$C$4:$C$503,_calc!$E$271))&amp;". ")&amp;IF(LEN(IF(LEN(INDEX('Licences'!$E$4:$E$503,_calc!$E$271))=0,"",INDEX('Licences'!$E$4:$E$503,_calc!$E$271)))=0,"","Site: "&amp;IF(LEN(INDEX('Licences'!$E$4:$E$503,_calc!$E$271))=0,"",INDEX('Licences'!$E$4:$E$503,_calc!$E$271))&amp;". ")&amp;IF(LEN(IF(LEN(INDEX('Licences'!$F$4:$F$503,_calc!$E$271))=0,"",INDEX('Licences'!$F$4:$F$503,_calc!$E$271)))=0,"","Owner: "&amp;IF(LEN(INDEX('Licences'!$F$4:$F$503,_calc!$E$271))=0,"",INDEX('Licences'!$F$4:$F$503,_calc!$E$271))&amp;". ")&amp;IF(LEN(IF(LEN(INDEX('Licences'!$R$4:$R$503,_calc!$E$271))=0,"",INDEX('Licences'!$R$4:$R$503,_calc!$E$271)))=0,"",IF(LEN(INDEX('Licences'!$R$4:$R$503,_calc!$E$271))=0,"",INDEX('Licences'!$R$4:$R$503,_calc!$E$271)))))</f>
        <v/>
      </c>
      <c r="G269" s="44">
        <f>IF(_calc!$E$271="","",IF(LEN(INDEX('Licences'!$Q$4:$Q$503,_calc!$E$271))=0,"",INDEX('Licences'!$Q$4:$Q$503,_calc!$E$271)))</f>
        <v/>
      </c>
      <c r="H269" s="44">
        <f>IF(_calc!$E$271="","",IF(LEN(INDEX('Licences'!$O$4:$O$503,_calc!$E$271))=0,"",INDEX('Licences'!$O$4:$O$503,_calc!$E$271)))</f>
        <v/>
      </c>
      <c r="I269" s="44">
        <f>IF(_calc!$E$271="","",IF(LEN(INDEX('Licences'!$P$4:$P$503,_calc!$E$271))=0,"",INDEX('Licences'!$P$4:$P$503,_calc!$E$271)))</f>
        <v/>
      </c>
      <c r="K269" s="44">
        <f>IF(_calc!$E$271="","",IF(LEN(INDEX('Licences'!$G$4:$G$503,_calc!$E$271))=0,"",INDEX('Licences'!$G$4:$G$503,_calc!$E$271)))</f>
        <v/>
      </c>
    </row>
    <row r="270">
      <c r="A270" s="44">
        <f>IF(_calc!$E$272="","",IF(LEN(INDEX('Licences'!$A$4:$A$503,_calc!$E$272))=0,"",INDEX('Licences'!$A$4:$A$503,_calc!$E$272)))</f>
        <v/>
      </c>
      <c r="B270" s="44">
        <f>IF(_calc!$E$272="","",IF(ISNUMBER(INDEX('Licences'!$J$4:$J$503,_calc!$E$272)),TEXT(INDEX('Licences'!$J$4:$J$503,_calc!$E$272),"yyyy-mm-dd"),""))</f>
        <v/>
      </c>
      <c r="C270" s="44">
        <f>IF(_calc!$E$272="","",IF(LEN(INDEX('Licences'!$B$4:$B$503,_calc!$E$272))=0,"",INDEX('Licences'!$B$4:$B$503,_calc!$E$272)))</f>
        <v/>
      </c>
      <c r="D270" s="44">
        <f>IF(_calc!$E$272="","",IF(ISNUMBER(INDEX('Licences'!$I$4:$I$503,_calc!$E$272)),TEXT(INDEX('Licences'!$I$4:$I$503,_calc!$E$272),"yyyy-mm-dd"),""))</f>
        <v/>
      </c>
      <c r="E270" s="44">
        <f>IF(_calc!$E$272="","",IF(LEN(INDEX('Licences'!$H$4:$H$503,_calc!$E$272))=0,"",INDEX('Licences'!$H$4:$H$503,_calc!$E$272)))</f>
        <v/>
      </c>
      <c r="F270" s="44">
        <f>IF(_calc!$E$272="","",TRIM(IF(LEN(IF(LEN(INDEX('Licences'!$D$4:$D$503,_calc!$E$272))=0,"",INDEX('Licences'!$D$4:$D$503,_calc!$E$272)))=0,"","Ref: "&amp;IF(LEN(INDEX('Licences'!$D$4:$D$503,_calc!$E$272))=0,"",INDEX('Licences'!$D$4:$D$503,_calc!$E$272))&amp;". ")&amp;IF(LEN(IF(LEN(INDEX('Licences'!$C$4:$C$503,_calc!$E$272))=0,"",INDEX('Licences'!$C$4:$C$503,_calc!$E$272)))=0,"","Issuer: "&amp;IF(LEN(INDEX('Licences'!$C$4:$C$503,_calc!$E$272))=0,"",INDEX('Licences'!$C$4:$C$503,_calc!$E$272))&amp;". ")&amp;IF(LEN(IF(LEN(INDEX('Licences'!$E$4:$E$503,_calc!$E$272))=0,"",INDEX('Licences'!$E$4:$E$503,_calc!$E$272)))=0,"","Site: "&amp;IF(LEN(INDEX('Licences'!$E$4:$E$503,_calc!$E$272))=0,"",INDEX('Licences'!$E$4:$E$503,_calc!$E$272))&amp;". ")&amp;IF(LEN(IF(LEN(INDEX('Licences'!$F$4:$F$503,_calc!$E$272))=0,"",INDEX('Licences'!$F$4:$F$503,_calc!$E$272)))=0,"","Owner: "&amp;IF(LEN(INDEX('Licences'!$F$4:$F$503,_calc!$E$272))=0,"",INDEX('Licences'!$F$4:$F$503,_calc!$E$272))&amp;". ")&amp;IF(LEN(IF(LEN(INDEX('Licences'!$R$4:$R$503,_calc!$E$272))=0,"",INDEX('Licences'!$R$4:$R$503,_calc!$E$272)))=0,"",IF(LEN(INDEX('Licences'!$R$4:$R$503,_calc!$E$272))=0,"",INDEX('Licences'!$R$4:$R$503,_calc!$E$272)))))</f>
        <v/>
      </c>
      <c r="G270" s="44">
        <f>IF(_calc!$E$272="","",IF(LEN(INDEX('Licences'!$Q$4:$Q$503,_calc!$E$272))=0,"",INDEX('Licences'!$Q$4:$Q$503,_calc!$E$272)))</f>
        <v/>
      </c>
      <c r="H270" s="44">
        <f>IF(_calc!$E$272="","",IF(LEN(INDEX('Licences'!$O$4:$O$503,_calc!$E$272))=0,"",INDEX('Licences'!$O$4:$O$503,_calc!$E$272)))</f>
        <v/>
      </c>
      <c r="I270" s="44">
        <f>IF(_calc!$E$272="","",IF(LEN(INDEX('Licences'!$P$4:$P$503,_calc!$E$272))=0,"",INDEX('Licences'!$P$4:$P$503,_calc!$E$272)))</f>
        <v/>
      </c>
      <c r="K270" s="44">
        <f>IF(_calc!$E$272="","",IF(LEN(INDEX('Licences'!$G$4:$G$503,_calc!$E$272))=0,"",INDEX('Licences'!$G$4:$G$503,_calc!$E$272)))</f>
        <v/>
      </c>
    </row>
    <row r="271">
      <c r="A271" s="44">
        <f>IF(_calc!$E$273="","",IF(LEN(INDEX('Licences'!$A$4:$A$503,_calc!$E$273))=0,"",INDEX('Licences'!$A$4:$A$503,_calc!$E$273)))</f>
        <v/>
      </c>
      <c r="B271" s="44">
        <f>IF(_calc!$E$273="","",IF(ISNUMBER(INDEX('Licences'!$J$4:$J$503,_calc!$E$273)),TEXT(INDEX('Licences'!$J$4:$J$503,_calc!$E$273),"yyyy-mm-dd"),""))</f>
        <v/>
      </c>
      <c r="C271" s="44">
        <f>IF(_calc!$E$273="","",IF(LEN(INDEX('Licences'!$B$4:$B$503,_calc!$E$273))=0,"",INDEX('Licences'!$B$4:$B$503,_calc!$E$273)))</f>
        <v/>
      </c>
      <c r="D271" s="44">
        <f>IF(_calc!$E$273="","",IF(ISNUMBER(INDEX('Licences'!$I$4:$I$503,_calc!$E$273)),TEXT(INDEX('Licences'!$I$4:$I$503,_calc!$E$273),"yyyy-mm-dd"),""))</f>
        <v/>
      </c>
      <c r="E271" s="44">
        <f>IF(_calc!$E$273="","",IF(LEN(INDEX('Licences'!$H$4:$H$503,_calc!$E$273))=0,"",INDEX('Licences'!$H$4:$H$503,_calc!$E$273)))</f>
        <v/>
      </c>
      <c r="F271" s="44">
        <f>IF(_calc!$E$273="","",TRIM(IF(LEN(IF(LEN(INDEX('Licences'!$D$4:$D$503,_calc!$E$273))=0,"",INDEX('Licences'!$D$4:$D$503,_calc!$E$273)))=0,"","Ref: "&amp;IF(LEN(INDEX('Licences'!$D$4:$D$503,_calc!$E$273))=0,"",INDEX('Licences'!$D$4:$D$503,_calc!$E$273))&amp;". ")&amp;IF(LEN(IF(LEN(INDEX('Licences'!$C$4:$C$503,_calc!$E$273))=0,"",INDEX('Licences'!$C$4:$C$503,_calc!$E$273)))=0,"","Issuer: "&amp;IF(LEN(INDEX('Licences'!$C$4:$C$503,_calc!$E$273))=0,"",INDEX('Licences'!$C$4:$C$503,_calc!$E$273))&amp;". ")&amp;IF(LEN(IF(LEN(INDEX('Licences'!$E$4:$E$503,_calc!$E$273))=0,"",INDEX('Licences'!$E$4:$E$503,_calc!$E$273)))=0,"","Site: "&amp;IF(LEN(INDEX('Licences'!$E$4:$E$503,_calc!$E$273))=0,"",INDEX('Licences'!$E$4:$E$503,_calc!$E$273))&amp;". ")&amp;IF(LEN(IF(LEN(INDEX('Licences'!$F$4:$F$503,_calc!$E$273))=0,"",INDEX('Licences'!$F$4:$F$503,_calc!$E$273)))=0,"","Owner: "&amp;IF(LEN(INDEX('Licences'!$F$4:$F$503,_calc!$E$273))=0,"",INDEX('Licences'!$F$4:$F$503,_calc!$E$273))&amp;". ")&amp;IF(LEN(IF(LEN(INDEX('Licences'!$R$4:$R$503,_calc!$E$273))=0,"",INDEX('Licences'!$R$4:$R$503,_calc!$E$273)))=0,"",IF(LEN(INDEX('Licences'!$R$4:$R$503,_calc!$E$273))=0,"",INDEX('Licences'!$R$4:$R$503,_calc!$E$273)))))</f>
        <v/>
      </c>
      <c r="G271" s="44">
        <f>IF(_calc!$E$273="","",IF(LEN(INDEX('Licences'!$Q$4:$Q$503,_calc!$E$273))=0,"",INDEX('Licences'!$Q$4:$Q$503,_calc!$E$273)))</f>
        <v/>
      </c>
      <c r="H271" s="44">
        <f>IF(_calc!$E$273="","",IF(LEN(INDEX('Licences'!$O$4:$O$503,_calc!$E$273))=0,"",INDEX('Licences'!$O$4:$O$503,_calc!$E$273)))</f>
        <v/>
      </c>
      <c r="I271" s="44">
        <f>IF(_calc!$E$273="","",IF(LEN(INDEX('Licences'!$P$4:$P$503,_calc!$E$273))=0,"",INDEX('Licences'!$P$4:$P$503,_calc!$E$273)))</f>
        <v/>
      </c>
      <c r="K271" s="44">
        <f>IF(_calc!$E$273="","",IF(LEN(INDEX('Licences'!$G$4:$G$503,_calc!$E$273))=0,"",INDEX('Licences'!$G$4:$G$503,_calc!$E$273)))</f>
        <v/>
      </c>
    </row>
    <row r="272">
      <c r="A272" s="44">
        <f>IF(_calc!$E$274="","",IF(LEN(INDEX('Licences'!$A$4:$A$503,_calc!$E$274))=0,"",INDEX('Licences'!$A$4:$A$503,_calc!$E$274)))</f>
        <v/>
      </c>
      <c r="B272" s="44">
        <f>IF(_calc!$E$274="","",IF(ISNUMBER(INDEX('Licences'!$J$4:$J$503,_calc!$E$274)),TEXT(INDEX('Licences'!$J$4:$J$503,_calc!$E$274),"yyyy-mm-dd"),""))</f>
        <v/>
      </c>
      <c r="C272" s="44">
        <f>IF(_calc!$E$274="","",IF(LEN(INDEX('Licences'!$B$4:$B$503,_calc!$E$274))=0,"",INDEX('Licences'!$B$4:$B$503,_calc!$E$274)))</f>
        <v/>
      </c>
      <c r="D272" s="44">
        <f>IF(_calc!$E$274="","",IF(ISNUMBER(INDEX('Licences'!$I$4:$I$503,_calc!$E$274)),TEXT(INDEX('Licences'!$I$4:$I$503,_calc!$E$274),"yyyy-mm-dd"),""))</f>
        <v/>
      </c>
      <c r="E272" s="44">
        <f>IF(_calc!$E$274="","",IF(LEN(INDEX('Licences'!$H$4:$H$503,_calc!$E$274))=0,"",INDEX('Licences'!$H$4:$H$503,_calc!$E$274)))</f>
        <v/>
      </c>
      <c r="F272" s="44">
        <f>IF(_calc!$E$274="","",TRIM(IF(LEN(IF(LEN(INDEX('Licences'!$D$4:$D$503,_calc!$E$274))=0,"",INDEX('Licences'!$D$4:$D$503,_calc!$E$274)))=0,"","Ref: "&amp;IF(LEN(INDEX('Licences'!$D$4:$D$503,_calc!$E$274))=0,"",INDEX('Licences'!$D$4:$D$503,_calc!$E$274))&amp;". ")&amp;IF(LEN(IF(LEN(INDEX('Licences'!$C$4:$C$503,_calc!$E$274))=0,"",INDEX('Licences'!$C$4:$C$503,_calc!$E$274)))=0,"","Issuer: "&amp;IF(LEN(INDEX('Licences'!$C$4:$C$503,_calc!$E$274))=0,"",INDEX('Licences'!$C$4:$C$503,_calc!$E$274))&amp;". ")&amp;IF(LEN(IF(LEN(INDEX('Licences'!$E$4:$E$503,_calc!$E$274))=0,"",INDEX('Licences'!$E$4:$E$503,_calc!$E$274)))=0,"","Site: "&amp;IF(LEN(INDEX('Licences'!$E$4:$E$503,_calc!$E$274))=0,"",INDEX('Licences'!$E$4:$E$503,_calc!$E$274))&amp;". ")&amp;IF(LEN(IF(LEN(INDEX('Licences'!$F$4:$F$503,_calc!$E$274))=0,"",INDEX('Licences'!$F$4:$F$503,_calc!$E$274)))=0,"","Owner: "&amp;IF(LEN(INDEX('Licences'!$F$4:$F$503,_calc!$E$274))=0,"",INDEX('Licences'!$F$4:$F$503,_calc!$E$274))&amp;". ")&amp;IF(LEN(IF(LEN(INDEX('Licences'!$R$4:$R$503,_calc!$E$274))=0,"",INDEX('Licences'!$R$4:$R$503,_calc!$E$274)))=0,"",IF(LEN(INDEX('Licences'!$R$4:$R$503,_calc!$E$274))=0,"",INDEX('Licences'!$R$4:$R$503,_calc!$E$274)))))</f>
        <v/>
      </c>
      <c r="G272" s="44">
        <f>IF(_calc!$E$274="","",IF(LEN(INDEX('Licences'!$Q$4:$Q$503,_calc!$E$274))=0,"",INDEX('Licences'!$Q$4:$Q$503,_calc!$E$274)))</f>
        <v/>
      </c>
      <c r="H272" s="44">
        <f>IF(_calc!$E$274="","",IF(LEN(INDEX('Licences'!$O$4:$O$503,_calc!$E$274))=0,"",INDEX('Licences'!$O$4:$O$503,_calc!$E$274)))</f>
        <v/>
      </c>
      <c r="I272" s="44">
        <f>IF(_calc!$E$274="","",IF(LEN(INDEX('Licences'!$P$4:$P$503,_calc!$E$274))=0,"",INDEX('Licences'!$P$4:$P$503,_calc!$E$274)))</f>
        <v/>
      </c>
      <c r="K272" s="44">
        <f>IF(_calc!$E$274="","",IF(LEN(INDEX('Licences'!$G$4:$G$503,_calc!$E$274))=0,"",INDEX('Licences'!$G$4:$G$503,_calc!$E$274)))</f>
        <v/>
      </c>
    </row>
    <row r="273">
      <c r="A273" s="44">
        <f>IF(_calc!$E$275="","",IF(LEN(INDEX('Licences'!$A$4:$A$503,_calc!$E$275))=0,"",INDEX('Licences'!$A$4:$A$503,_calc!$E$275)))</f>
        <v/>
      </c>
      <c r="B273" s="44">
        <f>IF(_calc!$E$275="","",IF(ISNUMBER(INDEX('Licences'!$J$4:$J$503,_calc!$E$275)),TEXT(INDEX('Licences'!$J$4:$J$503,_calc!$E$275),"yyyy-mm-dd"),""))</f>
        <v/>
      </c>
      <c r="C273" s="44">
        <f>IF(_calc!$E$275="","",IF(LEN(INDEX('Licences'!$B$4:$B$503,_calc!$E$275))=0,"",INDEX('Licences'!$B$4:$B$503,_calc!$E$275)))</f>
        <v/>
      </c>
      <c r="D273" s="44">
        <f>IF(_calc!$E$275="","",IF(ISNUMBER(INDEX('Licences'!$I$4:$I$503,_calc!$E$275)),TEXT(INDEX('Licences'!$I$4:$I$503,_calc!$E$275),"yyyy-mm-dd"),""))</f>
        <v/>
      </c>
      <c r="E273" s="44">
        <f>IF(_calc!$E$275="","",IF(LEN(INDEX('Licences'!$H$4:$H$503,_calc!$E$275))=0,"",INDEX('Licences'!$H$4:$H$503,_calc!$E$275)))</f>
        <v/>
      </c>
      <c r="F273" s="44">
        <f>IF(_calc!$E$275="","",TRIM(IF(LEN(IF(LEN(INDEX('Licences'!$D$4:$D$503,_calc!$E$275))=0,"",INDEX('Licences'!$D$4:$D$503,_calc!$E$275)))=0,"","Ref: "&amp;IF(LEN(INDEX('Licences'!$D$4:$D$503,_calc!$E$275))=0,"",INDEX('Licences'!$D$4:$D$503,_calc!$E$275))&amp;". ")&amp;IF(LEN(IF(LEN(INDEX('Licences'!$C$4:$C$503,_calc!$E$275))=0,"",INDEX('Licences'!$C$4:$C$503,_calc!$E$275)))=0,"","Issuer: "&amp;IF(LEN(INDEX('Licences'!$C$4:$C$503,_calc!$E$275))=0,"",INDEX('Licences'!$C$4:$C$503,_calc!$E$275))&amp;". ")&amp;IF(LEN(IF(LEN(INDEX('Licences'!$E$4:$E$503,_calc!$E$275))=0,"",INDEX('Licences'!$E$4:$E$503,_calc!$E$275)))=0,"","Site: "&amp;IF(LEN(INDEX('Licences'!$E$4:$E$503,_calc!$E$275))=0,"",INDEX('Licences'!$E$4:$E$503,_calc!$E$275))&amp;". ")&amp;IF(LEN(IF(LEN(INDEX('Licences'!$F$4:$F$503,_calc!$E$275))=0,"",INDEX('Licences'!$F$4:$F$503,_calc!$E$275)))=0,"","Owner: "&amp;IF(LEN(INDEX('Licences'!$F$4:$F$503,_calc!$E$275))=0,"",INDEX('Licences'!$F$4:$F$503,_calc!$E$275))&amp;". ")&amp;IF(LEN(IF(LEN(INDEX('Licences'!$R$4:$R$503,_calc!$E$275))=0,"",INDEX('Licences'!$R$4:$R$503,_calc!$E$275)))=0,"",IF(LEN(INDEX('Licences'!$R$4:$R$503,_calc!$E$275))=0,"",INDEX('Licences'!$R$4:$R$503,_calc!$E$275)))))</f>
        <v/>
      </c>
      <c r="G273" s="44">
        <f>IF(_calc!$E$275="","",IF(LEN(INDEX('Licences'!$Q$4:$Q$503,_calc!$E$275))=0,"",INDEX('Licences'!$Q$4:$Q$503,_calc!$E$275)))</f>
        <v/>
      </c>
      <c r="H273" s="44">
        <f>IF(_calc!$E$275="","",IF(LEN(INDEX('Licences'!$O$4:$O$503,_calc!$E$275))=0,"",INDEX('Licences'!$O$4:$O$503,_calc!$E$275)))</f>
        <v/>
      </c>
      <c r="I273" s="44">
        <f>IF(_calc!$E$275="","",IF(LEN(INDEX('Licences'!$P$4:$P$503,_calc!$E$275))=0,"",INDEX('Licences'!$P$4:$P$503,_calc!$E$275)))</f>
        <v/>
      </c>
      <c r="K273" s="44">
        <f>IF(_calc!$E$275="","",IF(LEN(INDEX('Licences'!$G$4:$G$503,_calc!$E$275))=0,"",INDEX('Licences'!$G$4:$G$503,_calc!$E$275)))</f>
        <v/>
      </c>
    </row>
    <row r="274">
      <c r="A274" s="44">
        <f>IF(_calc!$E$276="","",IF(LEN(INDEX('Licences'!$A$4:$A$503,_calc!$E$276))=0,"",INDEX('Licences'!$A$4:$A$503,_calc!$E$276)))</f>
        <v/>
      </c>
      <c r="B274" s="44">
        <f>IF(_calc!$E$276="","",IF(ISNUMBER(INDEX('Licences'!$J$4:$J$503,_calc!$E$276)),TEXT(INDEX('Licences'!$J$4:$J$503,_calc!$E$276),"yyyy-mm-dd"),""))</f>
        <v/>
      </c>
      <c r="C274" s="44">
        <f>IF(_calc!$E$276="","",IF(LEN(INDEX('Licences'!$B$4:$B$503,_calc!$E$276))=0,"",INDEX('Licences'!$B$4:$B$503,_calc!$E$276)))</f>
        <v/>
      </c>
      <c r="D274" s="44">
        <f>IF(_calc!$E$276="","",IF(ISNUMBER(INDEX('Licences'!$I$4:$I$503,_calc!$E$276)),TEXT(INDEX('Licences'!$I$4:$I$503,_calc!$E$276),"yyyy-mm-dd"),""))</f>
        <v/>
      </c>
      <c r="E274" s="44">
        <f>IF(_calc!$E$276="","",IF(LEN(INDEX('Licences'!$H$4:$H$503,_calc!$E$276))=0,"",INDEX('Licences'!$H$4:$H$503,_calc!$E$276)))</f>
        <v/>
      </c>
      <c r="F274" s="44">
        <f>IF(_calc!$E$276="","",TRIM(IF(LEN(IF(LEN(INDEX('Licences'!$D$4:$D$503,_calc!$E$276))=0,"",INDEX('Licences'!$D$4:$D$503,_calc!$E$276)))=0,"","Ref: "&amp;IF(LEN(INDEX('Licences'!$D$4:$D$503,_calc!$E$276))=0,"",INDEX('Licences'!$D$4:$D$503,_calc!$E$276))&amp;". ")&amp;IF(LEN(IF(LEN(INDEX('Licences'!$C$4:$C$503,_calc!$E$276))=0,"",INDEX('Licences'!$C$4:$C$503,_calc!$E$276)))=0,"","Issuer: "&amp;IF(LEN(INDEX('Licences'!$C$4:$C$503,_calc!$E$276))=0,"",INDEX('Licences'!$C$4:$C$503,_calc!$E$276))&amp;". ")&amp;IF(LEN(IF(LEN(INDEX('Licences'!$E$4:$E$503,_calc!$E$276))=0,"",INDEX('Licences'!$E$4:$E$503,_calc!$E$276)))=0,"","Site: "&amp;IF(LEN(INDEX('Licences'!$E$4:$E$503,_calc!$E$276))=0,"",INDEX('Licences'!$E$4:$E$503,_calc!$E$276))&amp;". ")&amp;IF(LEN(IF(LEN(INDEX('Licences'!$F$4:$F$503,_calc!$E$276))=0,"",INDEX('Licences'!$F$4:$F$503,_calc!$E$276)))=0,"","Owner: "&amp;IF(LEN(INDEX('Licences'!$F$4:$F$503,_calc!$E$276))=0,"",INDEX('Licences'!$F$4:$F$503,_calc!$E$276))&amp;". ")&amp;IF(LEN(IF(LEN(INDEX('Licences'!$R$4:$R$503,_calc!$E$276))=0,"",INDEX('Licences'!$R$4:$R$503,_calc!$E$276)))=0,"",IF(LEN(INDEX('Licences'!$R$4:$R$503,_calc!$E$276))=0,"",INDEX('Licences'!$R$4:$R$503,_calc!$E$276)))))</f>
        <v/>
      </c>
      <c r="G274" s="44">
        <f>IF(_calc!$E$276="","",IF(LEN(INDEX('Licences'!$Q$4:$Q$503,_calc!$E$276))=0,"",INDEX('Licences'!$Q$4:$Q$503,_calc!$E$276)))</f>
        <v/>
      </c>
      <c r="H274" s="44">
        <f>IF(_calc!$E$276="","",IF(LEN(INDEX('Licences'!$O$4:$O$503,_calc!$E$276))=0,"",INDEX('Licences'!$O$4:$O$503,_calc!$E$276)))</f>
        <v/>
      </c>
      <c r="I274" s="44">
        <f>IF(_calc!$E$276="","",IF(LEN(INDEX('Licences'!$P$4:$P$503,_calc!$E$276))=0,"",INDEX('Licences'!$P$4:$P$503,_calc!$E$276)))</f>
        <v/>
      </c>
      <c r="K274" s="44">
        <f>IF(_calc!$E$276="","",IF(LEN(INDEX('Licences'!$G$4:$G$503,_calc!$E$276))=0,"",INDEX('Licences'!$G$4:$G$503,_calc!$E$276)))</f>
        <v/>
      </c>
    </row>
    <row r="275">
      <c r="A275" s="44">
        <f>IF(_calc!$E$277="","",IF(LEN(INDEX('Licences'!$A$4:$A$503,_calc!$E$277))=0,"",INDEX('Licences'!$A$4:$A$503,_calc!$E$277)))</f>
        <v/>
      </c>
      <c r="B275" s="44">
        <f>IF(_calc!$E$277="","",IF(ISNUMBER(INDEX('Licences'!$J$4:$J$503,_calc!$E$277)),TEXT(INDEX('Licences'!$J$4:$J$503,_calc!$E$277),"yyyy-mm-dd"),""))</f>
        <v/>
      </c>
      <c r="C275" s="44">
        <f>IF(_calc!$E$277="","",IF(LEN(INDEX('Licences'!$B$4:$B$503,_calc!$E$277))=0,"",INDEX('Licences'!$B$4:$B$503,_calc!$E$277)))</f>
        <v/>
      </c>
      <c r="D275" s="44">
        <f>IF(_calc!$E$277="","",IF(ISNUMBER(INDEX('Licences'!$I$4:$I$503,_calc!$E$277)),TEXT(INDEX('Licences'!$I$4:$I$503,_calc!$E$277),"yyyy-mm-dd"),""))</f>
        <v/>
      </c>
      <c r="E275" s="44">
        <f>IF(_calc!$E$277="","",IF(LEN(INDEX('Licences'!$H$4:$H$503,_calc!$E$277))=0,"",INDEX('Licences'!$H$4:$H$503,_calc!$E$277)))</f>
        <v/>
      </c>
      <c r="F275" s="44">
        <f>IF(_calc!$E$277="","",TRIM(IF(LEN(IF(LEN(INDEX('Licences'!$D$4:$D$503,_calc!$E$277))=0,"",INDEX('Licences'!$D$4:$D$503,_calc!$E$277)))=0,"","Ref: "&amp;IF(LEN(INDEX('Licences'!$D$4:$D$503,_calc!$E$277))=0,"",INDEX('Licences'!$D$4:$D$503,_calc!$E$277))&amp;". ")&amp;IF(LEN(IF(LEN(INDEX('Licences'!$C$4:$C$503,_calc!$E$277))=0,"",INDEX('Licences'!$C$4:$C$503,_calc!$E$277)))=0,"","Issuer: "&amp;IF(LEN(INDEX('Licences'!$C$4:$C$503,_calc!$E$277))=0,"",INDEX('Licences'!$C$4:$C$503,_calc!$E$277))&amp;". ")&amp;IF(LEN(IF(LEN(INDEX('Licences'!$E$4:$E$503,_calc!$E$277))=0,"",INDEX('Licences'!$E$4:$E$503,_calc!$E$277)))=0,"","Site: "&amp;IF(LEN(INDEX('Licences'!$E$4:$E$503,_calc!$E$277))=0,"",INDEX('Licences'!$E$4:$E$503,_calc!$E$277))&amp;". ")&amp;IF(LEN(IF(LEN(INDEX('Licences'!$F$4:$F$503,_calc!$E$277))=0,"",INDEX('Licences'!$F$4:$F$503,_calc!$E$277)))=0,"","Owner: "&amp;IF(LEN(INDEX('Licences'!$F$4:$F$503,_calc!$E$277))=0,"",INDEX('Licences'!$F$4:$F$503,_calc!$E$277))&amp;". ")&amp;IF(LEN(IF(LEN(INDEX('Licences'!$R$4:$R$503,_calc!$E$277))=0,"",INDEX('Licences'!$R$4:$R$503,_calc!$E$277)))=0,"",IF(LEN(INDEX('Licences'!$R$4:$R$503,_calc!$E$277))=0,"",INDEX('Licences'!$R$4:$R$503,_calc!$E$277)))))</f>
        <v/>
      </c>
      <c r="G275" s="44">
        <f>IF(_calc!$E$277="","",IF(LEN(INDEX('Licences'!$Q$4:$Q$503,_calc!$E$277))=0,"",INDEX('Licences'!$Q$4:$Q$503,_calc!$E$277)))</f>
        <v/>
      </c>
      <c r="H275" s="44">
        <f>IF(_calc!$E$277="","",IF(LEN(INDEX('Licences'!$O$4:$O$503,_calc!$E$277))=0,"",INDEX('Licences'!$O$4:$O$503,_calc!$E$277)))</f>
        <v/>
      </c>
      <c r="I275" s="44">
        <f>IF(_calc!$E$277="","",IF(LEN(INDEX('Licences'!$P$4:$P$503,_calc!$E$277))=0,"",INDEX('Licences'!$P$4:$P$503,_calc!$E$277)))</f>
        <v/>
      </c>
      <c r="K275" s="44">
        <f>IF(_calc!$E$277="","",IF(LEN(INDEX('Licences'!$G$4:$G$503,_calc!$E$277))=0,"",INDEX('Licences'!$G$4:$G$503,_calc!$E$277)))</f>
        <v/>
      </c>
    </row>
    <row r="276">
      <c r="A276" s="44">
        <f>IF(_calc!$E$278="","",IF(LEN(INDEX('Licences'!$A$4:$A$503,_calc!$E$278))=0,"",INDEX('Licences'!$A$4:$A$503,_calc!$E$278)))</f>
        <v/>
      </c>
      <c r="B276" s="44">
        <f>IF(_calc!$E$278="","",IF(ISNUMBER(INDEX('Licences'!$J$4:$J$503,_calc!$E$278)),TEXT(INDEX('Licences'!$J$4:$J$503,_calc!$E$278),"yyyy-mm-dd"),""))</f>
        <v/>
      </c>
      <c r="C276" s="44">
        <f>IF(_calc!$E$278="","",IF(LEN(INDEX('Licences'!$B$4:$B$503,_calc!$E$278))=0,"",INDEX('Licences'!$B$4:$B$503,_calc!$E$278)))</f>
        <v/>
      </c>
      <c r="D276" s="44">
        <f>IF(_calc!$E$278="","",IF(ISNUMBER(INDEX('Licences'!$I$4:$I$503,_calc!$E$278)),TEXT(INDEX('Licences'!$I$4:$I$503,_calc!$E$278),"yyyy-mm-dd"),""))</f>
        <v/>
      </c>
      <c r="E276" s="44">
        <f>IF(_calc!$E$278="","",IF(LEN(INDEX('Licences'!$H$4:$H$503,_calc!$E$278))=0,"",INDEX('Licences'!$H$4:$H$503,_calc!$E$278)))</f>
        <v/>
      </c>
      <c r="F276" s="44">
        <f>IF(_calc!$E$278="","",TRIM(IF(LEN(IF(LEN(INDEX('Licences'!$D$4:$D$503,_calc!$E$278))=0,"",INDEX('Licences'!$D$4:$D$503,_calc!$E$278)))=0,"","Ref: "&amp;IF(LEN(INDEX('Licences'!$D$4:$D$503,_calc!$E$278))=0,"",INDEX('Licences'!$D$4:$D$503,_calc!$E$278))&amp;". ")&amp;IF(LEN(IF(LEN(INDEX('Licences'!$C$4:$C$503,_calc!$E$278))=0,"",INDEX('Licences'!$C$4:$C$503,_calc!$E$278)))=0,"","Issuer: "&amp;IF(LEN(INDEX('Licences'!$C$4:$C$503,_calc!$E$278))=0,"",INDEX('Licences'!$C$4:$C$503,_calc!$E$278))&amp;". ")&amp;IF(LEN(IF(LEN(INDEX('Licences'!$E$4:$E$503,_calc!$E$278))=0,"",INDEX('Licences'!$E$4:$E$503,_calc!$E$278)))=0,"","Site: "&amp;IF(LEN(INDEX('Licences'!$E$4:$E$503,_calc!$E$278))=0,"",INDEX('Licences'!$E$4:$E$503,_calc!$E$278))&amp;". ")&amp;IF(LEN(IF(LEN(INDEX('Licences'!$F$4:$F$503,_calc!$E$278))=0,"",INDEX('Licences'!$F$4:$F$503,_calc!$E$278)))=0,"","Owner: "&amp;IF(LEN(INDEX('Licences'!$F$4:$F$503,_calc!$E$278))=0,"",INDEX('Licences'!$F$4:$F$503,_calc!$E$278))&amp;". ")&amp;IF(LEN(IF(LEN(INDEX('Licences'!$R$4:$R$503,_calc!$E$278))=0,"",INDEX('Licences'!$R$4:$R$503,_calc!$E$278)))=0,"",IF(LEN(INDEX('Licences'!$R$4:$R$503,_calc!$E$278))=0,"",INDEX('Licences'!$R$4:$R$503,_calc!$E$278)))))</f>
        <v/>
      </c>
      <c r="G276" s="44">
        <f>IF(_calc!$E$278="","",IF(LEN(INDEX('Licences'!$Q$4:$Q$503,_calc!$E$278))=0,"",INDEX('Licences'!$Q$4:$Q$503,_calc!$E$278)))</f>
        <v/>
      </c>
      <c r="H276" s="44">
        <f>IF(_calc!$E$278="","",IF(LEN(INDEX('Licences'!$O$4:$O$503,_calc!$E$278))=0,"",INDEX('Licences'!$O$4:$O$503,_calc!$E$278)))</f>
        <v/>
      </c>
      <c r="I276" s="44">
        <f>IF(_calc!$E$278="","",IF(LEN(INDEX('Licences'!$P$4:$P$503,_calc!$E$278))=0,"",INDEX('Licences'!$P$4:$P$503,_calc!$E$278)))</f>
        <v/>
      </c>
      <c r="K276" s="44">
        <f>IF(_calc!$E$278="","",IF(LEN(INDEX('Licences'!$G$4:$G$503,_calc!$E$278))=0,"",INDEX('Licences'!$G$4:$G$503,_calc!$E$278)))</f>
        <v/>
      </c>
    </row>
    <row r="277">
      <c r="A277" s="44">
        <f>IF(_calc!$E$279="","",IF(LEN(INDEX('Licences'!$A$4:$A$503,_calc!$E$279))=0,"",INDEX('Licences'!$A$4:$A$503,_calc!$E$279)))</f>
        <v/>
      </c>
      <c r="B277" s="44">
        <f>IF(_calc!$E$279="","",IF(ISNUMBER(INDEX('Licences'!$J$4:$J$503,_calc!$E$279)),TEXT(INDEX('Licences'!$J$4:$J$503,_calc!$E$279),"yyyy-mm-dd"),""))</f>
        <v/>
      </c>
      <c r="C277" s="44">
        <f>IF(_calc!$E$279="","",IF(LEN(INDEX('Licences'!$B$4:$B$503,_calc!$E$279))=0,"",INDEX('Licences'!$B$4:$B$503,_calc!$E$279)))</f>
        <v/>
      </c>
      <c r="D277" s="44">
        <f>IF(_calc!$E$279="","",IF(ISNUMBER(INDEX('Licences'!$I$4:$I$503,_calc!$E$279)),TEXT(INDEX('Licences'!$I$4:$I$503,_calc!$E$279),"yyyy-mm-dd"),""))</f>
        <v/>
      </c>
      <c r="E277" s="44">
        <f>IF(_calc!$E$279="","",IF(LEN(INDEX('Licences'!$H$4:$H$503,_calc!$E$279))=0,"",INDEX('Licences'!$H$4:$H$503,_calc!$E$279)))</f>
        <v/>
      </c>
      <c r="F277" s="44">
        <f>IF(_calc!$E$279="","",TRIM(IF(LEN(IF(LEN(INDEX('Licences'!$D$4:$D$503,_calc!$E$279))=0,"",INDEX('Licences'!$D$4:$D$503,_calc!$E$279)))=0,"","Ref: "&amp;IF(LEN(INDEX('Licences'!$D$4:$D$503,_calc!$E$279))=0,"",INDEX('Licences'!$D$4:$D$503,_calc!$E$279))&amp;". ")&amp;IF(LEN(IF(LEN(INDEX('Licences'!$C$4:$C$503,_calc!$E$279))=0,"",INDEX('Licences'!$C$4:$C$503,_calc!$E$279)))=0,"","Issuer: "&amp;IF(LEN(INDEX('Licences'!$C$4:$C$503,_calc!$E$279))=0,"",INDEX('Licences'!$C$4:$C$503,_calc!$E$279))&amp;". ")&amp;IF(LEN(IF(LEN(INDEX('Licences'!$E$4:$E$503,_calc!$E$279))=0,"",INDEX('Licences'!$E$4:$E$503,_calc!$E$279)))=0,"","Site: "&amp;IF(LEN(INDEX('Licences'!$E$4:$E$503,_calc!$E$279))=0,"",INDEX('Licences'!$E$4:$E$503,_calc!$E$279))&amp;". ")&amp;IF(LEN(IF(LEN(INDEX('Licences'!$F$4:$F$503,_calc!$E$279))=0,"",INDEX('Licences'!$F$4:$F$503,_calc!$E$279)))=0,"","Owner: "&amp;IF(LEN(INDEX('Licences'!$F$4:$F$503,_calc!$E$279))=0,"",INDEX('Licences'!$F$4:$F$503,_calc!$E$279))&amp;". ")&amp;IF(LEN(IF(LEN(INDEX('Licences'!$R$4:$R$503,_calc!$E$279))=0,"",INDEX('Licences'!$R$4:$R$503,_calc!$E$279)))=0,"",IF(LEN(INDEX('Licences'!$R$4:$R$503,_calc!$E$279))=0,"",INDEX('Licences'!$R$4:$R$503,_calc!$E$279)))))</f>
        <v/>
      </c>
      <c r="G277" s="44">
        <f>IF(_calc!$E$279="","",IF(LEN(INDEX('Licences'!$Q$4:$Q$503,_calc!$E$279))=0,"",INDEX('Licences'!$Q$4:$Q$503,_calc!$E$279)))</f>
        <v/>
      </c>
      <c r="H277" s="44">
        <f>IF(_calc!$E$279="","",IF(LEN(INDEX('Licences'!$O$4:$O$503,_calc!$E$279))=0,"",INDEX('Licences'!$O$4:$O$503,_calc!$E$279)))</f>
        <v/>
      </c>
      <c r="I277" s="44">
        <f>IF(_calc!$E$279="","",IF(LEN(INDEX('Licences'!$P$4:$P$503,_calc!$E$279))=0,"",INDEX('Licences'!$P$4:$P$503,_calc!$E$279)))</f>
        <v/>
      </c>
      <c r="K277" s="44">
        <f>IF(_calc!$E$279="","",IF(LEN(INDEX('Licences'!$G$4:$G$503,_calc!$E$279))=0,"",INDEX('Licences'!$G$4:$G$503,_calc!$E$279)))</f>
        <v/>
      </c>
    </row>
    <row r="278">
      <c r="A278" s="44">
        <f>IF(_calc!$E$280="","",IF(LEN(INDEX('Licences'!$A$4:$A$503,_calc!$E$280))=0,"",INDEX('Licences'!$A$4:$A$503,_calc!$E$280)))</f>
        <v/>
      </c>
      <c r="B278" s="44">
        <f>IF(_calc!$E$280="","",IF(ISNUMBER(INDEX('Licences'!$J$4:$J$503,_calc!$E$280)),TEXT(INDEX('Licences'!$J$4:$J$503,_calc!$E$280),"yyyy-mm-dd"),""))</f>
        <v/>
      </c>
      <c r="C278" s="44">
        <f>IF(_calc!$E$280="","",IF(LEN(INDEX('Licences'!$B$4:$B$503,_calc!$E$280))=0,"",INDEX('Licences'!$B$4:$B$503,_calc!$E$280)))</f>
        <v/>
      </c>
      <c r="D278" s="44">
        <f>IF(_calc!$E$280="","",IF(ISNUMBER(INDEX('Licences'!$I$4:$I$503,_calc!$E$280)),TEXT(INDEX('Licences'!$I$4:$I$503,_calc!$E$280),"yyyy-mm-dd"),""))</f>
        <v/>
      </c>
      <c r="E278" s="44">
        <f>IF(_calc!$E$280="","",IF(LEN(INDEX('Licences'!$H$4:$H$503,_calc!$E$280))=0,"",INDEX('Licences'!$H$4:$H$503,_calc!$E$280)))</f>
        <v/>
      </c>
      <c r="F278" s="44">
        <f>IF(_calc!$E$280="","",TRIM(IF(LEN(IF(LEN(INDEX('Licences'!$D$4:$D$503,_calc!$E$280))=0,"",INDEX('Licences'!$D$4:$D$503,_calc!$E$280)))=0,"","Ref: "&amp;IF(LEN(INDEX('Licences'!$D$4:$D$503,_calc!$E$280))=0,"",INDEX('Licences'!$D$4:$D$503,_calc!$E$280))&amp;". ")&amp;IF(LEN(IF(LEN(INDEX('Licences'!$C$4:$C$503,_calc!$E$280))=0,"",INDEX('Licences'!$C$4:$C$503,_calc!$E$280)))=0,"","Issuer: "&amp;IF(LEN(INDEX('Licences'!$C$4:$C$503,_calc!$E$280))=0,"",INDEX('Licences'!$C$4:$C$503,_calc!$E$280))&amp;". ")&amp;IF(LEN(IF(LEN(INDEX('Licences'!$E$4:$E$503,_calc!$E$280))=0,"",INDEX('Licences'!$E$4:$E$503,_calc!$E$280)))=0,"","Site: "&amp;IF(LEN(INDEX('Licences'!$E$4:$E$503,_calc!$E$280))=0,"",INDEX('Licences'!$E$4:$E$503,_calc!$E$280))&amp;". ")&amp;IF(LEN(IF(LEN(INDEX('Licences'!$F$4:$F$503,_calc!$E$280))=0,"",INDEX('Licences'!$F$4:$F$503,_calc!$E$280)))=0,"","Owner: "&amp;IF(LEN(INDEX('Licences'!$F$4:$F$503,_calc!$E$280))=0,"",INDEX('Licences'!$F$4:$F$503,_calc!$E$280))&amp;". ")&amp;IF(LEN(IF(LEN(INDEX('Licences'!$R$4:$R$503,_calc!$E$280))=0,"",INDEX('Licences'!$R$4:$R$503,_calc!$E$280)))=0,"",IF(LEN(INDEX('Licences'!$R$4:$R$503,_calc!$E$280))=0,"",INDEX('Licences'!$R$4:$R$503,_calc!$E$280)))))</f>
        <v/>
      </c>
      <c r="G278" s="44">
        <f>IF(_calc!$E$280="","",IF(LEN(INDEX('Licences'!$Q$4:$Q$503,_calc!$E$280))=0,"",INDEX('Licences'!$Q$4:$Q$503,_calc!$E$280)))</f>
        <v/>
      </c>
      <c r="H278" s="44">
        <f>IF(_calc!$E$280="","",IF(LEN(INDEX('Licences'!$O$4:$O$503,_calc!$E$280))=0,"",INDEX('Licences'!$O$4:$O$503,_calc!$E$280)))</f>
        <v/>
      </c>
      <c r="I278" s="44">
        <f>IF(_calc!$E$280="","",IF(LEN(INDEX('Licences'!$P$4:$P$503,_calc!$E$280))=0,"",INDEX('Licences'!$P$4:$P$503,_calc!$E$280)))</f>
        <v/>
      </c>
      <c r="K278" s="44">
        <f>IF(_calc!$E$280="","",IF(LEN(INDEX('Licences'!$G$4:$G$503,_calc!$E$280))=0,"",INDEX('Licences'!$G$4:$G$503,_calc!$E$280)))</f>
        <v/>
      </c>
    </row>
    <row r="279">
      <c r="A279" s="44">
        <f>IF(_calc!$E$281="","",IF(LEN(INDEX('Licences'!$A$4:$A$503,_calc!$E$281))=0,"",INDEX('Licences'!$A$4:$A$503,_calc!$E$281)))</f>
        <v/>
      </c>
      <c r="B279" s="44">
        <f>IF(_calc!$E$281="","",IF(ISNUMBER(INDEX('Licences'!$J$4:$J$503,_calc!$E$281)),TEXT(INDEX('Licences'!$J$4:$J$503,_calc!$E$281),"yyyy-mm-dd"),""))</f>
        <v/>
      </c>
      <c r="C279" s="44">
        <f>IF(_calc!$E$281="","",IF(LEN(INDEX('Licences'!$B$4:$B$503,_calc!$E$281))=0,"",INDEX('Licences'!$B$4:$B$503,_calc!$E$281)))</f>
        <v/>
      </c>
      <c r="D279" s="44">
        <f>IF(_calc!$E$281="","",IF(ISNUMBER(INDEX('Licences'!$I$4:$I$503,_calc!$E$281)),TEXT(INDEX('Licences'!$I$4:$I$503,_calc!$E$281),"yyyy-mm-dd"),""))</f>
        <v/>
      </c>
      <c r="E279" s="44">
        <f>IF(_calc!$E$281="","",IF(LEN(INDEX('Licences'!$H$4:$H$503,_calc!$E$281))=0,"",INDEX('Licences'!$H$4:$H$503,_calc!$E$281)))</f>
        <v/>
      </c>
      <c r="F279" s="44">
        <f>IF(_calc!$E$281="","",TRIM(IF(LEN(IF(LEN(INDEX('Licences'!$D$4:$D$503,_calc!$E$281))=0,"",INDEX('Licences'!$D$4:$D$503,_calc!$E$281)))=0,"","Ref: "&amp;IF(LEN(INDEX('Licences'!$D$4:$D$503,_calc!$E$281))=0,"",INDEX('Licences'!$D$4:$D$503,_calc!$E$281))&amp;". ")&amp;IF(LEN(IF(LEN(INDEX('Licences'!$C$4:$C$503,_calc!$E$281))=0,"",INDEX('Licences'!$C$4:$C$503,_calc!$E$281)))=0,"","Issuer: "&amp;IF(LEN(INDEX('Licences'!$C$4:$C$503,_calc!$E$281))=0,"",INDEX('Licences'!$C$4:$C$503,_calc!$E$281))&amp;". ")&amp;IF(LEN(IF(LEN(INDEX('Licences'!$E$4:$E$503,_calc!$E$281))=0,"",INDEX('Licences'!$E$4:$E$503,_calc!$E$281)))=0,"","Site: "&amp;IF(LEN(INDEX('Licences'!$E$4:$E$503,_calc!$E$281))=0,"",INDEX('Licences'!$E$4:$E$503,_calc!$E$281))&amp;". ")&amp;IF(LEN(IF(LEN(INDEX('Licences'!$F$4:$F$503,_calc!$E$281))=0,"",INDEX('Licences'!$F$4:$F$503,_calc!$E$281)))=0,"","Owner: "&amp;IF(LEN(INDEX('Licences'!$F$4:$F$503,_calc!$E$281))=0,"",INDEX('Licences'!$F$4:$F$503,_calc!$E$281))&amp;". ")&amp;IF(LEN(IF(LEN(INDEX('Licences'!$R$4:$R$503,_calc!$E$281))=0,"",INDEX('Licences'!$R$4:$R$503,_calc!$E$281)))=0,"",IF(LEN(INDEX('Licences'!$R$4:$R$503,_calc!$E$281))=0,"",INDEX('Licences'!$R$4:$R$503,_calc!$E$281)))))</f>
        <v/>
      </c>
      <c r="G279" s="44">
        <f>IF(_calc!$E$281="","",IF(LEN(INDEX('Licences'!$Q$4:$Q$503,_calc!$E$281))=0,"",INDEX('Licences'!$Q$4:$Q$503,_calc!$E$281)))</f>
        <v/>
      </c>
      <c r="H279" s="44">
        <f>IF(_calc!$E$281="","",IF(LEN(INDEX('Licences'!$O$4:$O$503,_calc!$E$281))=0,"",INDEX('Licences'!$O$4:$O$503,_calc!$E$281)))</f>
        <v/>
      </c>
      <c r="I279" s="44">
        <f>IF(_calc!$E$281="","",IF(LEN(INDEX('Licences'!$P$4:$P$503,_calc!$E$281))=0,"",INDEX('Licences'!$P$4:$P$503,_calc!$E$281)))</f>
        <v/>
      </c>
      <c r="K279" s="44">
        <f>IF(_calc!$E$281="","",IF(LEN(INDEX('Licences'!$G$4:$G$503,_calc!$E$281))=0,"",INDEX('Licences'!$G$4:$G$503,_calc!$E$281)))</f>
        <v/>
      </c>
    </row>
    <row r="280">
      <c r="A280" s="44">
        <f>IF(_calc!$E$282="","",IF(LEN(INDEX('Licences'!$A$4:$A$503,_calc!$E$282))=0,"",INDEX('Licences'!$A$4:$A$503,_calc!$E$282)))</f>
        <v/>
      </c>
      <c r="B280" s="44">
        <f>IF(_calc!$E$282="","",IF(ISNUMBER(INDEX('Licences'!$J$4:$J$503,_calc!$E$282)),TEXT(INDEX('Licences'!$J$4:$J$503,_calc!$E$282),"yyyy-mm-dd"),""))</f>
        <v/>
      </c>
      <c r="C280" s="44">
        <f>IF(_calc!$E$282="","",IF(LEN(INDEX('Licences'!$B$4:$B$503,_calc!$E$282))=0,"",INDEX('Licences'!$B$4:$B$503,_calc!$E$282)))</f>
        <v/>
      </c>
      <c r="D280" s="44">
        <f>IF(_calc!$E$282="","",IF(ISNUMBER(INDEX('Licences'!$I$4:$I$503,_calc!$E$282)),TEXT(INDEX('Licences'!$I$4:$I$503,_calc!$E$282),"yyyy-mm-dd"),""))</f>
        <v/>
      </c>
      <c r="E280" s="44">
        <f>IF(_calc!$E$282="","",IF(LEN(INDEX('Licences'!$H$4:$H$503,_calc!$E$282))=0,"",INDEX('Licences'!$H$4:$H$503,_calc!$E$282)))</f>
        <v/>
      </c>
      <c r="F280" s="44">
        <f>IF(_calc!$E$282="","",TRIM(IF(LEN(IF(LEN(INDEX('Licences'!$D$4:$D$503,_calc!$E$282))=0,"",INDEX('Licences'!$D$4:$D$503,_calc!$E$282)))=0,"","Ref: "&amp;IF(LEN(INDEX('Licences'!$D$4:$D$503,_calc!$E$282))=0,"",INDEX('Licences'!$D$4:$D$503,_calc!$E$282))&amp;". ")&amp;IF(LEN(IF(LEN(INDEX('Licences'!$C$4:$C$503,_calc!$E$282))=0,"",INDEX('Licences'!$C$4:$C$503,_calc!$E$282)))=0,"","Issuer: "&amp;IF(LEN(INDEX('Licences'!$C$4:$C$503,_calc!$E$282))=0,"",INDEX('Licences'!$C$4:$C$503,_calc!$E$282))&amp;". ")&amp;IF(LEN(IF(LEN(INDEX('Licences'!$E$4:$E$503,_calc!$E$282))=0,"",INDEX('Licences'!$E$4:$E$503,_calc!$E$282)))=0,"","Site: "&amp;IF(LEN(INDEX('Licences'!$E$4:$E$503,_calc!$E$282))=0,"",INDEX('Licences'!$E$4:$E$503,_calc!$E$282))&amp;". ")&amp;IF(LEN(IF(LEN(INDEX('Licences'!$F$4:$F$503,_calc!$E$282))=0,"",INDEX('Licences'!$F$4:$F$503,_calc!$E$282)))=0,"","Owner: "&amp;IF(LEN(INDEX('Licences'!$F$4:$F$503,_calc!$E$282))=0,"",INDEX('Licences'!$F$4:$F$503,_calc!$E$282))&amp;". ")&amp;IF(LEN(IF(LEN(INDEX('Licences'!$R$4:$R$503,_calc!$E$282))=0,"",INDEX('Licences'!$R$4:$R$503,_calc!$E$282)))=0,"",IF(LEN(INDEX('Licences'!$R$4:$R$503,_calc!$E$282))=0,"",INDEX('Licences'!$R$4:$R$503,_calc!$E$282)))))</f>
        <v/>
      </c>
      <c r="G280" s="44">
        <f>IF(_calc!$E$282="","",IF(LEN(INDEX('Licences'!$Q$4:$Q$503,_calc!$E$282))=0,"",INDEX('Licences'!$Q$4:$Q$503,_calc!$E$282)))</f>
        <v/>
      </c>
      <c r="H280" s="44">
        <f>IF(_calc!$E$282="","",IF(LEN(INDEX('Licences'!$O$4:$O$503,_calc!$E$282))=0,"",INDEX('Licences'!$O$4:$O$503,_calc!$E$282)))</f>
        <v/>
      </c>
      <c r="I280" s="44">
        <f>IF(_calc!$E$282="","",IF(LEN(INDEX('Licences'!$P$4:$P$503,_calc!$E$282))=0,"",INDEX('Licences'!$P$4:$P$503,_calc!$E$282)))</f>
        <v/>
      </c>
      <c r="K280" s="44">
        <f>IF(_calc!$E$282="","",IF(LEN(INDEX('Licences'!$G$4:$G$503,_calc!$E$282))=0,"",INDEX('Licences'!$G$4:$G$503,_calc!$E$282)))</f>
        <v/>
      </c>
    </row>
    <row r="281">
      <c r="A281" s="44">
        <f>IF(_calc!$E$283="","",IF(LEN(INDEX('Licences'!$A$4:$A$503,_calc!$E$283))=0,"",INDEX('Licences'!$A$4:$A$503,_calc!$E$283)))</f>
        <v/>
      </c>
      <c r="B281" s="44">
        <f>IF(_calc!$E$283="","",IF(ISNUMBER(INDEX('Licences'!$J$4:$J$503,_calc!$E$283)),TEXT(INDEX('Licences'!$J$4:$J$503,_calc!$E$283),"yyyy-mm-dd"),""))</f>
        <v/>
      </c>
      <c r="C281" s="44">
        <f>IF(_calc!$E$283="","",IF(LEN(INDEX('Licences'!$B$4:$B$503,_calc!$E$283))=0,"",INDEX('Licences'!$B$4:$B$503,_calc!$E$283)))</f>
        <v/>
      </c>
      <c r="D281" s="44">
        <f>IF(_calc!$E$283="","",IF(ISNUMBER(INDEX('Licences'!$I$4:$I$503,_calc!$E$283)),TEXT(INDEX('Licences'!$I$4:$I$503,_calc!$E$283),"yyyy-mm-dd"),""))</f>
        <v/>
      </c>
      <c r="E281" s="44">
        <f>IF(_calc!$E$283="","",IF(LEN(INDEX('Licences'!$H$4:$H$503,_calc!$E$283))=0,"",INDEX('Licences'!$H$4:$H$503,_calc!$E$283)))</f>
        <v/>
      </c>
      <c r="F281" s="44">
        <f>IF(_calc!$E$283="","",TRIM(IF(LEN(IF(LEN(INDEX('Licences'!$D$4:$D$503,_calc!$E$283))=0,"",INDEX('Licences'!$D$4:$D$503,_calc!$E$283)))=0,"","Ref: "&amp;IF(LEN(INDEX('Licences'!$D$4:$D$503,_calc!$E$283))=0,"",INDEX('Licences'!$D$4:$D$503,_calc!$E$283))&amp;". ")&amp;IF(LEN(IF(LEN(INDEX('Licences'!$C$4:$C$503,_calc!$E$283))=0,"",INDEX('Licences'!$C$4:$C$503,_calc!$E$283)))=0,"","Issuer: "&amp;IF(LEN(INDEX('Licences'!$C$4:$C$503,_calc!$E$283))=0,"",INDEX('Licences'!$C$4:$C$503,_calc!$E$283))&amp;". ")&amp;IF(LEN(IF(LEN(INDEX('Licences'!$E$4:$E$503,_calc!$E$283))=0,"",INDEX('Licences'!$E$4:$E$503,_calc!$E$283)))=0,"","Site: "&amp;IF(LEN(INDEX('Licences'!$E$4:$E$503,_calc!$E$283))=0,"",INDEX('Licences'!$E$4:$E$503,_calc!$E$283))&amp;". ")&amp;IF(LEN(IF(LEN(INDEX('Licences'!$F$4:$F$503,_calc!$E$283))=0,"",INDEX('Licences'!$F$4:$F$503,_calc!$E$283)))=0,"","Owner: "&amp;IF(LEN(INDEX('Licences'!$F$4:$F$503,_calc!$E$283))=0,"",INDEX('Licences'!$F$4:$F$503,_calc!$E$283))&amp;". ")&amp;IF(LEN(IF(LEN(INDEX('Licences'!$R$4:$R$503,_calc!$E$283))=0,"",INDEX('Licences'!$R$4:$R$503,_calc!$E$283)))=0,"",IF(LEN(INDEX('Licences'!$R$4:$R$503,_calc!$E$283))=0,"",INDEX('Licences'!$R$4:$R$503,_calc!$E$283)))))</f>
        <v/>
      </c>
      <c r="G281" s="44">
        <f>IF(_calc!$E$283="","",IF(LEN(INDEX('Licences'!$Q$4:$Q$503,_calc!$E$283))=0,"",INDEX('Licences'!$Q$4:$Q$503,_calc!$E$283)))</f>
        <v/>
      </c>
      <c r="H281" s="44">
        <f>IF(_calc!$E$283="","",IF(LEN(INDEX('Licences'!$O$4:$O$503,_calc!$E$283))=0,"",INDEX('Licences'!$O$4:$O$503,_calc!$E$283)))</f>
        <v/>
      </c>
      <c r="I281" s="44">
        <f>IF(_calc!$E$283="","",IF(LEN(INDEX('Licences'!$P$4:$P$503,_calc!$E$283))=0,"",INDEX('Licences'!$P$4:$P$503,_calc!$E$283)))</f>
        <v/>
      </c>
      <c r="K281" s="44">
        <f>IF(_calc!$E$283="","",IF(LEN(INDEX('Licences'!$G$4:$G$503,_calc!$E$283))=0,"",INDEX('Licences'!$G$4:$G$503,_calc!$E$283)))</f>
        <v/>
      </c>
    </row>
    <row r="282">
      <c r="A282" s="44">
        <f>IF(_calc!$E$284="","",IF(LEN(INDEX('Licences'!$A$4:$A$503,_calc!$E$284))=0,"",INDEX('Licences'!$A$4:$A$503,_calc!$E$284)))</f>
        <v/>
      </c>
      <c r="B282" s="44">
        <f>IF(_calc!$E$284="","",IF(ISNUMBER(INDEX('Licences'!$J$4:$J$503,_calc!$E$284)),TEXT(INDEX('Licences'!$J$4:$J$503,_calc!$E$284),"yyyy-mm-dd"),""))</f>
        <v/>
      </c>
      <c r="C282" s="44">
        <f>IF(_calc!$E$284="","",IF(LEN(INDEX('Licences'!$B$4:$B$503,_calc!$E$284))=0,"",INDEX('Licences'!$B$4:$B$503,_calc!$E$284)))</f>
        <v/>
      </c>
      <c r="D282" s="44">
        <f>IF(_calc!$E$284="","",IF(ISNUMBER(INDEX('Licences'!$I$4:$I$503,_calc!$E$284)),TEXT(INDEX('Licences'!$I$4:$I$503,_calc!$E$284),"yyyy-mm-dd"),""))</f>
        <v/>
      </c>
      <c r="E282" s="44">
        <f>IF(_calc!$E$284="","",IF(LEN(INDEX('Licences'!$H$4:$H$503,_calc!$E$284))=0,"",INDEX('Licences'!$H$4:$H$503,_calc!$E$284)))</f>
        <v/>
      </c>
      <c r="F282" s="44">
        <f>IF(_calc!$E$284="","",TRIM(IF(LEN(IF(LEN(INDEX('Licences'!$D$4:$D$503,_calc!$E$284))=0,"",INDEX('Licences'!$D$4:$D$503,_calc!$E$284)))=0,"","Ref: "&amp;IF(LEN(INDEX('Licences'!$D$4:$D$503,_calc!$E$284))=0,"",INDEX('Licences'!$D$4:$D$503,_calc!$E$284))&amp;". ")&amp;IF(LEN(IF(LEN(INDEX('Licences'!$C$4:$C$503,_calc!$E$284))=0,"",INDEX('Licences'!$C$4:$C$503,_calc!$E$284)))=0,"","Issuer: "&amp;IF(LEN(INDEX('Licences'!$C$4:$C$503,_calc!$E$284))=0,"",INDEX('Licences'!$C$4:$C$503,_calc!$E$284))&amp;". ")&amp;IF(LEN(IF(LEN(INDEX('Licences'!$E$4:$E$503,_calc!$E$284))=0,"",INDEX('Licences'!$E$4:$E$503,_calc!$E$284)))=0,"","Site: "&amp;IF(LEN(INDEX('Licences'!$E$4:$E$503,_calc!$E$284))=0,"",INDEX('Licences'!$E$4:$E$503,_calc!$E$284))&amp;". ")&amp;IF(LEN(IF(LEN(INDEX('Licences'!$F$4:$F$503,_calc!$E$284))=0,"",INDEX('Licences'!$F$4:$F$503,_calc!$E$284)))=0,"","Owner: "&amp;IF(LEN(INDEX('Licences'!$F$4:$F$503,_calc!$E$284))=0,"",INDEX('Licences'!$F$4:$F$503,_calc!$E$284))&amp;". ")&amp;IF(LEN(IF(LEN(INDEX('Licences'!$R$4:$R$503,_calc!$E$284))=0,"",INDEX('Licences'!$R$4:$R$503,_calc!$E$284)))=0,"",IF(LEN(INDEX('Licences'!$R$4:$R$503,_calc!$E$284))=0,"",INDEX('Licences'!$R$4:$R$503,_calc!$E$284)))))</f>
        <v/>
      </c>
      <c r="G282" s="44">
        <f>IF(_calc!$E$284="","",IF(LEN(INDEX('Licences'!$Q$4:$Q$503,_calc!$E$284))=0,"",INDEX('Licences'!$Q$4:$Q$503,_calc!$E$284)))</f>
        <v/>
      </c>
      <c r="H282" s="44">
        <f>IF(_calc!$E$284="","",IF(LEN(INDEX('Licences'!$O$4:$O$503,_calc!$E$284))=0,"",INDEX('Licences'!$O$4:$O$503,_calc!$E$284)))</f>
        <v/>
      </c>
      <c r="I282" s="44">
        <f>IF(_calc!$E$284="","",IF(LEN(INDEX('Licences'!$P$4:$P$503,_calc!$E$284))=0,"",INDEX('Licences'!$P$4:$P$503,_calc!$E$284)))</f>
        <v/>
      </c>
      <c r="K282" s="44">
        <f>IF(_calc!$E$284="","",IF(LEN(INDEX('Licences'!$G$4:$G$503,_calc!$E$284))=0,"",INDEX('Licences'!$G$4:$G$503,_calc!$E$284)))</f>
        <v/>
      </c>
    </row>
    <row r="283">
      <c r="A283" s="44">
        <f>IF(_calc!$E$285="","",IF(LEN(INDEX('Licences'!$A$4:$A$503,_calc!$E$285))=0,"",INDEX('Licences'!$A$4:$A$503,_calc!$E$285)))</f>
        <v/>
      </c>
      <c r="B283" s="44">
        <f>IF(_calc!$E$285="","",IF(ISNUMBER(INDEX('Licences'!$J$4:$J$503,_calc!$E$285)),TEXT(INDEX('Licences'!$J$4:$J$503,_calc!$E$285),"yyyy-mm-dd"),""))</f>
        <v/>
      </c>
      <c r="C283" s="44">
        <f>IF(_calc!$E$285="","",IF(LEN(INDEX('Licences'!$B$4:$B$503,_calc!$E$285))=0,"",INDEX('Licences'!$B$4:$B$503,_calc!$E$285)))</f>
        <v/>
      </c>
      <c r="D283" s="44">
        <f>IF(_calc!$E$285="","",IF(ISNUMBER(INDEX('Licences'!$I$4:$I$503,_calc!$E$285)),TEXT(INDEX('Licences'!$I$4:$I$503,_calc!$E$285),"yyyy-mm-dd"),""))</f>
        <v/>
      </c>
      <c r="E283" s="44">
        <f>IF(_calc!$E$285="","",IF(LEN(INDEX('Licences'!$H$4:$H$503,_calc!$E$285))=0,"",INDEX('Licences'!$H$4:$H$503,_calc!$E$285)))</f>
        <v/>
      </c>
      <c r="F283" s="44">
        <f>IF(_calc!$E$285="","",TRIM(IF(LEN(IF(LEN(INDEX('Licences'!$D$4:$D$503,_calc!$E$285))=0,"",INDEX('Licences'!$D$4:$D$503,_calc!$E$285)))=0,"","Ref: "&amp;IF(LEN(INDEX('Licences'!$D$4:$D$503,_calc!$E$285))=0,"",INDEX('Licences'!$D$4:$D$503,_calc!$E$285))&amp;". ")&amp;IF(LEN(IF(LEN(INDEX('Licences'!$C$4:$C$503,_calc!$E$285))=0,"",INDEX('Licences'!$C$4:$C$503,_calc!$E$285)))=0,"","Issuer: "&amp;IF(LEN(INDEX('Licences'!$C$4:$C$503,_calc!$E$285))=0,"",INDEX('Licences'!$C$4:$C$503,_calc!$E$285))&amp;". ")&amp;IF(LEN(IF(LEN(INDEX('Licences'!$E$4:$E$503,_calc!$E$285))=0,"",INDEX('Licences'!$E$4:$E$503,_calc!$E$285)))=0,"","Site: "&amp;IF(LEN(INDEX('Licences'!$E$4:$E$503,_calc!$E$285))=0,"",INDEX('Licences'!$E$4:$E$503,_calc!$E$285))&amp;". ")&amp;IF(LEN(IF(LEN(INDEX('Licences'!$F$4:$F$503,_calc!$E$285))=0,"",INDEX('Licences'!$F$4:$F$503,_calc!$E$285)))=0,"","Owner: "&amp;IF(LEN(INDEX('Licences'!$F$4:$F$503,_calc!$E$285))=0,"",INDEX('Licences'!$F$4:$F$503,_calc!$E$285))&amp;". ")&amp;IF(LEN(IF(LEN(INDEX('Licences'!$R$4:$R$503,_calc!$E$285))=0,"",INDEX('Licences'!$R$4:$R$503,_calc!$E$285)))=0,"",IF(LEN(INDEX('Licences'!$R$4:$R$503,_calc!$E$285))=0,"",INDEX('Licences'!$R$4:$R$503,_calc!$E$285)))))</f>
        <v/>
      </c>
      <c r="G283" s="44">
        <f>IF(_calc!$E$285="","",IF(LEN(INDEX('Licences'!$Q$4:$Q$503,_calc!$E$285))=0,"",INDEX('Licences'!$Q$4:$Q$503,_calc!$E$285)))</f>
        <v/>
      </c>
      <c r="H283" s="44">
        <f>IF(_calc!$E$285="","",IF(LEN(INDEX('Licences'!$O$4:$O$503,_calc!$E$285))=0,"",INDEX('Licences'!$O$4:$O$503,_calc!$E$285)))</f>
        <v/>
      </c>
      <c r="I283" s="44">
        <f>IF(_calc!$E$285="","",IF(LEN(INDEX('Licences'!$P$4:$P$503,_calc!$E$285))=0,"",INDEX('Licences'!$P$4:$P$503,_calc!$E$285)))</f>
        <v/>
      </c>
      <c r="K283" s="44">
        <f>IF(_calc!$E$285="","",IF(LEN(INDEX('Licences'!$G$4:$G$503,_calc!$E$285))=0,"",INDEX('Licences'!$G$4:$G$503,_calc!$E$285)))</f>
        <v/>
      </c>
    </row>
    <row r="284">
      <c r="A284" s="44">
        <f>IF(_calc!$E$286="","",IF(LEN(INDEX('Licences'!$A$4:$A$503,_calc!$E$286))=0,"",INDEX('Licences'!$A$4:$A$503,_calc!$E$286)))</f>
        <v/>
      </c>
      <c r="B284" s="44">
        <f>IF(_calc!$E$286="","",IF(ISNUMBER(INDEX('Licences'!$J$4:$J$503,_calc!$E$286)),TEXT(INDEX('Licences'!$J$4:$J$503,_calc!$E$286),"yyyy-mm-dd"),""))</f>
        <v/>
      </c>
      <c r="C284" s="44">
        <f>IF(_calc!$E$286="","",IF(LEN(INDEX('Licences'!$B$4:$B$503,_calc!$E$286))=0,"",INDEX('Licences'!$B$4:$B$503,_calc!$E$286)))</f>
        <v/>
      </c>
      <c r="D284" s="44">
        <f>IF(_calc!$E$286="","",IF(ISNUMBER(INDEX('Licences'!$I$4:$I$503,_calc!$E$286)),TEXT(INDEX('Licences'!$I$4:$I$503,_calc!$E$286),"yyyy-mm-dd"),""))</f>
        <v/>
      </c>
      <c r="E284" s="44">
        <f>IF(_calc!$E$286="","",IF(LEN(INDEX('Licences'!$H$4:$H$503,_calc!$E$286))=0,"",INDEX('Licences'!$H$4:$H$503,_calc!$E$286)))</f>
        <v/>
      </c>
      <c r="F284" s="44">
        <f>IF(_calc!$E$286="","",TRIM(IF(LEN(IF(LEN(INDEX('Licences'!$D$4:$D$503,_calc!$E$286))=0,"",INDEX('Licences'!$D$4:$D$503,_calc!$E$286)))=0,"","Ref: "&amp;IF(LEN(INDEX('Licences'!$D$4:$D$503,_calc!$E$286))=0,"",INDEX('Licences'!$D$4:$D$503,_calc!$E$286))&amp;". ")&amp;IF(LEN(IF(LEN(INDEX('Licences'!$C$4:$C$503,_calc!$E$286))=0,"",INDEX('Licences'!$C$4:$C$503,_calc!$E$286)))=0,"","Issuer: "&amp;IF(LEN(INDEX('Licences'!$C$4:$C$503,_calc!$E$286))=0,"",INDEX('Licences'!$C$4:$C$503,_calc!$E$286))&amp;". ")&amp;IF(LEN(IF(LEN(INDEX('Licences'!$E$4:$E$503,_calc!$E$286))=0,"",INDEX('Licences'!$E$4:$E$503,_calc!$E$286)))=0,"","Site: "&amp;IF(LEN(INDEX('Licences'!$E$4:$E$503,_calc!$E$286))=0,"",INDEX('Licences'!$E$4:$E$503,_calc!$E$286))&amp;". ")&amp;IF(LEN(IF(LEN(INDEX('Licences'!$F$4:$F$503,_calc!$E$286))=0,"",INDEX('Licences'!$F$4:$F$503,_calc!$E$286)))=0,"","Owner: "&amp;IF(LEN(INDEX('Licences'!$F$4:$F$503,_calc!$E$286))=0,"",INDEX('Licences'!$F$4:$F$503,_calc!$E$286))&amp;". ")&amp;IF(LEN(IF(LEN(INDEX('Licences'!$R$4:$R$503,_calc!$E$286))=0,"",INDEX('Licences'!$R$4:$R$503,_calc!$E$286)))=0,"",IF(LEN(INDEX('Licences'!$R$4:$R$503,_calc!$E$286))=0,"",INDEX('Licences'!$R$4:$R$503,_calc!$E$286)))))</f>
        <v/>
      </c>
      <c r="G284" s="44">
        <f>IF(_calc!$E$286="","",IF(LEN(INDEX('Licences'!$Q$4:$Q$503,_calc!$E$286))=0,"",INDEX('Licences'!$Q$4:$Q$503,_calc!$E$286)))</f>
        <v/>
      </c>
      <c r="H284" s="44">
        <f>IF(_calc!$E$286="","",IF(LEN(INDEX('Licences'!$O$4:$O$503,_calc!$E$286))=0,"",INDEX('Licences'!$O$4:$O$503,_calc!$E$286)))</f>
        <v/>
      </c>
      <c r="I284" s="44">
        <f>IF(_calc!$E$286="","",IF(LEN(INDEX('Licences'!$P$4:$P$503,_calc!$E$286))=0,"",INDEX('Licences'!$P$4:$P$503,_calc!$E$286)))</f>
        <v/>
      </c>
      <c r="K284" s="44">
        <f>IF(_calc!$E$286="","",IF(LEN(INDEX('Licences'!$G$4:$G$503,_calc!$E$286))=0,"",INDEX('Licences'!$G$4:$G$503,_calc!$E$286)))</f>
        <v/>
      </c>
    </row>
    <row r="285">
      <c r="A285" s="44">
        <f>IF(_calc!$E$287="","",IF(LEN(INDEX('Licences'!$A$4:$A$503,_calc!$E$287))=0,"",INDEX('Licences'!$A$4:$A$503,_calc!$E$287)))</f>
        <v/>
      </c>
      <c r="B285" s="44">
        <f>IF(_calc!$E$287="","",IF(ISNUMBER(INDEX('Licences'!$J$4:$J$503,_calc!$E$287)),TEXT(INDEX('Licences'!$J$4:$J$503,_calc!$E$287),"yyyy-mm-dd"),""))</f>
        <v/>
      </c>
      <c r="C285" s="44">
        <f>IF(_calc!$E$287="","",IF(LEN(INDEX('Licences'!$B$4:$B$503,_calc!$E$287))=0,"",INDEX('Licences'!$B$4:$B$503,_calc!$E$287)))</f>
        <v/>
      </c>
      <c r="D285" s="44">
        <f>IF(_calc!$E$287="","",IF(ISNUMBER(INDEX('Licences'!$I$4:$I$503,_calc!$E$287)),TEXT(INDEX('Licences'!$I$4:$I$503,_calc!$E$287),"yyyy-mm-dd"),""))</f>
        <v/>
      </c>
      <c r="E285" s="44">
        <f>IF(_calc!$E$287="","",IF(LEN(INDEX('Licences'!$H$4:$H$503,_calc!$E$287))=0,"",INDEX('Licences'!$H$4:$H$503,_calc!$E$287)))</f>
        <v/>
      </c>
      <c r="F285" s="44">
        <f>IF(_calc!$E$287="","",TRIM(IF(LEN(IF(LEN(INDEX('Licences'!$D$4:$D$503,_calc!$E$287))=0,"",INDEX('Licences'!$D$4:$D$503,_calc!$E$287)))=0,"","Ref: "&amp;IF(LEN(INDEX('Licences'!$D$4:$D$503,_calc!$E$287))=0,"",INDEX('Licences'!$D$4:$D$503,_calc!$E$287))&amp;". ")&amp;IF(LEN(IF(LEN(INDEX('Licences'!$C$4:$C$503,_calc!$E$287))=0,"",INDEX('Licences'!$C$4:$C$503,_calc!$E$287)))=0,"","Issuer: "&amp;IF(LEN(INDEX('Licences'!$C$4:$C$503,_calc!$E$287))=0,"",INDEX('Licences'!$C$4:$C$503,_calc!$E$287))&amp;". ")&amp;IF(LEN(IF(LEN(INDEX('Licences'!$E$4:$E$503,_calc!$E$287))=0,"",INDEX('Licences'!$E$4:$E$503,_calc!$E$287)))=0,"","Site: "&amp;IF(LEN(INDEX('Licences'!$E$4:$E$503,_calc!$E$287))=0,"",INDEX('Licences'!$E$4:$E$503,_calc!$E$287))&amp;". ")&amp;IF(LEN(IF(LEN(INDEX('Licences'!$F$4:$F$503,_calc!$E$287))=0,"",INDEX('Licences'!$F$4:$F$503,_calc!$E$287)))=0,"","Owner: "&amp;IF(LEN(INDEX('Licences'!$F$4:$F$503,_calc!$E$287))=0,"",INDEX('Licences'!$F$4:$F$503,_calc!$E$287))&amp;". ")&amp;IF(LEN(IF(LEN(INDEX('Licences'!$R$4:$R$503,_calc!$E$287))=0,"",INDEX('Licences'!$R$4:$R$503,_calc!$E$287)))=0,"",IF(LEN(INDEX('Licences'!$R$4:$R$503,_calc!$E$287))=0,"",INDEX('Licences'!$R$4:$R$503,_calc!$E$287)))))</f>
        <v/>
      </c>
      <c r="G285" s="44">
        <f>IF(_calc!$E$287="","",IF(LEN(INDEX('Licences'!$Q$4:$Q$503,_calc!$E$287))=0,"",INDEX('Licences'!$Q$4:$Q$503,_calc!$E$287)))</f>
        <v/>
      </c>
      <c r="H285" s="44">
        <f>IF(_calc!$E$287="","",IF(LEN(INDEX('Licences'!$O$4:$O$503,_calc!$E$287))=0,"",INDEX('Licences'!$O$4:$O$503,_calc!$E$287)))</f>
        <v/>
      </c>
      <c r="I285" s="44">
        <f>IF(_calc!$E$287="","",IF(LEN(INDEX('Licences'!$P$4:$P$503,_calc!$E$287))=0,"",INDEX('Licences'!$P$4:$P$503,_calc!$E$287)))</f>
        <v/>
      </c>
      <c r="K285" s="44">
        <f>IF(_calc!$E$287="","",IF(LEN(INDEX('Licences'!$G$4:$G$503,_calc!$E$287))=0,"",INDEX('Licences'!$G$4:$G$503,_calc!$E$287)))</f>
        <v/>
      </c>
    </row>
    <row r="286">
      <c r="A286" s="44">
        <f>IF(_calc!$E$288="","",IF(LEN(INDEX('Licences'!$A$4:$A$503,_calc!$E$288))=0,"",INDEX('Licences'!$A$4:$A$503,_calc!$E$288)))</f>
        <v/>
      </c>
      <c r="B286" s="44">
        <f>IF(_calc!$E$288="","",IF(ISNUMBER(INDEX('Licences'!$J$4:$J$503,_calc!$E$288)),TEXT(INDEX('Licences'!$J$4:$J$503,_calc!$E$288),"yyyy-mm-dd"),""))</f>
        <v/>
      </c>
      <c r="C286" s="44">
        <f>IF(_calc!$E$288="","",IF(LEN(INDEX('Licences'!$B$4:$B$503,_calc!$E$288))=0,"",INDEX('Licences'!$B$4:$B$503,_calc!$E$288)))</f>
        <v/>
      </c>
      <c r="D286" s="44">
        <f>IF(_calc!$E$288="","",IF(ISNUMBER(INDEX('Licences'!$I$4:$I$503,_calc!$E$288)),TEXT(INDEX('Licences'!$I$4:$I$503,_calc!$E$288),"yyyy-mm-dd"),""))</f>
        <v/>
      </c>
      <c r="E286" s="44">
        <f>IF(_calc!$E$288="","",IF(LEN(INDEX('Licences'!$H$4:$H$503,_calc!$E$288))=0,"",INDEX('Licences'!$H$4:$H$503,_calc!$E$288)))</f>
        <v/>
      </c>
      <c r="F286" s="44">
        <f>IF(_calc!$E$288="","",TRIM(IF(LEN(IF(LEN(INDEX('Licences'!$D$4:$D$503,_calc!$E$288))=0,"",INDEX('Licences'!$D$4:$D$503,_calc!$E$288)))=0,"","Ref: "&amp;IF(LEN(INDEX('Licences'!$D$4:$D$503,_calc!$E$288))=0,"",INDEX('Licences'!$D$4:$D$503,_calc!$E$288))&amp;". ")&amp;IF(LEN(IF(LEN(INDEX('Licences'!$C$4:$C$503,_calc!$E$288))=0,"",INDEX('Licences'!$C$4:$C$503,_calc!$E$288)))=0,"","Issuer: "&amp;IF(LEN(INDEX('Licences'!$C$4:$C$503,_calc!$E$288))=0,"",INDEX('Licences'!$C$4:$C$503,_calc!$E$288))&amp;". ")&amp;IF(LEN(IF(LEN(INDEX('Licences'!$E$4:$E$503,_calc!$E$288))=0,"",INDEX('Licences'!$E$4:$E$503,_calc!$E$288)))=0,"","Site: "&amp;IF(LEN(INDEX('Licences'!$E$4:$E$503,_calc!$E$288))=0,"",INDEX('Licences'!$E$4:$E$503,_calc!$E$288))&amp;". ")&amp;IF(LEN(IF(LEN(INDEX('Licences'!$F$4:$F$503,_calc!$E$288))=0,"",INDEX('Licences'!$F$4:$F$503,_calc!$E$288)))=0,"","Owner: "&amp;IF(LEN(INDEX('Licences'!$F$4:$F$503,_calc!$E$288))=0,"",INDEX('Licences'!$F$4:$F$503,_calc!$E$288))&amp;". ")&amp;IF(LEN(IF(LEN(INDEX('Licences'!$R$4:$R$503,_calc!$E$288))=0,"",INDEX('Licences'!$R$4:$R$503,_calc!$E$288)))=0,"",IF(LEN(INDEX('Licences'!$R$4:$R$503,_calc!$E$288))=0,"",INDEX('Licences'!$R$4:$R$503,_calc!$E$288)))))</f>
        <v/>
      </c>
      <c r="G286" s="44">
        <f>IF(_calc!$E$288="","",IF(LEN(INDEX('Licences'!$Q$4:$Q$503,_calc!$E$288))=0,"",INDEX('Licences'!$Q$4:$Q$503,_calc!$E$288)))</f>
        <v/>
      </c>
      <c r="H286" s="44">
        <f>IF(_calc!$E$288="","",IF(LEN(INDEX('Licences'!$O$4:$O$503,_calc!$E$288))=0,"",INDEX('Licences'!$O$4:$O$503,_calc!$E$288)))</f>
        <v/>
      </c>
      <c r="I286" s="44">
        <f>IF(_calc!$E$288="","",IF(LEN(INDEX('Licences'!$P$4:$P$503,_calc!$E$288))=0,"",INDEX('Licences'!$P$4:$P$503,_calc!$E$288)))</f>
        <v/>
      </c>
      <c r="K286" s="44">
        <f>IF(_calc!$E$288="","",IF(LEN(INDEX('Licences'!$G$4:$G$503,_calc!$E$288))=0,"",INDEX('Licences'!$G$4:$G$503,_calc!$E$288)))</f>
        <v/>
      </c>
    </row>
    <row r="287">
      <c r="A287" s="44">
        <f>IF(_calc!$E$289="","",IF(LEN(INDEX('Licences'!$A$4:$A$503,_calc!$E$289))=0,"",INDEX('Licences'!$A$4:$A$503,_calc!$E$289)))</f>
        <v/>
      </c>
      <c r="B287" s="44">
        <f>IF(_calc!$E$289="","",IF(ISNUMBER(INDEX('Licences'!$J$4:$J$503,_calc!$E$289)),TEXT(INDEX('Licences'!$J$4:$J$503,_calc!$E$289),"yyyy-mm-dd"),""))</f>
        <v/>
      </c>
      <c r="C287" s="44">
        <f>IF(_calc!$E$289="","",IF(LEN(INDEX('Licences'!$B$4:$B$503,_calc!$E$289))=0,"",INDEX('Licences'!$B$4:$B$503,_calc!$E$289)))</f>
        <v/>
      </c>
      <c r="D287" s="44">
        <f>IF(_calc!$E$289="","",IF(ISNUMBER(INDEX('Licences'!$I$4:$I$503,_calc!$E$289)),TEXT(INDEX('Licences'!$I$4:$I$503,_calc!$E$289),"yyyy-mm-dd"),""))</f>
        <v/>
      </c>
      <c r="E287" s="44">
        <f>IF(_calc!$E$289="","",IF(LEN(INDEX('Licences'!$H$4:$H$503,_calc!$E$289))=0,"",INDEX('Licences'!$H$4:$H$503,_calc!$E$289)))</f>
        <v/>
      </c>
      <c r="F287" s="44">
        <f>IF(_calc!$E$289="","",TRIM(IF(LEN(IF(LEN(INDEX('Licences'!$D$4:$D$503,_calc!$E$289))=0,"",INDEX('Licences'!$D$4:$D$503,_calc!$E$289)))=0,"","Ref: "&amp;IF(LEN(INDEX('Licences'!$D$4:$D$503,_calc!$E$289))=0,"",INDEX('Licences'!$D$4:$D$503,_calc!$E$289))&amp;". ")&amp;IF(LEN(IF(LEN(INDEX('Licences'!$C$4:$C$503,_calc!$E$289))=0,"",INDEX('Licences'!$C$4:$C$503,_calc!$E$289)))=0,"","Issuer: "&amp;IF(LEN(INDEX('Licences'!$C$4:$C$503,_calc!$E$289))=0,"",INDEX('Licences'!$C$4:$C$503,_calc!$E$289))&amp;". ")&amp;IF(LEN(IF(LEN(INDEX('Licences'!$E$4:$E$503,_calc!$E$289))=0,"",INDEX('Licences'!$E$4:$E$503,_calc!$E$289)))=0,"","Site: "&amp;IF(LEN(INDEX('Licences'!$E$4:$E$503,_calc!$E$289))=0,"",INDEX('Licences'!$E$4:$E$503,_calc!$E$289))&amp;". ")&amp;IF(LEN(IF(LEN(INDEX('Licences'!$F$4:$F$503,_calc!$E$289))=0,"",INDEX('Licences'!$F$4:$F$503,_calc!$E$289)))=0,"","Owner: "&amp;IF(LEN(INDEX('Licences'!$F$4:$F$503,_calc!$E$289))=0,"",INDEX('Licences'!$F$4:$F$503,_calc!$E$289))&amp;". ")&amp;IF(LEN(IF(LEN(INDEX('Licences'!$R$4:$R$503,_calc!$E$289))=0,"",INDEX('Licences'!$R$4:$R$503,_calc!$E$289)))=0,"",IF(LEN(INDEX('Licences'!$R$4:$R$503,_calc!$E$289))=0,"",INDEX('Licences'!$R$4:$R$503,_calc!$E$289)))))</f>
        <v/>
      </c>
      <c r="G287" s="44">
        <f>IF(_calc!$E$289="","",IF(LEN(INDEX('Licences'!$Q$4:$Q$503,_calc!$E$289))=0,"",INDEX('Licences'!$Q$4:$Q$503,_calc!$E$289)))</f>
        <v/>
      </c>
      <c r="H287" s="44">
        <f>IF(_calc!$E$289="","",IF(LEN(INDEX('Licences'!$O$4:$O$503,_calc!$E$289))=0,"",INDEX('Licences'!$O$4:$O$503,_calc!$E$289)))</f>
        <v/>
      </c>
      <c r="I287" s="44">
        <f>IF(_calc!$E$289="","",IF(LEN(INDEX('Licences'!$P$4:$P$503,_calc!$E$289))=0,"",INDEX('Licences'!$P$4:$P$503,_calc!$E$289)))</f>
        <v/>
      </c>
      <c r="K287" s="44">
        <f>IF(_calc!$E$289="","",IF(LEN(INDEX('Licences'!$G$4:$G$503,_calc!$E$289))=0,"",INDEX('Licences'!$G$4:$G$503,_calc!$E$289)))</f>
        <v/>
      </c>
    </row>
    <row r="288">
      <c r="A288" s="44">
        <f>IF(_calc!$E$290="","",IF(LEN(INDEX('Licences'!$A$4:$A$503,_calc!$E$290))=0,"",INDEX('Licences'!$A$4:$A$503,_calc!$E$290)))</f>
        <v/>
      </c>
      <c r="B288" s="44">
        <f>IF(_calc!$E$290="","",IF(ISNUMBER(INDEX('Licences'!$J$4:$J$503,_calc!$E$290)),TEXT(INDEX('Licences'!$J$4:$J$503,_calc!$E$290),"yyyy-mm-dd"),""))</f>
        <v/>
      </c>
      <c r="C288" s="44">
        <f>IF(_calc!$E$290="","",IF(LEN(INDEX('Licences'!$B$4:$B$503,_calc!$E$290))=0,"",INDEX('Licences'!$B$4:$B$503,_calc!$E$290)))</f>
        <v/>
      </c>
      <c r="D288" s="44">
        <f>IF(_calc!$E$290="","",IF(ISNUMBER(INDEX('Licences'!$I$4:$I$503,_calc!$E$290)),TEXT(INDEX('Licences'!$I$4:$I$503,_calc!$E$290),"yyyy-mm-dd"),""))</f>
        <v/>
      </c>
      <c r="E288" s="44">
        <f>IF(_calc!$E$290="","",IF(LEN(INDEX('Licences'!$H$4:$H$503,_calc!$E$290))=0,"",INDEX('Licences'!$H$4:$H$503,_calc!$E$290)))</f>
        <v/>
      </c>
      <c r="F288" s="44">
        <f>IF(_calc!$E$290="","",TRIM(IF(LEN(IF(LEN(INDEX('Licences'!$D$4:$D$503,_calc!$E$290))=0,"",INDEX('Licences'!$D$4:$D$503,_calc!$E$290)))=0,"","Ref: "&amp;IF(LEN(INDEX('Licences'!$D$4:$D$503,_calc!$E$290))=0,"",INDEX('Licences'!$D$4:$D$503,_calc!$E$290))&amp;". ")&amp;IF(LEN(IF(LEN(INDEX('Licences'!$C$4:$C$503,_calc!$E$290))=0,"",INDEX('Licences'!$C$4:$C$503,_calc!$E$290)))=0,"","Issuer: "&amp;IF(LEN(INDEX('Licences'!$C$4:$C$503,_calc!$E$290))=0,"",INDEX('Licences'!$C$4:$C$503,_calc!$E$290))&amp;". ")&amp;IF(LEN(IF(LEN(INDEX('Licences'!$E$4:$E$503,_calc!$E$290))=0,"",INDEX('Licences'!$E$4:$E$503,_calc!$E$290)))=0,"","Site: "&amp;IF(LEN(INDEX('Licences'!$E$4:$E$503,_calc!$E$290))=0,"",INDEX('Licences'!$E$4:$E$503,_calc!$E$290))&amp;". ")&amp;IF(LEN(IF(LEN(INDEX('Licences'!$F$4:$F$503,_calc!$E$290))=0,"",INDEX('Licences'!$F$4:$F$503,_calc!$E$290)))=0,"","Owner: "&amp;IF(LEN(INDEX('Licences'!$F$4:$F$503,_calc!$E$290))=0,"",INDEX('Licences'!$F$4:$F$503,_calc!$E$290))&amp;". ")&amp;IF(LEN(IF(LEN(INDEX('Licences'!$R$4:$R$503,_calc!$E$290))=0,"",INDEX('Licences'!$R$4:$R$503,_calc!$E$290)))=0,"",IF(LEN(INDEX('Licences'!$R$4:$R$503,_calc!$E$290))=0,"",INDEX('Licences'!$R$4:$R$503,_calc!$E$290)))))</f>
        <v/>
      </c>
      <c r="G288" s="44">
        <f>IF(_calc!$E$290="","",IF(LEN(INDEX('Licences'!$Q$4:$Q$503,_calc!$E$290))=0,"",INDEX('Licences'!$Q$4:$Q$503,_calc!$E$290)))</f>
        <v/>
      </c>
      <c r="H288" s="44">
        <f>IF(_calc!$E$290="","",IF(LEN(INDEX('Licences'!$O$4:$O$503,_calc!$E$290))=0,"",INDEX('Licences'!$O$4:$O$503,_calc!$E$290)))</f>
        <v/>
      </c>
      <c r="I288" s="44">
        <f>IF(_calc!$E$290="","",IF(LEN(INDEX('Licences'!$P$4:$P$503,_calc!$E$290))=0,"",INDEX('Licences'!$P$4:$P$503,_calc!$E$290)))</f>
        <v/>
      </c>
      <c r="K288" s="44">
        <f>IF(_calc!$E$290="","",IF(LEN(INDEX('Licences'!$G$4:$G$503,_calc!$E$290))=0,"",INDEX('Licences'!$G$4:$G$503,_calc!$E$290)))</f>
        <v/>
      </c>
    </row>
    <row r="289">
      <c r="A289" s="44">
        <f>IF(_calc!$E$291="","",IF(LEN(INDEX('Licences'!$A$4:$A$503,_calc!$E$291))=0,"",INDEX('Licences'!$A$4:$A$503,_calc!$E$291)))</f>
        <v/>
      </c>
      <c r="B289" s="44">
        <f>IF(_calc!$E$291="","",IF(ISNUMBER(INDEX('Licences'!$J$4:$J$503,_calc!$E$291)),TEXT(INDEX('Licences'!$J$4:$J$503,_calc!$E$291),"yyyy-mm-dd"),""))</f>
        <v/>
      </c>
      <c r="C289" s="44">
        <f>IF(_calc!$E$291="","",IF(LEN(INDEX('Licences'!$B$4:$B$503,_calc!$E$291))=0,"",INDEX('Licences'!$B$4:$B$503,_calc!$E$291)))</f>
        <v/>
      </c>
      <c r="D289" s="44">
        <f>IF(_calc!$E$291="","",IF(ISNUMBER(INDEX('Licences'!$I$4:$I$503,_calc!$E$291)),TEXT(INDEX('Licences'!$I$4:$I$503,_calc!$E$291),"yyyy-mm-dd"),""))</f>
        <v/>
      </c>
      <c r="E289" s="44">
        <f>IF(_calc!$E$291="","",IF(LEN(INDEX('Licences'!$H$4:$H$503,_calc!$E$291))=0,"",INDEX('Licences'!$H$4:$H$503,_calc!$E$291)))</f>
        <v/>
      </c>
      <c r="F289" s="44">
        <f>IF(_calc!$E$291="","",TRIM(IF(LEN(IF(LEN(INDEX('Licences'!$D$4:$D$503,_calc!$E$291))=0,"",INDEX('Licences'!$D$4:$D$503,_calc!$E$291)))=0,"","Ref: "&amp;IF(LEN(INDEX('Licences'!$D$4:$D$503,_calc!$E$291))=0,"",INDEX('Licences'!$D$4:$D$503,_calc!$E$291))&amp;". ")&amp;IF(LEN(IF(LEN(INDEX('Licences'!$C$4:$C$503,_calc!$E$291))=0,"",INDEX('Licences'!$C$4:$C$503,_calc!$E$291)))=0,"","Issuer: "&amp;IF(LEN(INDEX('Licences'!$C$4:$C$503,_calc!$E$291))=0,"",INDEX('Licences'!$C$4:$C$503,_calc!$E$291))&amp;". ")&amp;IF(LEN(IF(LEN(INDEX('Licences'!$E$4:$E$503,_calc!$E$291))=0,"",INDEX('Licences'!$E$4:$E$503,_calc!$E$291)))=0,"","Site: "&amp;IF(LEN(INDEX('Licences'!$E$4:$E$503,_calc!$E$291))=0,"",INDEX('Licences'!$E$4:$E$503,_calc!$E$291))&amp;". ")&amp;IF(LEN(IF(LEN(INDEX('Licences'!$F$4:$F$503,_calc!$E$291))=0,"",INDEX('Licences'!$F$4:$F$503,_calc!$E$291)))=0,"","Owner: "&amp;IF(LEN(INDEX('Licences'!$F$4:$F$503,_calc!$E$291))=0,"",INDEX('Licences'!$F$4:$F$503,_calc!$E$291))&amp;". ")&amp;IF(LEN(IF(LEN(INDEX('Licences'!$R$4:$R$503,_calc!$E$291))=0,"",INDEX('Licences'!$R$4:$R$503,_calc!$E$291)))=0,"",IF(LEN(INDEX('Licences'!$R$4:$R$503,_calc!$E$291))=0,"",INDEX('Licences'!$R$4:$R$503,_calc!$E$291)))))</f>
        <v/>
      </c>
      <c r="G289" s="44">
        <f>IF(_calc!$E$291="","",IF(LEN(INDEX('Licences'!$Q$4:$Q$503,_calc!$E$291))=0,"",INDEX('Licences'!$Q$4:$Q$503,_calc!$E$291)))</f>
        <v/>
      </c>
      <c r="H289" s="44">
        <f>IF(_calc!$E$291="","",IF(LEN(INDEX('Licences'!$O$4:$O$503,_calc!$E$291))=0,"",INDEX('Licences'!$O$4:$O$503,_calc!$E$291)))</f>
        <v/>
      </c>
      <c r="I289" s="44">
        <f>IF(_calc!$E$291="","",IF(LEN(INDEX('Licences'!$P$4:$P$503,_calc!$E$291))=0,"",INDEX('Licences'!$P$4:$P$503,_calc!$E$291)))</f>
        <v/>
      </c>
      <c r="K289" s="44">
        <f>IF(_calc!$E$291="","",IF(LEN(INDEX('Licences'!$G$4:$G$503,_calc!$E$291))=0,"",INDEX('Licences'!$G$4:$G$503,_calc!$E$291)))</f>
        <v/>
      </c>
    </row>
    <row r="290">
      <c r="A290" s="44">
        <f>IF(_calc!$E$292="","",IF(LEN(INDEX('Licences'!$A$4:$A$503,_calc!$E$292))=0,"",INDEX('Licences'!$A$4:$A$503,_calc!$E$292)))</f>
        <v/>
      </c>
      <c r="B290" s="44">
        <f>IF(_calc!$E$292="","",IF(ISNUMBER(INDEX('Licences'!$J$4:$J$503,_calc!$E$292)),TEXT(INDEX('Licences'!$J$4:$J$503,_calc!$E$292),"yyyy-mm-dd"),""))</f>
        <v/>
      </c>
      <c r="C290" s="44">
        <f>IF(_calc!$E$292="","",IF(LEN(INDEX('Licences'!$B$4:$B$503,_calc!$E$292))=0,"",INDEX('Licences'!$B$4:$B$503,_calc!$E$292)))</f>
        <v/>
      </c>
      <c r="D290" s="44">
        <f>IF(_calc!$E$292="","",IF(ISNUMBER(INDEX('Licences'!$I$4:$I$503,_calc!$E$292)),TEXT(INDEX('Licences'!$I$4:$I$503,_calc!$E$292),"yyyy-mm-dd"),""))</f>
        <v/>
      </c>
      <c r="E290" s="44">
        <f>IF(_calc!$E$292="","",IF(LEN(INDEX('Licences'!$H$4:$H$503,_calc!$E$292))=0,"",INDEX('Licences'!$H$4:$H$503,_calc!$E$292)))</f>
        <v/>
      </c>
      <c r="F290" s="44">
        <f>IF(_calc!$E$292="","",TRIM(IF(LEN(IF(LEN(INDEX('Licences'!$D$4:$D$503,_calc!$E$292))=0,"",INDEX('Licences'!$D$4:$D$503,_calc!$E$292)))=0,"","Ref: "&amp;IF(LEN(INDEX('Licences'!$D$4:$D$503,_calc!$E$292))=0,"",INDEX('Licences'!$D$4:$D$503,_calc!$E$292))&amp;". ")&amp;IF(LEN(IF(LEN(INDEX('Licences'!$C$4:$C$503,_calc!$E$292))=0,"",INDEX('Licences'!$C$4:$C$503,_calc!$E$292)))=0,"","Issuer: "&amp;IF(LEN(INDEX('Licences'!$C$4:$C$503,_calc!$E$292))=0,"",INDEX('Licences'!$C$4:$C$503,_calc!$E$292))&amp;". ")&amp;IF(LEN(IF(LEN(INDEX('Licences'!$E$4:$E$503,_calc!$E$292))=0,"",INDEX('Licences'!$E$4:$E$503,_calc!$E$292)))=0,"","Site: "&amp;IF(LEN(INDEX('Licences'!$E$4:$E$503,_calc!$E$292))=0,"",INDEX('Licences'!$E$4:$E$503,_calc!$E$292))&amp;". ")&amp;IF(LEN(IF(LEN(INDEX('Licences'!$F$4:$F$503,_calc!$E$292))=0,"",INDEX('Licences'!$F$4:$F$503,_calc!$E$292)))=0,"","Owner: "&amp;IF(LEN(INDEX('Licences'!$F$4:$F$503,_calc!$E$292))=0,"",INDEX('Licences'!$F$4:$F$503,_calc!$E$292))&amp;". ")&amp;IF(LEN(IF(LEN(INDEX('Licences'!$R$4:$R$503,_calc!$E$292))=0,"",INDEX('Licences'!$R$4:$R$503,_calc!$E$292)))=0,"",IF(LEN(INDEX('Licences'!$R$4:$R$503,_calc!$E$292))=0,"",INDEX('Licences'!$R$4:$R$503,_calc!$E$292)))))</f>
        <v/>
      </c>
      <c r="G290" s="44">
        <f>IF(_calc!$E$292="","",IF(LEN(INDEX('Licences'!$Q$4:$Q$503,_calc!$E$292))=0,"",INDEX('Licences'!$Q$4:$Q$503,_calc!$E$292)))</f>
        <v/>
      </c>
      <c r="H290" s="44">
        <f>IF(_calc!$E$292="","",IF(LEN(INDEX('Licences'!$O$4:$O$503,_calc!$E$292))=0,"",INDEX('Licences'!$O$4:$O$503,_calc!$E$292)))</f>
        <v/>
      </c>
      <c r="I290" s="44">
        <f>IF(_calc!$E$292="","",IF(LEN(INDEX('Licences'!$P$4:$P$503,_calc!$E$292))=0,"",INDEX('Licences'!$P$4:$P$503,_calc!$E$292)))</f>
        <v/>
      </c>
      <c r="K290" s="44">
        <f>IF(_calc!$E$292="","",IF(LEN(INDEX('Licences'!$G$4:$G$503,_calc!$E$292))=0,"",INDEX('Licences'!$G$4:$G$503,_calc!$E$292)))</f>
        <v/>
      </c>
    </row>
    <row r="291">
      <c r="A291" s="44">
        <f>IF(_calc!$E$293="","",IF(LEN(INDEX('Licences'!$A$4:$A$503,_calc!$E$293))=0,"",INDEX('Licences'!$A$4:$A$503,_calc!$E$293)))</f>
        <v/>
      </c>
      <c r="B291" s="44">
        <f>IF(_calc!$E$293="","",IF(ISNUMBER(INDEX('Licences'!$J$4:$J$503,_calc!$E$293)),TEXT(INDEX('Licences'!$J$4:$J$503,_calc!$E$293),"yyyy-mm-dd"),""))</f>
        <v/>
      </c>
      <c r="C291" s="44">
        <f>IF(_calc!$E$293="","",IF(LEN(INDEX('Licences'!$B$4:$B$503,_calc!$E$293))=0,"",INDEX('Licences'!$B$4:$B$503,_calc!$E$293)))</f>
        <v/>
      </c>
      <c r="D291" s="44">
        <f>IF(_calc!$E$293="","",IF(ISNUMBER(INDEX('Licences'!$I$4:$I$503,_calc!$E$293)),TEXT(INDEX('Licences'!$I$4:$I$503,_calc!$E$293),"yyyy-mm-dd"),""))</f>
        <v/>
      </c>
      <c r="E291" s="44">
        <f>IF(_calc!$E$293="","",IF(LEN(INDEX('Licences'!$H$4:$H$503,_calc!$E$293))=0,"",INDEX('Licences'!$H$4:$H$503,_calc!$E$293)))</f>
        <v/>
      </c>
      <c r="F291" s="44">
        <f>IF(_calc!$E$293="","",TRIM(IF(LEN(IF(LEN(INDEX('Licences'!$D$4:$D$503,_calc!$E$293))=0,"",INDEX('Licences'!$D$4:$D$503,_calc!$E$293)))=0,"","Ref: "&amp;IF(LEN(INDEX('Licences'!$D$4:$D$503,_calc!$E$293))=0,"",INDEX('Licences'!$D$4:$D$503,_calc!$E$293))&amp;". ")&amp;IF(LEN(IF(LEN(INDEX('Licences'!$C$4:$C$503,_calc!$E$293))=0,"",INDEX('Licences'!$C$4:$C$503,_calc!$E$293)))=0,"","Issuer: "&amp;IF(LEN(INDEX('Licences'!$C$4:$C$503,_calc!$E$293))=0,"",INDEX('Licences'!$C$4:$C$503,_calc!$E$293))&amp;". ")&amp;IF(LEN(IF(LEN(INDEX('Licences'!$E$4:$E$503,_calc!$E$293))=0,"",INDEX('Licences'!$E$4:$E$503,_calc!$E$293)))=0,"","Site: "&amp;IF(LEN(INDEX('Licences'!$E$4:$E$503,_calc!$E$293))=0,"",INDEX('Licences'!$E$4:$E$503,_calc!$E$293))&amp;". ")&amp;IF(LEN(IF(LEN(INDEX('Licences'!$F$4:$F$503,_calc!$E$293))=0,"",INDEX('Licences'!$F$4:$F$503,_calc!$E$293)))=0,"","Owner: "&amp;IF(LEN(INDEX('Licences'!$F$4:$F$503,_calc!$E$293))=0,"",INDEX('Licences'!$F$4:$F$503,_calc!$E$293))&amp;". ")&amp;IF(LEN(IF(LEN(INDEX('Licences'!$R$4:$R$503,_calc!$E$293))=0,"",INDEX('Licences'!$R$4:$R$503,_calc!$E$293)))=0,"",IF(LEN(INDEX('Licences'!$R$4:$R$503,_calc!$E$293))=0,"",INDEX('Licences'!$R$4:$R$503,_calc!$E$293)))))</f>
        <v/>
      </c>
      <c r="G291" s="44">
        <f>IF(_calc!$E$293="","",IF(LEN(INDEX('Licences'!$Q$4:$Q$503,_calc!$E$293))=0,"",INDEX('Licences'!$Q$4:$Q$503,_calc!$E$293)))</f>
        <v/>
      </c>
      <c r="H291" s="44">
        <f>IF(_calc!$E$293="","",IF(LEN(INDEX('Licences'!$O$4:$O$503,_calc!$E$293))=0,"",INDEX('Licences'!$O$4:$O$503,_calc!$E$293)))</f>
        <v/>
      </c>
      <c r="I291" s="44">
        <f>IF(_calc!$E$293="","",IF(LEN(INDEX('Licences'!$P$4:$P$503,_calc!$E$293))=0,"",INDEX('Licences'!$P$4:$P$503,_calc!$E$293)))</f>
        <v/>
      </c>
      <c r="K291" s="44">
        <f>IF(_calc!$E$293="","",IF(LEN(INDEX('Licences'!$G$4:$G$503,_calc!$E$293))=0,"",INDEX('Licences'!$G$4:$G$503,_calc!$E$293)))</f>
        <v/>
      </c>
    </row>
    <row r="292">
      <c r="A292" s="44">
        <f>IF(_calc!$E$294="","",IF(LEN(INDEX('Licences'!$A$4:$A$503,_calc!$E$294))=0,"",INDEX('Licences'!$A$4:$A$503,_calc!$E$294)))</f>
        <v/>
      </c>
      <c r="B292" s="44">
        <f>IF(_calc!$E$294="","",IF(ISNUMBER(INDEX('Licences'!$J$4:$J$503,_calc!$E$294)),TEXT(INDEX('Licences'!$J$4:$J$503,_calc!$E$294),"yyyy-mm-dd"),""))</f>
        <v/>
      </c>
      <c r="C292" s="44">
        <f>IF(_calc!$E$294="","",IF(LEN(INDEX('Licences'!$B$4:$B$503,_calc!$E$294))=0,"",INDEX('Licences'!$B$4:$B$503,_calc!$E$294)))</f>
        <v/>
      </c>
      <c r="D292" s="44">
        <f>IF(_calc!$E$294="","",IF(ISNUMBER(INDEX('Licences'!$I$4:$I$503,_calc!$E$294)),TEXT(INDEX('Licences'!$I$4:$I$503,_calc!$E$294),"yyyy-mm-dd"),""))</f>
        <v/>
      </c>
      <c r="E292" s="44">
        <f>IF(_calc!$E$294="","",IF(LEN(INDEX('Licences'!$H$4:$H$503,_calc!$E$294))=0,"",INDEX('Licences'!$H$4:$H$503,_calc!$E$294)))</f>
        <v/>
      </c>
      <c r="F292" s="44">
        <f>IF(_calc!$E$294="","",TRIM(IF(LEN(IF(LEN(INDEX('Licences'!$D$4:$D$503,_calc!$E$294))=0,"",INDEX('Licences'!$D$4:$D$503,_calc!$E$294)))=0,"","Ref: "&amp;IF(LEN(INDEX('Licences'!$D$4:$D$503,_calc!$E$294))=0,"",INDEX('Licences'!$D$4:$D$503,_calc!$E$294))&amp;". ")&amp;IF(LEN(IF(LEN(INDEX('Licences'!$C$4:$C$503,_calc!$E$294))=0,"",INDEX('Licences'!$C$4:$C$503,_calc!$E$294)))=0,"","Issuer: "&amp;IF(LEN(INDEX('Licences'!$C$4:$C$503,_calc!$E$294))=0,"",INDEX('Licences'!$C$4:$C$503,_calc!$E$294))&amp;". ")&amp;IF(LEN(IF(LEN(INDEX('Licences'!$E$4:$E$503,_calc!$E$294))=0,"",INDEX('Licences'!$E$4:$E$503,_calc!$E$294)))=0,"","Site: "&amp;IF(LEN(INDEX('Licences'!$E$4:$E$503,_calc!$E$294))=0,"",INDEX('Licences'!$E$4:$E$503,_calc!$E$294))&amp;". ")&amp;IF(LEN(IF(LEN(INDEX('Licences'!$F$4:$F$503,_calc!$E$294))=0,"",INDEX('Licences'!$F$4:$F$503,_calc!$E$294)))=0,"","Owner: "&amp;IF(LEN(INDEX('Licences'!$F$4:$F$503,_calc!$E$294))=0,"",INDEX('Licences'!$F$4:$F$503,_calc!$E$294))&amp;". ")&amp;IF(LEN(IF(LEN(INDEX('Licences'!$R$4:$R$503,_calc!$E$294))=0,"",INDEX('Licences'!$R$4:$R$503,_calc!$E$294)))=0,"",IF(LEN(INDEX('Licences'!$R$4:$R$503,_calc!$E$294))=0,"",INDEX('Licences'!$R$4:$R$503,_calc!$E$294)))))</f>
        <v/>
      </c>
      <c r="G292" s="44">
        <f>IF(_calc!$E$294="","",IF(LEN(INDEX('Licences'!$Q$4:$Q$503,_calc!$E$294))=0,"",INDEX('Licences'!$Q$4:$Q$503,_calc!$E$294)))</f>
        <v/>
      </c>
      <c r="H292" s="44">
        <f>IF(_calc!$E$294="","",IF(LEN(INDEX('Licences'!$O$4:$O$503,_calc!$E$294))=0,"",INDEX('Licences'!$O$4:$O$503,_calc!$E$294)))</f>
        <v/>
      </c>
      <c r="I292" s="44">
        <f>IF(_calc!$E$294="","",IF(LEN(INDEX('Licences'!$P$4:$P$503,_calc!$E$294))=0,"",INDEX('Licences'!$P$4:$P$503,_calc!$E$294)))</f>
        <v/>
      </c>
      <c r="K292" s="44">
        <f>IF(_calc!$E$294="","",IF(LEN(INDEX('Licences'!$G$4:$G$503,_calc!$E$294))=0,"",INDEX('Licences'!$G$4:$G$503,_calc!$E$294)))</f>
        <v/>
      </c>
    </row>
    <row r="293">
      <c r="A293" s="44">
        <f>IF(_calc!$E$295="","",IF(LEN(INDEX('Licences'!$A$4:$A$503,_calc!$E$295))=0,"",INDEX('Licences'!$A$4:$A$503,_calc!$E$295)))</f>
        <v/>
      </c>
      <c r="B293" s="44">
        <f>IF(_calc!$E$295="","",IF(ISNUMBER(INDEX('Licences'!$J$4:$J$503,_calc!$E$295)),TEXT(INDEX('Licences'!$J$4:$J$503,_calc!$E$295),"yyyy-mm-dd"),""))</f>
        <v/>
      </c>
      <c r="C293" s="44">
        <f>IF(_calc!$E$295="","",IF(LEN(INDEX('Licences'!$B$4:$B$503,_calc!$E$295))=0,"",INDEX('Licences'!$B$4:$B$503,_calc!$E$295)))</f>
        <v/>
      </c>
      <c r="D293" s="44">
        <f>IF(_calc!$E$295="","",IF(ISNUMBER(INDEX('Licences'!$I$4:$I$503,_calc!$E$295)),TEXT(INDEX('Licences'!$I$4:$I$503,_calc!$E$295),"yyyy-mm-dd"),""))</f>
        <v/>
      </c>
      <c r="E293" s="44">
        <f>IF(_calc!$E$295="","",IF(LEN(INDEX('Licences'!$H$4:$H$503,_calc!$E$295))=0,"",INDEX('Licences'!$H$4:$H$503,_calc!$E$295)))</f>
        <v/>
      </c>
      <c r="F293" s="44">
        <f>IF(_calc!$E$295="","",TRIM(IF(LEN(IF(LEN(INDEX('Licences'!$D$4:$D$503,_calc!$E$295))=0,"",INDEX('Licences'!$D$4:$D$503,_calc!$E$295)))=0,"","Ref: "&amp;IF(LEN(INDEX('Licences'!$D$4:$D$503,_calc!$E$295))=0,"",INDEX('Licences'!$D$4:$D$503,_calc!$E$295))&amp;". ")&amp;IF(LEN(IF(LEN(INDEX('Licences'!$C$4:$C$503,_calc!$E$295))=0,"",INDEX('Licences'!$C$4:$C$503,_calc!$E$295)))=0,"","Issuer: "&amp;IF(LEN(INDEX('Licences'!$C$4:$C$503,_calc!$E$295))=0,"",INDEX('Licences'!$C$4:$C$503,_calc!$E$295))&amp;". ")&amp;IF(LEN(IF(LEN(INDEX('Licences'!$E$4:$E$503,_calc!$E$295))=0,"",INDEX('Licences'!$E$4:$E$503,_calc!$E$295)))=0,"","Site: "&amp;IF(LEN(INDEX('Licences'!$E$4:$E$503,_calc!$E$295))=0,"",INDEX('Licences'!$E$4:$E$503,_calc!$E$295))&amp;". ")&amp;IF(LEN(IF(LEN(INDEX('Licences'!$F$4:$F$503,_calc!$E$295))=0,"",INDEX('Licences'!$F$4:$F$503,_calc!$E$295)))=0,"","Owner: "&amp;IF(LEN(INDEX('Licences'!$F$4:$F$503,_calc!$E$295))=0,"",INDEX('Licences'!$F$4:$F$503,_calc!$E$295))&amp;". ")&amp;IF(LEN(IF(LEN(INDEX('Licences'!$R$4:$R$503,_calc!$E$295))=0,"",INDEX('Licences'!$R$4:$R$503,_calc!$E$295)))=0,"",IF(LEN(INDEX('Licences'!$R$4:$R$503,_calc!$E$295))=0,"",INDEX('Licences'!$R$4:$R$503,_calc!$E$295)))))</f>
        <v/>
      </c>
      <c r="G293" s="44">
        <f>IF(_calc!$E$295="","",IF(LEN(INDEX('Licences'!$Q$4:$Q$503,_calc!$E$295))=0,"",INDEX('Licences'!$Q$4:$Q$503,_calc!$E$295)))</f>
        <v/>
      </c>
      <c r="H293" s="44">
        <f>IF(_calc!$E$295="","",IF(LEN(INDEX('Licences'!$O$4:$O$503,_calc!$E$295))=0,"",INDEX('Licences'!$O$4:$O$503,_calc!$E$295)))</f>
        <v/>
      </c>
      <c r="I293" s="44">
        <f>IF(_calc!$E$295="","",IF(LEN(INDEX('Licences'!$P$4:$P$503,_calc!$E$295))=0,"",INDEX('Licences'!$P$4:$P$503,_calc!$E$295)))</f>
        <v/>
      </c>
      <c r="K293" s="44">
        <f>IF(_calc!$E$295="","",IF(LEN(INDEX('Licences'!$G$4:$G$503,_calc!$E$295))=0,"",INDEX('Licences'!$G$4:$G$503,_calc!$E$295)))</f>
        <v/>
      </c>
    </row>
    <row r="294">
      <c r="A294" s="44">
        <f>IF(_calc!$E$296="","",IF(LEN(INDEX('Licences'!$A$4:$A$503,_calc!$E$296))=0,"",INDEX('Licences'!$A$4:$A$503,_calc!$E$296)))</f>
        <v/>
      </c>
      <c r="B294" s="44">
        <f>IF(_calc!$E$296="","",IF(ISNUMBER(INDEX('Licences'!$J$4:$J$503,_calc!$E$296)),TEXT(INDEX('Licences'!$J$4:$J$503,_calc!$E$296),"yyyy-mm-dd"),""))</f>
        <v/>
      </c>
      <c r="C294" s="44">
        <f>IF(_calc!$E$296="","",IF(LEN(INDEX('Licences'!$B$4:$B$503,_calc!$E$296))=0,"",INDEX('Licences'!$B$4:$B$503,_calc!$E$296)))</f>
        <v/>
      </c>
      <c r="D294" s="44">
        <f>IF(_calc!$E$296="","",IF(ISNUMBER(INDEX('Licences'!$I$4:$I$503,_calc!$E$296)),TEXT(INDEX('Licences'!$I$4:$I$503,_calc!$E$296),"yyyy-mm-dd"),""))</f>
        <v/>
      </c>
      <c r="E294" s="44">
        <f>IF(_calc!$E$296="","",IF(LEN(INDEX('Licences'!$H$4:$H$503,_calc!$E$296))=0,"",INDEX('Licences'!$H$4:$H$503,_calc!$E$296)))</f>
        <v/>
      </c>
      <c r="F294" s="44">
        <f>IF(_calc!$E$296="","",TRIM(IF(LEN(IF(LEN(INDEX('Licences'!$D$4:$D$503,_calc!$E$296))=0,"",INDEX('Licences'!$D$4:$D$503,_calc!$E$296)))=0,"","Ref: "&amp;IF(LEN(INDEX('Licences'!$D$4:$D$503,_calc!$E$296))=0,"",INDEX('Licences'!$D$4:$D$503,_calc!$E$296))&amp;". ")&amp;IF(LEN(IF(LEN(INDEX('Licences'!$C$4:$C$503,_calc!$E$296))=0,"",INDEX('Licences'!$C$4:$C$503,_calc!$E$296)))=0,"","Issuer: "&amp;IF(LEN(INDEX('Licences'!$C$4:$C$503,_calc!$E$296))=0,"",INDEX('Licences'!$C$4:$C$503,_calc!$E$296))&amp;". ")&amp;IF(LEN(IF(LEN(INDEX('Licences'!$E$4:$E$503,_calc!$E$296))=0,"",INDEX('Licences'!$E$4:$E$503,_calc!$E$296)))=0,"","Site: "&amp;IF(LEN(INDEX('Licences'!$E$4:$E$503,_calc!$E$296))=0,"",INDEX('Licences'!$E$4:$E$503,_calc!$E$296))&amp;". ")&amp;IF(LEN(IF(LEN(INDEX('Licences'!$F$4:$F$503,_calc!$E$296))=0,"",INDEX('Licences'!$F$4:$F$503,_calc!$E$296)))=0,"","Owner: "&amp;IF(LEN(INDEX('Licences'!$F$4:$F$503,_calc!$E$296))=0,"",INDEX('Licences'!$F$4:$F$503,_calc!$E$296))&amp;". ")&amp;IF(LEN(IF(LEN(INDEX('Licences'!$R$4:$R$503,_calc!$E$296))=0,"",INDEX('Licences'!$R$4:$R$503,_calc!$E$296)))=0,"",IF(LEN(INDEX('Licences'!$R$4:$R$503,_calc!$E$296))=0,"",INDEX('Licences'!$R$4:$R$503,_calc!$E$296)))))</f>
        <v/>
      </c>
      <c r="G294" s="44">
        <f>IF(_calc!$E$296="","",IF(LEN(INDEX('Licences'!$Q$4:$Q$503,_calc!$E$296))=0,"",INDEX('Licences'!$Q$4:$Q$503,_calc!$E$296)))</f>
        <v/>
      </c>
      <c r="H294" s="44">
        <f>IF(_calc!$E$296="","",IF(LEN(INDEX('Licences'!$O$4:$O$503,_calc!$E$296))=0,"",INDEX('Licences'!$O$4:$O$503,_calc!$E$296)))</f>
        <v/>
      </c>
      <c r="I294" s="44">
        <f>IF(_calc!$E$296="","",IF(LEN(INDEX('Licences'!$P$4:$P$503,_calc!$E$296))=0,"",INDEX('Licences'!$P$4:$P$503,_calc!$E$296)))</f>
        <v/>
      </c>
      <c r="K294" s="44">
        <f>IF(_calc!$E$296="","",IF(LEN(INDEX('Licences'!$G$4:$G$503,_calc!$E$296))=0,"",INDEX('Licences'!$G$4:$G$503,_calc!$E$296)))</f>
        <v/>
      </c>
    </row>
    <row r="295">
      <c r="A295" s="44">
        <f>IF(_calc!$E$297="","",IF(LEN(INDEX('Licences'!$A$4:$A$503,_calc!$E$297))=0,"",INDEX('Licences'!$A$4:$A$503,_calc!$E$297)))</f>
        <v/>
      </c>
      <c r="B295" s="44">
        <f>IF(_calc!$E$297="","",IF(ISNUMBER(INDEX('Licences'!$J$4:$J$503,_calc!$E$297)),TEXT(INDEX('Licences'!$J$4:$J$503,_calc!$E$297),"yyyy-mm-dd"),""))</f>
        <v/>
      </c>
      <c r="C295" s="44">
        <f>IF(_calc!$E$297="","",IF(LEN(INDEX('Licences'!$B$4:$B$503,_calc!$E$297))=0,"",INDEX('Licences'!$B$4:$B$503,_calc!$E$297)))</f>
        <v/>
      </c>
      <c r="D295" s="44">
        <f>IF(_calc!$E$297="","",IF(ISNUMBER(INDEX('Licences'!$I$4:$I$503,_calc!$E$297)),TEXT(INDEX('Licences'!$I$4:$I$503,_calc!$E$297),"yyyy-mm-dd"),""))</f>
        <v/>
      </c>
      <c r="E295" s="44">
        <f>IF(_calc!$E$297="","",IF(LEN(INDEX('Licences'!$H$4:$H$503,_calc!$E$297))=0,"",INDEX('Licences'!$H$4:$H$503,_calc!$E$297)))</f>
        <v/>
      </c>
      <c r="F295" s="44">
        <f>IF(_calc!$E$297="","",TRIM(IF(LEN(IF(LEN(INDEX('Licences'!$D$4:$D$503,_calc!$E$297))=0,"",INDEX('Licences'!$D$4:$D$503,_calc!$E$297)))=0,"","Ref: "&amp;IF(LEN(INDEX('Licences'!$D$4:$D$503,_calc!$E$297))=0,"",INDEX('Licences'!$D$4:$D$503,_calc!$E$297))&amp;". ")&amp;IF(LEN(IF(LEN(INDEX('Licences'!$C$4:$C$503,_calc!$E$297))=0,"",INDEX('Licences'!$C$4:$C$503,_calc!$E$297)))=0,"","Issuer: "&amp;IF(LEN(INDEX('Licences'!$C$4:$C$503,_calc!$E$297))=0,"",INDEX('Licences'!$C$4:$C$503,_calc!$E$297))&amp;". ")&amp;IF(LEN(IF(LEN(INDEX('Licences'!$E$4:$E$503,_calc!$E$297))=0,"",INDEX('Licences'!$E$4:$E$503,_calc!$E$297)))=0,"","Site: "&amp;IF(LEN(INDEX('Licences'!$E$4:$E$503,_calc!$E$297))=0,"",INDEX('Licences'!$E$4:$E$503,_calc!$E$297))&amp;". ")&amp;IF(LEN(IF(LEN(INDEX('Licences'!$F$4:$F$503,_calc!$E$297))=0,"",INDEX('Licences'!$F$4:$F$503,_calc!$E$297)))=0,"","Owner: "&amp;IF(LEN(INDEX('Licences'!$F$4:$F$503,_calc!$E$297))=0,"",INDEX('Licences'!$F$4:$F$503,_calc!$E$297))&amp;". ")&amp;IF(LEN(IF(LEN(INDEX('Licences'!$R$4:$R$503,_calc!$E$297))=0,"",INDEX('Licences'!$R$4:$R$503,_calc!$E$297)))=0,"",IF(LEN(INDEX('Licences'!$R$4:$R$503,_calc!$E$297))=0,"",INDEX('Licences'!$R$4:$R$503,_calc!$E$297)))))</f>
        <v/>
      </c>
      <c r="G295" s="44">
        <f>IF(_calc!$E$297="","",IF(LEN(INDEX('Licences'!$Q$4:$Q$503,_calc!$E$297))=0,"",INDEX('Licences'!$Q$4:$Q$503,_calc!$E$297)))</f>
        <v/>
      </c>
      <c r="H295" s="44">
        <f>IF(_calc!$E$297="","",IF(LEN(INDEX('Licences'!$O$4:$O$503,_calc!$E$297))=0,"",INDEX('Licences'!$O$4:$O$503,_calc!$E$297)))</f>
        <v/>
      </c>
      <c r="I295" s="44">
        <f>IF(_calc!$E$297="","",IF(LEN(INDEX('Licences'!$P$4:$P$503,_calc!$E$297))=0,"",INDEX('Licences'!$P$4:$P$503,_calc!$E$297)))</f>
        <v/>
      </c>
      <c r="K295" s="44">
        <f>IF(_calc!$E$297="","",IF(LEN(INDEX('Licences'!$G$4:$G$503,_calc!$E$297))=0,"",INDEX('Licences'!$G$4:$G$503,_calc!$E$297)))</f>
        <v/>
      </c>
    </row>
    <row r="296">
      <c r="A296" s="44">
        <f>IF(_calc!$E$298="","",IF(LEN(INDEX('Licences'!$A$4:$A$503,_calc!$E$298))=0,"",INDEX('Licences'!$A$4:$A$503,_calc!$E$298)))</f>
        <v/>
      </c>
      <c r="B296" s="44">
        <f>IF(_calc!$E$298="","",IF(ISNUMBER(INDEX('Licences'!$J$4:$J$503,_calc!$E$298)),TEXT(INDEX('Licences'!$J$4:$J$503,_calc!$E$298),"yyyy-mm-dd"),""))</f>
        <v/>
      </c>
      <c r="C296" s="44">
        <f>IF(_calc!$E$298="","",IF(LEN(INDEX('Licences'!$B$4:$B$503,_calc!$E$298))=0,"",INDEX('Licences'!$B$4:$B$503,_calc!$E$298)))</f>
        <v/>
      </c>
      <c r="D296" s="44">
        <f>IF(_calc!$E$298="","",IF(ISNUMBER(INDEX('Licences'!$I$4:$I$503,_calc!$E$298)),TEXT(INDEX('Licences'!$I$4:$I$503,_calc!$E$298),"yyyy-mm-dd"),""))</f>
        <v/>
      </c>
      <c r="E296" s="44">
        <f>IF(_calc!$E$298="","",IF(LEN(INDEX('Licences'!$H$4:$H$503,_calc!$E$298))=0,"",INDEX('Licences'!$H$4:$H$503,_calc!$E$298)))</f>
        <v/>
      </c>
      <c r="F296" s="44">
        <f>IF(_calc!$E$298="","",TRIM(IF(LEN(IF(LEN(INDEX('Licences'!$D$4:$D$503,_calc!$E$298))=0,"",INDEX('Licences'!$D$4:$D$503,_calc!$E$298)))=0,"","Ref: "&amp;IF(LEN(INDEX('Licences'!$D$4:$D$503,_calc!$E$298))=0,"",INDEX('Licences'!$D$4:$D$503,_calc!$E$298))&amp;". ")&amp;IF(LEN(IF(LEN(INDEX('Licences'!$C$4:$C$503,_calc!$E$298))=0,"",INDEX('Licences'!$C$4:$C$503,_calc!$E$298)))=0,"","Issuer: "&amp;IF(LEN(INDEX('Licences'!$C$4:$C$503,_calc!$E$298))=0,"",INDEX('Licences'!$C$4:$C$503,_calc!$E$298))&amp;". ")&amp;IF(LEN(IF(LEN(INDEX('Licences'!$E$4:$E$503,_calc!$E$298))=0,"",INDEX('Licences'!$E$4:$E$503,_calc!$E$298)))=0,"","Site: "&amp;IF(LEN(INDEX('Licences'!$E$4:$E$503,_calc!$E$298))=0,"",INDEX('Licences'!$E$4:$E$503,_calc!$E$298))&amp;". ")&amp;IF(LEN(IF(LEN(INDEX('Licences'!$F$4:$F$503,_calc!$E$298))=0,"",INDEX('Licences'!$F$4:$F$503,_calc!$E$298)))=0,"","Owner: "&amp;IF(LEN(INDEX('Licences'!$F$4:$F$503,_calc!$E$298))=0,"",INDEX('Licences'!$F$4:$F$503,_calc!$E$298))&amp;". ")&amp;IF(LEN(IF(LEN(INDEX('Licences'!$R$4:$R$503,_calc!$E$298))=0,"",INDEX('Licences'!$R$4:$R$503,_calc!$E$298)))=0,"",IF(LEN(INDEX('Licences'!$R$4:$R$503,_calc!$E$298))=0,"",INDEX('Licences'!$R$4:$R$503,_calc!$E$298)))))</f>
        <v/>
      </c>
      <c r="G296" s="44">
        <f>IF(_calc!$E$298="","",IF(LEN(INDEX('Licences'!$Q$4:$Q$503,_calc!$E$298))=0,"",INDEX('Licences'!$Q$4:$Q$503,_calc!$E$298)))</f>
        <v/>
      </c>
      <c r="H296" s="44">
        <f>IF(_calc!$E$298="","",IF(LEN(INDEX('Licences'!$O$4:$O$503,_calc!$E$298))=0,"",INDEX('Licences'!$O$4:$O$503,_calc!$E$298)))</f>
        <v/>
      </c>
      <c r="I296" s="44">
        <f>IF(_calc!$E$298="","",IF(LEN(INDEX('Licences'!$P$4:$P$503,_calc!$E$298))=0,"",INDEX('Licences'!$P$4:$P$503,_calc!$E$298)))</f>
        <v/>
      </c>
      <c r="K296" s="44">
        <f>IF(_calc!$E$298="","",IF(LEN(INDEX('Licences'!$G$4:$G$503,_calc!$E$298))=0,"",INDEX('Licences'!$G$4:$G$503,_calc!$E$298)))</f>
        <v/>
      </c>
    </row>
    <row r="297">
      <c r="A297" s="44">
        <f>IF(_calc!$E$299="","",IF(LEN(INDEX('Licences'!$A$4:$A$503,_calc!$E$299))=0,"",INDEX('Licences'!$A$4:$A$503,_calc!$E$299)))</f>
        <v/>
      </c>
      <c r="B297" s="44">
        <f>IF(_calc!$E$299="","",IF(ISNUMBER(INDEX('Licences'!$J$4:$J$503,_calc!$E$299)),TEXT(INDEX('Licences'!$J$4:$J$503,_calc!$E$299),"yyyy-mm-dd"),""))</f>
        <v/>
      </c>
      <c r="C297" s="44">
        <f>IF(_calc!$E$299="","",IF(LEN(INDEX('Licences'!$B$4:$B$503,_calc!$E$299))=0,"",INDEX('Licences'!$B$4:$B$503,_calc!$E$299)))</f>
        <v/>
      </c>
      <c r="D297" s="44">
        <f>IF(_calc!$E$299="","",IF(ISNUMBER(INDEX('Licences'!$I$4:$I$503,_calc!$E$299)),TEXT(INDEX('Licences'!$I$4:$I$503,_calc!$E$299),"yyyy-mm-dd"),""))</f>
        <v/>
      </c>
      <c r="E297" s="44">
        <f>IF(_calc!$E$299="","",IF(LEN(INDEX('Licences'!$H$4:$H$503,_calc!$E$299))=0,"",INDEX('Licences'!$H$4:$H$503,_calc!$E$299)))</f>
        <v/>
      </c>
      <c r="F297" s="44">
        <f>IF(_calc!$E$299="","",TRIM(IF(LEN(IF(LEN(INDEX('Licences'!$D$4:$D$503,_calc!$E$299))=0,"",INDEX('Licences'!$D$4:$D$503,_calc!$E$299)))=0,"","Ref: "&amp;IF(LEN(INDEX('Licences'!$D$4:$D$503,_calc!$E$299))=0,"",INDEX('Licences'!$D$4:$D$503,_calc!$E$299))&amp;". ")&amp;IF(LEN(IF(LEN(INDEX('Licences'!$C$4:$C$503,_calc!$E$299))=0,"",INDEX('Licences'!$C$4:$C$503,_calc!$E$299)))=0,"","Issuer: "&amp;IF(LEN(INDEX('Licences'!$C$4:$C$503,_calc!$E$299))=0,"",INDEX('Licences'!$C$4:$C$503,_calc!$E$299))&amp;". ")&amp;IF(LEN(IF(LEN(INDEX('Licences'!$E$4:$E$503,_calc!$E$299))=0,"",INDEX('Licences'!$E$4:$E$503,_calc!$E$299)))=0,"","Site: "&amp;IF(LEN(INDEX('Licences'!$E$4:$E$503,_calc!$E$299))=0,"",INDEX('Licences'!$E$4:$E$503,_calc!$E$299))&amp;". ")&amp;IF(LEN(IF(LEN(INDEX('Licences'!$F$4:$F$503,_calc!$E$299))=0,"",INDEX('Licences'!$F$4:$F$503,_calc!$E$299)))=0,"","Owner: "&amp;IF(LEN(INDEX('Licences'!$F$4:$F$503,_calc!$E$299))=0,"",INDEX('Licences'!$F$4:$F$503,_calc!$E$299))&amp;". ")&amp;IF(LEN(IF(LEN(INDEX('Licences'!$R$4:$R$503,_calc!$E$299))=0,"",INDEX('Licences'!$R$4:$R$503,_calc!$E$299)))=0,"",IF(LEN(INDEX('Licences'!$R$4:$R$503,_calc!$E$299))=0,"",INDEX('Licences'!$R$4:$R$503,_calc!$E$299)))))</f>
        <v/>
      </c>
      <c r="G297" s="44">
        <f>IF(_calc!$E$299="","",IF(LEN(INDEX('Licences'!$Q$4:$Q$503,_calc!$E$299))=0,"",INDEX('Licences'!$Q$4:$Q$503,_calc!$E$299)))</f>
        <v/>
      </c>
      <c r="H297" s="44">
        <f>IF(_calc!$E$299="","",IF(LEN(INDEX('Licences'!$O$4:$O$503,_calc!$E$299))=0,"",INDEX('Licences'!$O$4:$O$503,_calc!$E$299)))</f>
        <v/>
      </c>
      <c r="I297" s="44">
        <f>IF(_calc!$E$299="","",IF(LEN(INDEX('Licences'!$P$4:$P$503,_calc!$E$299))=0,"",INDEX('Licences'!$P$4:$P$503,_calc!$E$299)))</f>
        <v/>
      </c>
      <c r="K297" s="44">
        <f>IF(_calc!$E$299="","",IF(LEN(INDEX('Licences'!$G$4:$G$503,_calc!$E$299))=0,"",INDEX('Licences'!$G$4:$G$503,_calc!$E$299)))</f>
        <v/>
      </c>
    </row>
    <row r="298">
      <c r="A298" s="44">
        <f>IF(_calc!$E$300="","",IF(LEN(INDEX('Licences'!$A$4:$A$503,_calc!$E$300))=0,"",INDEX('Licences'!$A$4:$A$503,_calc!$E$300)))</f>
        <v/>
      </c>
      <c r="B298" s="44">
        <f>IF(_calc!$E$300="","",IF(ISNUMBER(INDEX('Licences'!$J$4:$J$503,_calc!$E$300)),TEXT(INDEX('Licences'!$J$4:$J$503,_calc!$E$300),"yyyy-mm-dd"),""))</f>
        <v/>
      </c>
      <c r="C298" s="44">
        <f>IF(_calc!$E$300="","",IF(LEN(INDEX('Licences'!$B$4:$B$503,_calc!$E$300))=0,"",INDEX('Licences'!$B$4:$B$503,_calc!$E$300)))</f>
        <v/>
      </c>
      <c r="D298" s="44">
        <f>IF(_calc!$E$300="","",IF(ISNUMBER(INDEX('Licences'!$I$4:$I$503,_calc!$E$300)),TEXT(INDEX('Licences'!$I$4:$I$503,_calc!$E$300),"yyyy-mm-dd"),""))</f>
        <v/>
      </c>
      <c r="E298" s="44">
        <f>IF(_calc!$E$300="","",IF(LEN(INDEX('Licences'!$H$4:$H$503,_calc!$E$300))=0,"",INDEX('Licences'!$H$4:$H$503,_calc!$E$300)))</f>
        <v/>
      </c>
      <c r="F298" s="44">
        <f>IF(_calc!$E$300="","",TRIM(IF(LEN(IF(LEN(INDEX('Licences'!$D$4:$D$503,_calc!$E$300))=0,"",INDEX('Licences'!$D$4:$D$503,_calc!$E$300)))=0,"","Ref: "&amp;IF(LEN(INDEX('Licences'!$D$4:$D$503,_calc!$E$300))=0,"",INDEX('Licences'!$D$4:$D$503,_calc!$E$300))&amp;". ")&amp;IF(LEN(IF(LEN(INDEX('Licences'!$C$4:$C$503,_calc!$E$300))=0,"",INDEX('Licences'!$C$4:$C$503,_calc!$E$300)))=0,"","Issuer: "&amp;IF(LEN(INDEX('Licences'!$C$4:$C$503,_calc!$E$300))=0,"",INDEX('Licences'!$C$4:$C$503,_calc!$E$300))&amp;". ")&amp;IF(LEN(IF(LEN(INDEX('Licences'!$E$4:$E$503,_calc!$E$300))=0,"",INDEX('Licences'!$E$4:$E$503,_calc!$E$300)))=0,"","Site: "&amp;IF(LEN(INDEX('Licences'!$E$4:$E$503,_calc!$E$300))=0,"",INDEX('Licences'!$E$4:$E$503,_calc!$E$300))&amp;". ")&amp;IF(LEN(IF(LEN(INDEX('Licences'!$F$4:$F$503,_calc!$E$300))=0,"",INDEX('Licences'!$F$4:$F$503,_calc!$E$300)))=0,"","Owner: "&amp;IF(LEN(INDEX('Licences'!$F$4:$F$503,_calc!$E$300))=0,"",INDEX('Licences'!$F$4:$F$503,_calc!$E$300))&amp;". ")&amp;IF(LEN(IF(LEN(INDEX('Licences'!$R$4:$R$503,_calc!$E$300))=0,"",INDEX('Licences'!$R$4:$R$503,_calc!$E$300)))=0,"",IF(LEN(INDEX('Licences'!$R$4:$R$503,_calc!$E$300))=0,"",INDEX('Licences'!$R$4:$R$503,_calc!$E$300)))))</f>
        <v/>
      </c>
      <c r="G298" s="44">
        <f>IF(_calc!$E$300="","",IF(LEN(INDEX('Licences'!$Q$4:$Q$503,_calc!$E$300))=0,"",INDEX('Licences'!$Q$4:$Q$503,_calc!$E$300)))</f>
        <v/>
      </c>
      <c r="H298" s="44">
        <f>IF(_calc!$E$300="","",IF(LEN(INDEX('Licences'!$O$4:$O$503,_calc!$E$300))=0,"",INDEX('Licences'!$O$4:$O$503,_calc!$E$300)))</f>
        <v/>
      </c>
      <c r="I298" s="44">
        <f>IF(_calc!$E$300="","",IF(LEN(INDEX('Licences'!$P$4:$P$503,_calc!$E$300))=0,"",INDEX('Licences'!$P$4:$P$503,_calc!$E$300)))</f>
        <v/>
      </c>
      <c r="K298" s="44">
        <f>IF(_calc!$E$300="","",IF(LEN(INDEX('Licences'!$G$4:$G$503,_calc!$E$300))=0,"",INDEX('Licences'!$G$4:$G$503,_calc!$E$300)))</f>
        <v/>
      </c>
    </row>
    <row r="299">
      <c r="A299" s="44">
        <f>IF(_calc!$E$301="","",IF(LEN(INDEX('Licences'!$A$4:$A$503,_calc!$E$301))=0,"",INDEX('Licences'!$A$4:$A$503,_calc!$E$301)))</f>
        <v/>
      </c>
      <c r="B299" s="44">
        <f>IF(_calc!$E$301="","",IF(ISNUMBER(INDEX('Licences'!$J$4:$J$503,_calc!$E$301)),TEXT(INDEX('Licences'!$J$4:$J$503,_calc!$E$301),"yyyy-mm-dd"),""))</f>
        <v/>
      </c>
      <c r="C299" s="44">
        <f>IF(_calc!$E$301="","",IF(LEN(INDEX('Licences'!$B$4:$B$503,_calc!$E$301))=0,"",INDEX('Licences'!$B$4:$B$503,_calc!$E$301)))</f>
        <v/>
      </c>
      <c r="D299" s="44">
        <f>IF(_calc!$E$301="","",IF(ISNUMBER(INDEX('Licences'!$I$4:$I$503,_calc!$E$301)),TEXT(INDEX('Licences'!$I$4:$I$503,_calc!$E$301),"yyyy-mm-dd"),""))</f>
        <v/>
      </c>
      <c r="E299" s="44">
        <f>IF(_calc!$E$301="","",IF(LEN(INDEX('Licences'!$H$4:$H$503,_calc!$E$301))=0,"",INDEX('Licences'!$H$4:$H$503,_calc!$E$301)))</f>
        <v/>
      </c>
      <c r="F299" s="44">
        <f>IF(_calc!$E$301="","",TRIM(IF(LEN(IF(LEN(INDEX('Licences'!$D$4:$D$503,_calc!$E$301))=0,"",INDEX('Licences'!$D$4:$D$503,_calc!$E$301)))=0,"","Ref: "&amp;IF(LEN(INDEX('Licences'!$D$4:$D$503,_calc!$E$301))=0,"",INDEX('Licences'!$D$4:$D$503,_calc!$E$301))&amp;". ")&amp;IF(LEN(IF(LEN(INDEX('Licences'!$C$4:$C$503,_calc!$E$301))=0,"",INDEX('Licences'!$C$4:$C$503,_calc!$E$301)))=0,"","Issuer: "&amp;IF(LEN(INDEX('Licences'!$C$4:$C$503,_calc!$E$301))=0,"",INDEX('Licences'!$C$4:$C$503,_calc!$E$301))&amp;". ")&amp;IF(LEN(IF(LEN(INDEX('Licences'!$E$4:$E$503,_calc!$E$301))=0,"",INDEX('Licences'!$E$4:$E$503,_calc!$E$301)))=0,"","Site: "&amp;IF(LEN(INDEX('Licences'!$E$4:$E$503,_calc!$E$301))=0,"",INDEX('Licences'!$E$4:$E$503,_calc!$E$301))&amp;". ")&amp;IF(LEN(IF(LEN(INDEX('Licences'!$F$4:$F$503,_calc!$E$301))=0,"",INDEX('Licences'!$F$4:$F$503,_calc!$E$301)))=0,"","Owner: "&amp;IF(LEN(INDEX('Licences'!$F$4:$F$503,_calc!$E$301))=0,"",INDEX('Licences'!$F$4:$F$503,_calc!$E$301))&amp;". ")&amp;IF(LEN(IF(LEN(INDEX('Licences'!$R$4:$R$503,_calc!$E$301))=0,"",INDEX('Licences'!$R$4:$R$503,_calc!$E$301)))=0,"",IF(LEN(INDEX('Licences'!$R$4:$R$503,_calc!$E$301))=0,"",INDEX('Licences'!$R$4:$R$503,_calc!$E$301)))))</f>
        <v/>
      </c>
      <c r="G299" s="44">
        <f>IF(_calc!$E$301="","",IF(LEN(INDEX('Licences'!$Q$4:$Q$503,_calc!$E$301))=0,"",INDEX('Licences'!$Q$4:$Q$503,_calc!$E$301)))</f>
        <v/>
      </c>
      <c r="H299" s="44">
        <f>IF(_calc!$E$301="","",IF(LEN(INDEX('Licences'!$O$4:$O$503,_calc!$E$301))=0,"",INDEX('Licences'!$O$4:$O$503,_calc!$E$301)))</f>
        <v/>
      </c>
      <c r="I299" s="44">
        <f>IF(_calc!$E$301="","",IF(LEN(INDEX('Licences'!$P$4:$P$503,_calc!$E$301))=0,"",INDEX('Licences'!$P$4:$P$503,_calc!$E$301)))</f>
        <v/>
      </c>
      <c r="K299" s="44">
        <f>IF(_calc!$E$301="","",IF(LEN(INDEX('Licences'!$G$4:$G$503,_calc!$E$301))=0,"",INDEX('Licences'!$G$4:$G$503,_calc!$E$301)))</f>
        <v/>
      </c>
    </row>
    <row r="300">
      <c r="A300" s="44">
        <f>IF(_calc!$E$302="","",IF(LEN(INDEX('Licences'!$A$4:$A$503,_calc!$E$302))=0,"",INDEX('Licences'!$A$4:$A$503,_calc!$E$302)))</f>
        <v/>
      </c>
      <c r="B300" s="44">
        <f>IF(_calc!$E$302="","",IF(ISNUMBER(INDEX('Licences'!$J$4:$J$503,_calc!$E$302)),TEXT(INDEX('Licences'!$J$4:$J$503,_calc!$E$302),"yyyy-mm-dd"),""))</f>
        <v/>
      </c>
      <c r="C300" s="44">
        <f>IF(_calc!$E$302="","",IF(LEN(INDEX('Licences'!$B$4:$B$503,_calc!$E$302))=0,"",INDEX('Licences'!$B$4:$B$503,_calc!$E$302)))</f>
        <v/>
      </c>
      <c r="D300" s="44">
        <f>IF(_calc!$E$302="","",IF(ISNUMBER(INDEX('Licences'!$I$4:$I$503,_calc!$E$302)),TEXT(INDEX('Licences'!$I$4:$I$503,_calc!$E$302),"yyyy-mm-dd"),""))</f>
        <v/>
      </c>
      <c r="E300" s="44">
        <f>IF(_calc!$E$302="","",IF(LEN(INDEX('Licences'!$H$4:$H$503,_calc!$E$302))=0,"",INDEX('Licences'!$H$4:$H$503,_calc!$E$302)))</f>
        <v/>
      </c>
      <c r="F300" s="44">
        <f>IF(_calc!$E$302="","",TRIM(IF(LEN(IF(LEN(INDEX('Licences'!$D$4:$D$503,_calc!$E$302))=0,"",INDEX('Licences'!$D$4:$D$503,_calc!$E$302)))=0,"","Ref: "&amp;IF(LEN(INDEX('Licences'!$D$4:$D$503,_calc!$E$302))=0,"",INDEX('Licences'!$D$4:$D$503,_calc!$E$302))&amp;". ")&amp;IF(LEN(IF(LEN(INDEX('Licences'!$C$4:$C$503,_calc!$E$302))=0,"",INDEX('Licences'!$C$4:$C$503,_calc!$E$302)))=0,"","Issuer: "&amp;IF(LEN(INDEX('Licences'!$C$4:$C$503,_calc!$E$302))=0,"",INDEX('Licences'!$C$4:$C$503,_calc!$E$302))&amp;". ")&amp;IF(LEN(IF(LEN(INDEX('Licences'!$E$4:$E$503,_calc!$E$302))=0,"",INDEX('Licences'!$E$4:$E$503,_calc!$E$302)))=0,"","Site: "&amp;IF(LEN(INDEX('Licences'!$E$4:$E$503,_calc!$E$302))=0,"",INDEX('Licences'!$E$4:$E$503,_calc!$E$302))&amp;". ")&amp;IF(LEN(IF(LEN(INDEX('Licences'!$F$4:$F$503,_calc!$E$302))=0,"",INDEX('Licences'!$F$4:$F$503,_calc!$E$302)))=0,"","Owner: "&amp;IF(LEN(INDEX('Licences'!$F$4:$F$503,_calc!$E$302))=0,"",INDEX('Licences'!$F$4:$F$503,_calc!$E$302))&amp;". ")&amp;IF(LEN(IF(LEN(INDEX('Licences'!$R$4:$R$503,_calc!$E$302))=0,"",INDEX('Licences'!$R$4:$R$503,_calc!$E$302)))=0,"",IF(LEN(INDEX('Licences'!$R$4:$R$503,_calc!$E$302))=0,"",INDEX('Licences'!$R$4:$R$503,_calc!$E$302)))))</f>
        <v/>
      </c>
      <c r="G300" s="44">
        <f>IF(_calc!$E$302="","",IF(LEN(INDEX('Licences'!$Q$4:$Q$503,_calc!$E$302))=0,"",INDEX('Licences'!$Q$4:$Q$503,_calc!$E$302)))</f>
        <v/>
      </c>
      <c r="H300" s="44">
        <f>IF(_calc!$E$302="","",IF(LEN(INDEX('Licences'!$O$4:$O$503,_calc!$E$302))=0,"",INDEX('Licences'!$O$4:$O$503,_calc!$E$302)))</f>
        <v/>
      </c>
      <c r="I300" s="44">
        <f>IF(_calc!$E$302="","",IF(LEN(INDEX('Licences'!$P$4:$P$503,_calc!$E$302))=0,"",INDEX('Licences'!$P$4:$P$503,_calc!$E$302)))</f>
        <v/>
      </c>
      <c r="K300" s="44">
        <f>IF(_calc!$E$302="","",IF(LEN(INDEX('Licences'!$G$4:$G$503,_calc!$E$302))=0,"",INDEX('Licences'!$G$4:$G$503,_calc!$E$302)))</f>
        <v/>
      </c>
    </row>
    <row r="301">
      <c r="A301" s="44">
        <f>IF(_calc!$E$303="","",IF(LEN(INDEX('Licences'!$A$4:$A$503,_calc!$E$303))=0,"",INDEX('Licences'!$A$4:$A$503,_calc!$E$303)))</f>
        <v/>
      </c>
      <c r="B301" s="44">
        <f>IF(_calc!$E$303="","",IF(ISNUMBER(INDEX('Licences'!$J$4:$J$503,_calc!$E$303)),TEXT(INDEX('Licences'!$J$4:$J$503,_calc!$E$303),"yyyy-mm-dd"),""))</f>
        <v/>
      </c>
      <c r="C301" s="44">
        <f>IF(_calc!$E$303="","",IF(LEN(INDEX('Licences'!$B$4:$B$503,_calc!$E$303))=0,"",INDEX('Licences'!$B$4:$B$503,_calc!$E$303)))</f>
        <v/>
      </c>
      <c r="D301" s="44">
        <f>IF(_calc!$E$303="","",IF(ISNUMBER(INDEX('Licences'!$I$4:$I$503,_calc!$E$303)),TEXT(INDEX('Licences'!$I$4:$I$503,_calc!$E$303),"yyyy-mm-dd"),""))</f>
        <v/>
      </c>
      <c r="E301" s="44">
        <f>IF(_calc!$E$303="","",IF(LEN(INDEX('Licences'!$H$4:$H$503,_calc!$E$303))=0,"",INDEX('Licences'!$H$4:$H$503,_calc!$E$303)))</f>
        <v/>
      </c>
      <c r="F301" s="44">
        <f>IF(_calc!$E$303="","",TRIM(IF(LEN(IF(LEN(INDEX('Licences'!$D$4:$D$503,_calc!$E$303))=0,"",INDEX('Licences'!$D$4:$D$503,_calc!$E$303)))=0,"","Ref: "&amp;IF(LEN(INDEX('Licences'!$D$4:$D$503,_calc!$E$303))=0,"",INDEX('Licences'!$D$4:$D$503,_calc!$E$303))&amp;". ")&amp;IF(LEN(IF(LEN(INDEX('Licences'!$C$4:$C$503,_calc!$E$303))=0,"",INDEX('Licences'!$C$4:$C$503,_calc!$E$303)))=0,"","Issuer: "&amp;IF(LEN(INDEX('Licences'!$C$4:$C$503,_calc!$E$303))=0,"",INDEX('Licences'!$C$4:$C$503,_calc!$E$303))&amp;". ")&amp;IF(LEN(IF(LEN(INDEX('Licences'!$E$4:$E$503,_calc!$E$303))=0,"",INDEX('Licences'!$E$4:$E$503,_calc!$E$303)))=0,"","Site: "&amp;IF(LEN(INDEX('Licences'!$E$4:$E$503,_calc!$E$303))=0,"",INDEX('Licences'!$E$4:$E$503,_calc!$E$303))&amp;". ")&amp;IF(LEN(IF(LEN(INDEX('Licences'!$F$4:$F$503,_calc!$E$303))=0,"",INDEX('Licences'!$F$4:$F$503,_calc!$E$303)))=0,"","Owner: "&amp;IF(LEN(INDEX('Licences'!$F$4:$F$503,_calc!$E$303))=0,"",INDEX('Licences'!$F$4:$F$503,_calc!$E$303))&amp;". ")&amp;IF(LEN(IF(LEN(INDEX('Licences'!$R$4:$R$503,_calc!$E$303))=0,"",INDEX('Licences'!$R$4:$R$503,_calc!$E$303)))=0,"",IF(LEN(INDEX('Licences'!$R$4:$R$503,_calc!$E$303))=0,"",INDEX('Licences'!$R$4:$R$503,_calc!$E$303)))))</f>
        <v/>
      </c>
      <c r="G301" s="44">
        <f>IF(_calc!$E$303="","",IF(LEN(INDEX('Licences'!$Q$4:$Q$503,_calc!$E$303))=0,"",INDEX('Licences'!$Q$4:$Q$503,_calc!$E$303)))</f>
        <v/>
      </c>
      <c r="H301" s="44">
        <f>IF(_calc!$E$303="","",IF(LEN(INDEX('Licences'!$O$4:$O$503,_calc!$E$303))=0,"",INDEX('Licences'!$O$4:$O$503,_calc!$E$303)))</f>
        <v/>
      </c>
      <c r="I301" s="44">
        <f>IF(_calc!$E$303="","",IF(LEN(INDEX('Licences'!$P$4:$P$503,_calc!$E$303))=0,"",INDEX('Licences'!$P$4:$P$503,_calc!$E$303)))</f>
        <v/>
      </c>
      <c r="K301" s="44">
        <f>IF(_calc!$E$303="","",IF(LEN(INDEX('Licences'!$G$4:$G$503,_calc!$E$303))=0,"",INDEX('Licences'!$G$4:$G$503,_calc!$E$303)))</f>
        <v/>
      </c>
    </row>
    <row r="302">
      <c r="A302" s="44">
        <f>IF(_calc!$E$304="","",IF(LEN(INDEX('Licences'!$A$4:$A$503,_calc!$E$304))=0,"",INDEX('Licences'!$A$4:$A$503,_calc!$E$304)))</f>
        <v/>
      </c>
      <c r="B302" s="44">
        <f>IF(_calc!$E$304="","",IF(ISNUMBER(INDEX('Licences'!$J$4:$J$503,_calc!$E$304)),TEXT(INDEX('Licences'!$J$4:$J$503,_calc!$E$304),"yyyy-mm-dd"),""))</f>
        <v/>
      </c>
      <c r="C302" s="44">
        <f>IF(_calc!$E$304="","",IF(LEN(INDEX('Licences'!$B$4:$B$503,_calc!$E$304))=0,"",INDEX('Licences'!$B$4:$B$503,_calc!$E$304)))</f>
        <v/>
      </c>
      <c r="D302" s="44">
        <f>IF(_calc!$E$304="","",IF(ISNUMBER(INDEX('Licences'!$I$4:$I$503,_calc!$E$304)),TEXT(INDEX('Licences'!$I$4:$I$503,_calc!$E$304),"yyyy-mm-dd"),""))</f>
        <v/>
      </c>
      <c r="E302" s="44">
        <f>IF(_calc!$E$304="","",IF(LEN(INDEX('Licences'!$H$4:$H$503,_calc!$E$304))=0,"",INDEX('Licences'!$H$4:$H$503,_calc!$E$304)))</f>
        <v/>
      </c>
      <c r="F302" s="44">
        <f>IF(_calc!$E$304="","",TRIM(IF(LEN(IF(LEN(INDEX('Licences'!$D$4:$D$503,_calc!$E$304))=0,"",INDEX('Licences'!$D$4:$D$503,_calc!$E$304)))=0,"","Ref: "&amp;IF(LEN(INDEX('Licences'!$D$4:$D$503,_calc!$E$304))=0,"",INDEX('Licences'!$D$4:$D$503,_calc!$E$304))&amp;". ")&amp;IF(LEN(IF(LEN(INDEX('Licences'!$C$4:$C$503,_calc!$E$304))=0,"",INDEX('Licences'!$C$4:$C$503,_calc!$E$304)))=0,"","Issuer: "&amp;IF(LEN(INDEX('Licences'!$C$4:$C$503,_calc!$E$304))=0,"",INDEX('Licences'!$C$4:$C$503,_calc!$E$304))&amp;". ")&amp;IF(LEN(IF(LEN(INDEX('Licences'!$E$4:$E$503,_calc!$E$304))=0,"",INDEX('Licences'!$E$4:$E$503,_calc!$E$304)))=0,"","Site: "&amp;IF(LEN(INDEX('Licences'!$E$4:$E$503,_calc!$E$304))=0,"",INDEX('Licences'!$E$4:$E$503,_calc!$E$304))&amp;". ")&amp;IF(LEN(IF(LEN(INDEX('Licences'!$F$4:$F$503,_calc!$E$304))=0,"",INDEX('Licences'!$F$4:$F$503,_calc!$E$304)))=0,"","Owner: "&amp;IF(LEN(INDEX('Licences'!$F$4:$F$503,_calc!$E$304))=0,"",INDEX('Licences'!$F$4:$F$503,_calc!$E$304))&amp;". ")&amp;IF(LEN(IF(LEN(INDEX('Licences'!$R$4:$R$503,_calc!$E$304))=0,"",INDEX('Licences'!$R$4:$R$503,_calc!$E$304)))=0,"",IF(LEN(INDEX('Licences'!$R$4:$R$503,_calc!$E$304))=0,"",INDEX('Licences'!$R$4:$R$503,_calc!$E$304)))))</f>
        <v/>
      </c>
      <c r="G302" s="44">
        <f>IF(_calc!$E$304="","",IF(LEN(INDEX('Licences'!$Q$4:$Q$503,_calc!$E$304))=0,"",INDEX('Licences'!$Q$4:$Q$503,_calc!$E$304)))</f>
        <v/>
      </c>
      <c r="H302" s="44">
        <f>IF(_calc!$E$304="","",IF(LEN(INDEX('Licences'!$O$4:$O$503,_calc!$E$304))=0,"",INDEX('Licences'!$O$4:$O$503,_calc!$E$304)))</f>
        <v/>
      </c>
      <c r="I302" s="44">
        <f>IF(_calc!$E$304="","",IF(LEN(INDEX('Licences'!$P$4:$P$503,_calc!$E$304))=0,"",INDEX('Licences'!$P$4:$P$503,_calc!$E$304)))</f>
        <v/>
      </c>
      <c r="K302" s="44">
        <f>IF(_calc!$E$304="","",IF(LEN(INDEX('Licences'!$G$4:$G$503,_calc!$E$304))=0,"",INDEX('Licences'!$G$4:$G$503,_calc!$E$304)))</f>
        <v/>
      </c>
    </row>
    <row r="303">
      <c r="A303" s="44">
        <f>IF(_calc!$E$305="","",IF(LEN(INDEX('Licences'!$A$4:$A$503,_calc!$E$305))=0,"",INDEX('Licences'!$A$4:$A$503,_calc!$E$305)))</f>
        <v/>
      </c>
      <c r="B303" s="44">
        <f>IF(_calc!$E$305="","",IF(ISNUMBER(INDEX('Licences'!$J$4:$J$503,_calc!$E$305)),TEXT(INDEX('Licences'!$J$4:$J$503,_calc!$E$305),"yyyy-mm-dd"),""))</f>
        <v/>
      </c>
      <c r="C303" s="44">
        <f>IF(_calc!$E$305="","",IF(LEN(INDEX('Licences'!$B$4:$B$503,_calc!$E$305))=0,"",INDEX('Licences'!$B$4:$B$503,_calc!$E$305)))</f>
        <v/>
      </c>
      <c r="D303" s="44">
        <f>IF(_calc!$E$305="","",IF(ISNUMBER(INDEX('Licences'!$I$4:$I$503,_calc!$E$305)),TEXT(INDEX('Licences'!$I$4:$I$503,_calc!$E$305),"yyyy-mm-dd"),""))</f>
        <v/>
      </c>
      <c r="E303" s="44">
        <f>IF(_calc!$E$305="","",IF(LEN(INDEX('Licences'!$H$4:$H$503,_calc!$E$305))=0,"",INDEX('Licences'!$H$4:$H$503,_calc!$E$305)))</f>
        <v/>
      </c>
      <c r="F303" s="44">
        <f>IF(_calc!$E$305="","",TRIM(IF(LEN(IF(LEN(INDEX('Licences'!$D$4:$D$503,_calc!$E$305))=0,"",INDEX('Licences'!$D$4:$D$503,_calc!$E$305)))=0,"","Ref: "&amp;IF(LEN(INDEX('Licences'!$D$4:$D$503,_calc!$E$305))=0,"",INDEX('Licences'!$D$4:$D$503,_calc!$E$305))&amp;". ")&amp;IF(LEN(IF(LEN(INDEX('Licences'!$C$4:$C$503,_calc!$E$305))=0,"",INDEX('Licences'!$C$4:$C$503,_calc!$E$305)))=0,"","Issuer: "&amp;IF(LEN(INDEX('Licences'!$C$4:$C$503,_calc!$E$305))=0,"",INDEX('Licences'!$C$4:$C$503,_calc!$E$305))&amp;". ")&amp;IF(LEN(IF(LEN(INDEX('Licences'!$E$4:$E$503,_calc!$E$305))=0,"",INDEX('Licences'!$E$4:$E$503,_calc!$E$305)))=0,"","Site: "&amp;IF(LEN(INDEX('Licences'!$E$4:$E$503,_calc!$E$305))=0,"",INDEX('Licences'!$E$4:$E$503,_calc!$E$305))&amp;". ")&amp;IF(LEN(IF(LEN(INDEX('Licences'!$F$4:$F$503,_calc!$E$305))=0,"",INDEX('Licences'!$F$4:$F$503,_calc!$E$305)))=0,"","Owner: "&amp;IF(LEN(INDEX('Licences'!$F$4:$F$503,_calc!$E$305))=0,"",INDEX('Licences'!$F$4:$F$503,_calc!$E$305))&amp;". ")&amp;IF(LEN(IF(LEN(INDEX('Licences'!$R$4:$R$503,_calc!$E$305))=0,"",INDEX('Licences'!$R$4:$R$503,_calc!$E$305)))=0,"",IF(LEN(INDEX('Licences'!$R$4:$R$503,_calc!$E$305))=0,"",INDEX('Licences'!$R$4:$R$503,_calc!$E$305)))))</f>
        <v/>
      </c>
      <c r="G303" s="44">
        <f>IF(_calc!$E$305="","",IF(LEN(INDEX('Licences'!$Q$4:$Q$503,_calc!$E$305))=0,"",INDEX('Licences'!$Q$4:$Q$503,_calc!$E$305)))</f>
        <v/>
      </c>
      <c r="H303" s="44">
        <f>IF(_calc!$E$305="","",IF(LEN(INDEX('Licences'!$O$4:$O$503,_calc!$E$305))=0,"",INDEX('Licences'!$O$4:$O$503,_calc!$E$305)))</f>
        <v/>
      </c>
      <c r="I303" s="44">
        <f>IF(_calc!$E$305="","",IF(LEN(INDEX('Licences'!$P$4:$P$503,_calc!$E$305))=0,"",INDEX('Licences'!$P$4:$P$503,_calc!$E$305)))</f>
        <v/>
      </c>
      <c r="K303" s="44">
        <f>IF(_calc!$E$305="","",IF(LEN(INDEX('Licences'!$G$4:$G$503,_calc!$E$305))=0,"",INDEX('Licences'!$G$4:$G$503,_calc!$E$305)))</f>
        <v/>
      </c>
    </row>
    <row r="304">
      <c r="A304" s="44">
        <f>IF(_calc!$E$306="","",IF(LEN(INDEX('Licences'!$A$4:$A$503,_calc!$E$306))=0,"",INDEX('Licences'!$A$4:$A$503,_calc!$E$306)))</f>
        <v/>
      </c>
      <c r="B304" s="44">
        <f>IF(_calc!$E$306="","",IF(ISNUMBER(INDEX('Licences'!$J$4:$J$503,_calc!$E$306)),TEXT(INDEX('Licences'!$J$4:$J$503,_calc!$E$306),"yyyy-mm-dd"),""))</f>
        <v/>
      </c>
      <c r="C304" s="44">
        <f>IF(_calc!$E$306="","",IF(LEN(INDEX('Licences'!$B$4:$B$503,_calc!$E$306))=0,"",INDEX('Licences'!$B$4:$B$503,_calc!$E$306)))</f>
        <v/>
      </c>
      <c r="D304" s="44">
        <f>IF(_calc!$E$306="","",IF(ISNUMBER(INDEX('Licences'!$I$4:$I$503,_calc!$E$306)),TEXT(INDEX('Licences'!$I$4:$I$503,_calc!$E$306),"yyyy-mm-dd"),""))</f>
        <v/>
      </c>
      <c r="E304" s="44">
        <f>IF(_calc!$E$306="","",IF(LEN(INDEX('Licences'!$H$4:$H$503,_calc!$E$306))=0,"",INDEX('Licences'!$H$4:$H$503,_calc!$E$306)))</f>
        <v/>
      </c>
      <c r="F304" s="44">
        <f>IF(_calc!$E$306="","",TRIM(IF(LEN(IF(LEN(INDEX('Licences'!$D$4:$D$503,_calc!$E$306))=0,"",INDEX('Licences'!$D$4:$D$503,_calc!$E$306)))=0,"","Ref: "&amp;IF(LEN(INDEX('Licences'!$D$4:$D$503,_calc!$E$306))=0,"",INDEX('Licences'!$D$4:$D$503,_calc!$E$306))&amp;". ")&amp;IF(LEN(IF(LEN(INDEX('Licences'!$C$4:$C$503,_calc!$E$306))=0,"",INDEX('Licences'!$C$4:$C$503,_calc!$E$306)))=0,"","Issuer: "&amp;IF(LEN(INDEX('Licences'!$C$4:$C$503,_calc!$E$306))=0,"",INDEX('Licences'!$C$4:$C$503,_calc!$E$306))&amp;". ")&amp;IF(LEN(IF(LEN(INDEX('Licences'!$E$4:$E$503,_calc!$E$306))=0,"",INDEX('Licences'!$E$4:$E$503,_calc!$E$306)))=0,"","Site: "&amp;IF(LEN(INDEX('Licences'!$E$4:$E$503,_calc!$E$306))=0,"",INDEX('Licences'!$E$4:$E$503,_calc!$E$306))&amp;". ")&amp;IF(LEN(IF(LEN(INDEX('Licences'!$F$4:$F$503,_calc!$E$306))=0,"",INDEX('Licences'!$F$4:$F$503,_calc!$E$306)))=0,"","Owner: "&amp;IF(LEN(INDEX('Licences'!$F$4:$F$503,_calc!$E$306))=0,"",INDEX('Licences'!$F$4:$F$503,_calc!$E$306))&amp;". ")&amp;IF(LEN(IF(LEN(INDEX('Licences'!$R$4:$R$503,_calc!$E$306))=0,"",INDEX('Licences'!$R$4:$R$503,_calc!$E$306)))=0,"",IF(LEN(INDEX('Licences'!$R$4:$R$503,_calc!$E$306))=0,"",INDEX('Licences'!$R$4:$R$503,_calc!$E$306)))))</f>
        <v/>
      </c>
      <c r="G304" s="44">
        <f>IF(_calc!$E$306="","",IF(LEN(INDEX('Licences'!$Q$4:$Q$503,_calc!$E$306))=0,"",INDEX('Licences'!$Q$4:$Q$503,_calc!$E$306)))</f>
        <v/>
      </c>
      <c r="H304" s="44">
        <f>IF(_calc!$E$306="","",IF(LEN(INDEX('Licences'!$O$4:$O$503,_calc!$E$306))=0,"",INDEX('Licences'!$O$4:$O$503,_calc!$E$306)))</f>
        <v/>
      </c>
      <c r="I304" s="44">
        <f>IF(_calc!$E$306="","",IF(LEN(INDEX('Licences'!$P$4:$P$503,_calc!$E$306))=0,"",INDEX('Licences'!$P$4:$P$503,_calc!$E$306)))</f>
        <v/>
      </c>
      <c r="K304" s="44">
        <f>IF(_calc!$E$306="","",IF(LEN(INDEX('Licences'!$G$4:$G$503,_calc!$E$306))=0,"",INDEX('Licences'!$G$4:$G$503,_calc!$E$306)))</f>
        <v/>
      </c>
    </row>
    <row r="305">
      <c r="A305" s="44">
        <f>IF(_calc!$E$307="","",IF(LEN(INDEX('Licences'!$A$4:$A$503,_calc!$E$307))=0,"",INDEX('Licences'!$A$4:$A$503,_calc!$E$307)))</f>
        <v/>
      </c>
      <c r="B305" s="44">
        <f>IF(_calc!$E$307="","",IF(ISNUMBER(INDEX('Licences'!$J$4:$J$503,_calc!$E$307)),TEXT(INDEX('Licences'!$J$4:$J$503,_calc!$E$307),"yyyy-mm-dd"),""))</f>
        <v/>
      </c>
      <c r="C305" s="44">
        <f>IF(_calc!$E$307="","",IF(LEN(INDEX('Licences'!$B$4:$B$503,_calc!$E$307))=0,"",INDEX('Licences'!$B$4:$B$503,_calc!$E$307)))</f>
        <v/>
      </c>
      <c r="D305" s="44">
        <f>IF(_calc!$E$307="","",IF(ISNUMBER(INDEX('Licences'!$I$4:$I$503,_calc!$E$307)),TEXT(INDEX('Licences'!$I$4:$I$503,_calc!$E$307),"yyyy-mm-dd"),""))</f>
        <v/>
      </c>
      <c r="E305" s="44">
        <f>IF(_calc!$E$307="","",IF(LEN(INDEX('Licences'!$H$4:$H$503,_calc!$E$307))=0,"",INDEX('Licences'!$H$4:$H$503,_calc!$E$307)))</f>
        <v/>
      </c>
      <c r="F305" s="44">
        <f>IF(_calc!$E$307="","",TRIM(IF(LEN(IF(LEN(INDEX('Licences'!$D$4:$D$503,_calc!$E$307))=0,"",INDEX('Licences'!$D$4:$D$503,_calc!$E$307)))=0,"","Ref: "&amp;IF(LEN(INDEX('Licences'!$D$4:$D$503,_calc!$E$307))=0,"",INDEX('Licences'!$D$4:$D$503,_calc!$E$307))&amp;". ")&amp;IF(LEN(IF(LEN(INDEX('Licences'!$C$4:$C$503,_calc!$E$307))=0,"",INDEX('Licences'!$C$4:$C$503,_calc!$E$307)))=0,"","Issuer: "&amp;IF(LEN(INDEX('Licences'!$C$4:$C$503,_calc!$E$307))=0,"",INDEX('Licences'!$C$4:$C$503,_calc!$E$307))&amp;". ")&amp;IF(LEN(IF(LEN(INDEX('Licences'!$E$4:$E$503,_calc!$E$307))=0,"",INDEX('Licences'!$E$4:$E$503,_calc!$E$307)))=0,"","Site: "&amp;IF(LEN(INDEX('Licences'!$E$4:$E$503,_calc!$E$307))=0,"",INDEX('Licences'!$E$4:$E$503,_calc!$E$307))&amp;". ")&amp;IF(LEN(IF(LEN(INDEX('Licences'!$F$4:$F$503,_calc!$E$307))=0,"",INDEX('Licences'!$F$4:$F$503,_calc!$E$307)))=0,"","Owner: "&amp;IF(LEN(INDEX('Licences'!$F$4:$F$503,_calc!$E$307))=0,"",INDEX('Licences'!$F$4:$F$503,_calc!$E$307))&amp;". ")&amp;IF(LEN(IF(LEN(INDEX('Licences'!$R$4:$R$503,_calc!$E$307))=0,"",INDEX('Licences'!$R$4:$R$503,_calc!$E$307)))=0,"",IF(LEN(INDEX('Licences'!$R$4:$R$503,_calc!$E$307))=0,"",INDEX('Licences'!$R$4:$R$503,_calc!$E$307)))))</f>
        <v/>
      </c>
      <c r="G305" s="44">
        <f>IF(_calc!$E$307="","",IF(LEN(INDEX('Licences'!$Q$4:$Q$503,_calc!$E$307))=0,"",INDEX('Licences'!$Q$4:$Q$503,_calc!$E$307)))</f>
        <v/>
      </c>
      <c r="H305" s="44">
        <f>IF(_calc!$E$307="","",IF(LEN(INDEX('Licences'!$O$4:$O$503,_calc!$E$307))=0,"",INDEX('Licences'!$O$4:$O$503,_calc!$E$307)))</f>
        <v/>
      </c>
      <c r="I305" s="44">
        <f>IF(_calc!$E$307="","",IF(LEN(INDEX('Licences'!$P$4:$P$503,_calc!$E$307))=0,"",INDEX('Licences'!$P$4:$P$503,_calc!$E$307)))</f>
        <v/>
      </c>
      <c r="K305" s="44">
        <f>IF(_calc!$E$307="","",IF(LEN(INDEX('Licences'!$G$4:$G$503,_calc!$E$307))=0,"",INDEX('Licences'!$G$4:$G$503,_calc!$E$307)))</f>
        <v/>
      </c>
    </row>
    <row r="306">
      <c r="A306" s="44">
        <f>IF(_calc!$E$308="","",IF(LEN(INDEX('Licences'!$A$4:$A$503,_calc!$E$308))=0,"",INDEX('Licences'!$A$4:$A$503,_calc!$E$308)))</f>
        <v/>
      </c>
      <c r="B306" s="44">
        <f>IF(_calc!$E$308="","",IF(ISNUMBER(INDEX('Licences'!$J$4:$J$503,_calc!$E$308)),TEXT(INDEX('Licences'!$J$4:$J$503,_calc!$E$308),"yyyy-mm-dd"),""))</f>
        <v/>
      </c>
      <c r="C306" s="44">
        <f>IF(_calc!$E$308="","",IF(LEN(INDEX('Licences'!$B$4:$B$503,_calc!$E$308))=0,"",INDEX('Licences'!$B$4:$B$503,_calc!$E$308)))</f>
        <v/>
      </c>
      <c r="D306" s="44">
        <f>IF(_calc!$E$308="","",IF(ISNUMBER(INDEX('Licences'!$I$4:$I$503,_calc!$E$308)),TEXT(INDEX('Licences'!$I$4:$I$503,_calc!$E$308),"yyyy-mm-dd"),""))</f>
        <v/>
      </c>
      <c r="E306" s="44">
        <f>IF(_calc!$E$308="","",IF(LEN(INDEX('Licences'!$H$4:$H$503,_calc!$E$308))=0,"",INDEX('Licences'!$H$4:$H$503,_calc!$E$308)))</f>
        <v/>
      </c>
      <c r="F306" s="44">
        <f>IF(_calc!$E$308="","",TRIM(IF(LEN(IF(LEN(INDEX('Licences'!$D$4:$D$503,_calc!$E$308))=0,"",INDEX('Licences'!$D$4:$D$503,_calc!$E$308)))=0,"","Ref: "&amp;IF(LEN(INDEX('Licences'!$D$4:$D$503,_calc!$E$308))=0,"",INDEX('Licences'!$D$4:$D$503,_calc!$E$308))&amp;". ")&amp;IF(LEN(IF(LEN(INDEX('Licences'!$C$4:$C$503,_calc!$E$308))=0,"",INDEX('Licences'!$C$4:$C$503,_calc!$E$308)))=0,"","Issuer: "&amp;IF(LEN(INDEX('Licences'!$C$4:$C$503,_calc!$E$308))=0,"",INDEX('Licences'!$C$4:$C$503,_calc!$E$308))&amp;". ")&amp;IF(LEN(IF(LEN(INDEX('Licences'!$E$4:$E$503,_calc!$E$308))=0,"",INDEX('Licences'!$E$4:$E$503,_calc!$E$308)))=0,"","Site: "&amp;IF(LEN(INDEX('Licences'!$E$4:$E$503,_calc!$E$308))=0,"",INDEX('Licences'!$E$4:$E$503,_calc!$E$308))&amp;". ")&amp;IF(LEN(IF(LEN(INDEX('Licences'!$F$4:$F$503,_calc!$E$308))=0,"",INDEX('Licences'!$F$4:$F$503,_calc!$E$308)))=0,"","Owner: "&amp;IF(LEN(INDEX('Licences'!$F$4:$F$503,_calc!$E$308))=0,"",INDEX('Licences'!$F$4:$F$503,_calc!$E$308))&amp;". ")&amp;IF(LEN(IF(LEN(INDEX('Licences'!$R$4:$R$503,_calc!$E$308))=0,"",INDEX('Licences'!$R$4:$R$503,_calc!$E$308)))=0,"",IF(LEN(INDEX('Licences'!$R$4:$R$503,_calc!$E$308))=0,"",INDEX('Licences'!$R$4:$R$503,_calc!$E$308)))))</f>
        <v/>
      </c>
      <c r="G306" s="44">
        <f>IF(_calc!$E$308="","",IF(LEN(INDEX('Licences'!$Q$4:$Q$503,_calc!$E$308))=0,"",INDEX('Licences'!$Q$4:$Q$503,_calc!$E$308)))</f>
        <v/>
      </c>
      <c r="H306" s="44">
        <f>IF(_calc!$E$308="","",IF(LEN(INDEX('Licences'!$O$4:$O$503,_calc!$E$308))=0,"",INDEX('Licences'!$O$4:$O$503,_calc!$E$308)))</f>
        <v/>
      </c>
      <c r="I306" s="44">
        <f>IF(_calc!$E$308="","",IF(LEN(INDEX('Licences'!$P$4:$P$503,_calc!$E$308))=0,"",INDEX('Licences'!$P$4:$P$503,_calc!$E$308)))</f>
        <v/>
      </c>
      <c r="K306" s="44">
        <f>IF(_calc!$E$308="","",IF(LEN(INDEX('Licences'!$G$4:$G$503,_calc!$E$308))=0,"",INDEX('Licences'!$G$4:$G$503,_calc!$E$308)))</f>
        <v/>
      </c>
    </row>
    <row r="307">
      <c r="A307" s="44">
        <f>IF(_calc!$E$309="","",IF(LEN(INDEX('Licences'!$A$4:$A$503,_calc!$E$309))=0,"",INDEX('Licences'!$A$4:$A$503,_calc!$E$309)))</f>
        <v/>
      </c>
      <c r="B307" s="44">
        <f>IF(_calc!$E$309="","",IF(ISNUMBER(INDEX('Licences'!$J$4:$J$503,_calc!$E$309)),TEXT(INDEX('Licences'!$J$4:$J$503,_calc!$E$309),"yyyy-mm-dd"),""))</f>
        <v/>
      </c>
      <c r="C307" s="44">
        <f>IF(_calc!$E$309="","",IF(LEN(INDEX('Licences'!$B$4:$B$503,_calc!$E$309))=0,"",INDEX('Licences'!$B$4:$B$503,_calc!$E$309)))</f>
        <v/>
      </c>
      <c r="D307" s="44">
        <f>IF(_calc!$E$309="","",IF(ISNUMBER(INDEX('Licences'!$I$4:$I$503,_calc!$E$309)),TEXT(INDEX('Licences'!$I$4:$I$503,_calc!$E$309),"yyyy-mm-dd"),""))</f>
        <v/>
      </c>
      <c r="E307" s="44">
        <f>IF(_calc!$E$309="","",IF(LEN(INDEX('Licences'!$H$4:$H$503,_calc!$E$309))=0,"",INDEX('Licences'!$H$4:$H$503,_calc!$E$309)))</f>
        <v/>
      </c>
      <c r="F307" s="44">
        <f>IF(_calc!$E$309="","",TRIM(IF(LEN(IF(LEN(INDEX('Licences'!$D$4:$D$503,_calc!$E$309))=0,"",INDEX('Licences'!$D$4:$D$503,_calc!$E$309)))=0,"","Ref: "&amp;IF(LEN(INDEX('Licences'!$D$4:$D$503,_calc!$E$309))=0,"",INDEX('Licences'!$D$4:$D$503,_calc!$E$309))&amp;". ")&amp;IF(LEN(IF(LEN(INDEX('Licences'!$C$4:$C$503,_calc!$E$309))=0,"",INDEX('Licences'!$C$4:$C$503,_calc!$E$309)))=0,"","Issuer: "&amp;IF(LEN(INDEX('Licences'!$C$4:$C$503,_calc!$E$309))=0,"",INDEX('Licences'!$C$4:$C$503,_calc!$E$309))&amp;". ")&amp;IF(LEN(IF(LEN(INDEX('Licences'!$E$4:$E$503,_calc!$E$309))=0,"",INDEX('Licences'!$E$4:$E$503,_calc!$E$309)))=0,"","Site: "&amp;IF(LEN(INDEX('Licences'!$E$4:$E$503,_calc!$E$309))=0,"",INDEX('Licences'!$E$4:$E$503,_calc!$E$309))&amp;". ")&amp;IF(LEN(IF(LEN(INDEX('Licences'!$F$4:$F$503,_calc!$E$309))=0,"",INDEX('Licences'!$F$4:$F$503,_calc!$E$309)))=0,"","Owner: "&amp;IF(LEN(INDEX('Licences'!$F$4:$F$503,_calc!$E$309))=0,"",INDEX('Licences'!$F$4:$F$503,_calc!$E$309))&amp;". ")&amp;IF(LEN(IF(LEN(INDEX('Licences'!$R$4:$R$503,_calc!$E$309))=0,"",INDEX('Licences'!$R$4:$R$503,_calc!$E$309)))=0,"",IF(LEN(INDEX('Licences'!$R$4:$R$503,_calc!$E$309))=0,"",INDEX('Licences'!$R$4:$R$503,_calc!$E$309)))))</f>
        <v/>
      </c>
      <c r="G307" s="44">
        <f>IF(_calc!$E$309="","",IF(LEN(INDEX('Licences'!$Q$4:$Q$503,_calc!$E$309))=0,"",INDEX('Licences'!$Q$4:$Q$503,_calc!$E$309)))</f>
        <v/>
      </c>
      <c r="H307" s="44">
        <f>IF(_calc!$E$309="","",IF(LEN(INDEX('Licences'!$O$4:$O$503,_calc!$E$309))=0,"",INDEX('Licences'!$O$4:$O$503,_calc!$E$309)))</f>
        <v/>
      </c>
      <c r="I307" s="44">
        <f>IF(_calc!$E$309="","",IF(LEN(INDEX('Licences'!$P$4:$P$503,_calc!$E$309))=0,"",INDEX('Licences'!$P$4:$P$503,_calc!$E$309)))</f>
        <v/>
      </c>
      <c r="K307" s="44">
        <f>IF(_calc!$E$309="","",IF(LEN(INDEX('Licences'!$G$4:$G$503,_calc!$E$309))=0,"",INDEX('Licences'!$G$4:$G$503,_calc!$E$309)))</f>
        <v/>
      </c>
    </row>
    <row r="308">
      <c r="A308" s="44">
        <f>IF(_calc!$E$310="","",IF(LEN(INDEX('Licences'!$A$4:$A$503,_calc!$E$310))=0,"",INDEX('Licences'!$A$4:$A$503,_calc!$E$310)))</f>
        <v/>
      </c>
      <c r="B308" s="44">
        <f>IF(_calc!$E$310="","",IF(ISNUMBER(INDEX('Licences'!$J$4:$J$503,_calc!$E$310)),TEXT(INDEX('Licences'!$J$4:$J$503,_calc!$E$310),"yyyy-mm-dd"),""))</f>
        <v/>
      </c>
      <c r="C308" s="44">
        <f>IF(_calc!$E$310="","",IF(LEN(INDEX('Licences'!$B$4:$B$503,_calc!$E$310))=0,"",INDEX('Licences'!$B$4:$B$503,_calc!$E$310)))</f>
        <v/>
      </c>
      <c r="D308" s="44">
        <f>IF(_calc!$E$310="","",IF(ISNUMBER(INDEX('Licences'!$I$4:$I$503,_calc!$E$310)),TEXT(INDEX('Licences'!$I$4:$I$503,_calc!$E$310),"yyyy-mm-dd"),""))</f>
        <v/>
      </c>
      <c r="E308" s="44">
        <f>IF(_calc!$E$310="","",IF(LEN(INDEX('Licences'!$H$4:$H$503,_calc!$E$310))=0,"",INDEX('Licences'!$H$4:$H$503,_calc!$E$310)))</f>
        <v/>
      </c>
      <c r="F308" s="44">
        <f>IF(_calc!$E$310="","",TRIM(IF(LEN(IF(LEN(INDEX('Licences'!$D$4:$D$503,_calc!$E$310))=0,"",INDEX('Licences'!$D$4:$D$503,_calc!$E$310)))=0,"","Ref: "&amp;IF(LEN(INDEX('Licences'!$D$4:$D$503,_calc!$E$310))=0,"",INDEX('Licences'!$D$4:$D$503,_calc!$E$310))&amp;". ")&amp;IF(LEN(IF(LEN(INDEX('Licences'!$C$4:$C$503,_calc!$E$310))=0,"",INDEX('Licences'!$C$4:$C$503,_calc!$E$310)))=0,"","Issuer: "&amp;IF(LEN(INDEX('Licences'!$C$4:$C$503,_calc!$E$310))=0,"",INDEX('Licences'!$C$4:$C$503,_calc!$E$310))&amp;". ")&amp;IF(LEN(IF(LEN(INDEX('Licences'!$E$4:$E$503,_calc!$E$310))=0,"",INDEX('Licences'!$E$4:$E$503,_calc!$E$310)))=0,"","Site: "&amp;IF(LEN(INDEX('Licences'!$E$4:$E$503,_calc!$E$310))=0,"",INDEX('Licences'!$E$4:$E$503,_calc!$E$310))&amp;". ")&amp;IF(LEN(IF(LEN(INDEX('Licences'!$F$4:$F$503,_calc!$E$310))=0,"",INDEX('Licences'!$F$4:$F$503,_calc!$E$310)))=0,"","Owner: "&amp;IF(LEN(INDEX('Licences'!$F$4:$F$503,_calc!$E$310))=0,"",INDEX('Licences'!$F$4:$F$503,_calc!$E$310))&amp;". ")&amp;IF(LEN(IF(LEN(INDEX('Licences'!$R$4:$R$503,_calc!$E$310))=0,"",INDEX('Licences'!$R$4:$R$503,_calc!$E$310)))=0,"",IF(LEN(INDEX('Licences'!$R$4:$R$503,_calc!$E$310))=0,"",INDEX('Licences'!$R$4:$R$503,_calc!$E$310)))))</f>
        <v/>
      </c>
      <c r="G308" s="44">
        <f>IF(_calc!$E$310="","",IF(LEN(INDEX('Licences'!$Q$4:$Q$503,_calc!$E$310))=0,"",INDEX('Licences'!$Q$4:$Q$503,_calc!$E$310)))</f>
        <v/>
      </c>
      <c r="H308" s="44">
        <f>IF(_calc!$E$310="","",IF(LEN(INDEX('Licences'!$O$4:$O$503,_calc!$E$310))=0,"",INDEX('Licences'!$O$4:$O$503,_calc!$E$310)))</f>
        <v/>
      </c>
      <c r="I308" s="44">
        <f>IF(_calc!$E$310="","",IF(LEN(INDEX('Licences'!$P$4:$P$503,_calc!$E$310))=0,"",INDEX('Licences'!$P$4:$P$503,_calc!$E$310)))</f>
        <v/>
      </c>
      <c r="K308" s="44">
        <f>IF(_calc!$E$310="","",IF(LEN(INDEX('Licences'!$G$4:$G$503,_calc!$E$310))=0,"",INDEX('Licences'!$G$4:$G$503,_calc!$E$310)))</f>
        <v/>
      </c>
    </row>
    <row r="309">
      <c r="A309" s="44">
        <f>IF(_calc!$E$311="","",IF(LEN(INDEX('Licences'!$A$4:$A$503,_calc!$E$311))=0,"",INDEX('Licences'!$A$4:$A$503,_calc!$E$311)))</f>
        <v/>
      </c>
      <c r="B309" s="44">
        <f>IF(_calc!$E$311="","",IF(ISNUMBER(INDEX('Licences'!$J$4:$J$503,_calc!$E$311)),TEXT(INDEX('Licences'!$J$4:$J$503,_calc!$E$311),"yyyy-mm-dd"),""))</f>
        <v/>
      </c>
      <c r="C309" s="44">
        <f>IF(_calc!$E$311="","",IF(LEN(INDEX('Licences'!$B$4:$B$503,_calc!$E$311))=0,"",INDEX('Licences'!$B$4:$B$503,_calc!$E$311)))</f>
        <v/>
      </c>
      <c r="D309" s="44">
        <f>IF(_calc!$E$311="","",IF(ISNUMBER(INDEX('Licences'!$I$4:$I$503,_calc!$E$311)),TEXT(INDEX('Licences'!$I$4:$I$503,_calc!$E$311),"yyyy-mm-dd"),""))</f>
        <v/>
      </c>
      <c r="E309" s="44">
        <f>IF(_calc!$E$311="","",IF(LEN(INDEX('Licences'!$H$4:$H$503,_calc!$E$311))=0,"",INDEX('Licences'!$H$4:$H$503,_calc!$E$311)))</f>
        <v/>
      </c>
      <c r="F309" s="44">
        <f>IF(_calc!$E$311="","",TRIM(IF(LEN(IF(LEN(INDEX('Licences'!$D$4:$D$503,_calc!$E$311))=0,"",INDEX('Licences'!$D$4:$D$503,_calc!$E$311)))=0,"","Ref: "&amp;IF(LEN(INDEX('Licences'!$D$4:$D$503,_calc!$E$311))=0,"",INDEX('Licences'!$D$4:$D$503,_calc!$E$311))&amp;". ")&amp;IF(LEN(IF(LEN(INDEX('Licences'!$C$4:$C$503,_calc!$E$311))=0,"",INDEX('Licences'!$C$4:$C$503,_calc!$E$311)))=0,"","Issuer: "&amp;IF(LEN(INDEX('Licences'!$C$4:$C$503,_calc!$E$311))=0,"",INDEX('Licences'!$C$4:$C$503,_calc!$E$311))&amp;". ")&amp;IF(LEN(IF(LEN(INDEX('Licences'!$E$4:$E$503,_calc!$E$311))=0,"",INDEX('Licences'!$E$4:$E$503,_calc!$E$311)))=0,"","Site: "&amp;IF(LEN(INDEX('Licences'!$E$4:$E$503,_calc!$E$311))=0,"",INDEX('Licences'!$E$4:$E$503,_calc!$E$311))&amp;". ")&amp;IF(LEN(IF(LEN(INDEX('Licences'!$F$4:$F$503,_calc!$E$311))=0,"",INDEX('Licences'!$F$4:$F$503,_calc!$E$311)))=0,"","Owner: "&amp;IF(LEN(INDEX('Licences'!$F$4:$F$503,_calc!$E$311))=0,"",INDEX('Licences'!$F$4:$F$503,_calc!$E$311))&amp;". ")&amp;IF(LEN(IF(LEN(INDEX('Licences'!$R$4:$R$503,_calc!$E$311))=0,"",INDEX('Licences'!$R$4:$R$503,_calc!$E$311)))=0,"",IF(LEN(INDEX('Licences'!$R$4:$R$503,_calc!$E$311))=0,"",INDEX('Licences'!$R$4:$R$503,_calc!$E$311)))))</f>
        <v/>
      </c>
      <c r="G309" s="44">
        <f>IF(_calc!$E$311="","",IF(LEN(INDEX('Licences'!$Q$4:$Q$503,_calc!$E$311))=0,"",INDEX('Licences'!$Q$4:$Q$503,_calc!$E$311)))</f>
        <v/>
      </c>
      <c r="H309" s="44">
        <f>IF(_calc!$E$311="","",IF(LEN(INDEX('Licences'!$O$4:$O$503,_calc!$E$311))=0,"",INDEX('Licences'!$O$4:$O$503,_calc!$E$311)))</f>
        <v/>
      </c>
      <c r="I309" s="44">
        <f>IF(_calc!$E$311="","",IF(LEN(INDEX('Licences'!$P$4:$P$503,_calc!$E$311))=0,"",INDEX('Licences'!$P$4:$P$503,_calc!$E$311)))</f>
        <v/>
      </c>
      <c r="K309" s="44">
        <f>IF(_calc!$E$311="","",IF(LEN(INDEX('Licences'!$G$4:$G$503,_calc!$E$311))=0,"",INDEX('Licences'!$G$4:$G$503,_calc!$E$311)))</f>
        <v/>
      </c>
    </row>
    <row r="310">
      <c r="A310" s="44">
        <f>IF(_calc!$E$312="","",IF(LEN(INDEX('Licences'!$A$4:$A$503,_calc!$E$312))=0,"",INDEX('Licences'!$A$4:$A$503,_calc!$E$312)))</f>
        <v/>
      </c>
      <c r="B310" s="44">
        <f>IF(_calc!$E$312="","",IF(ISNUMBER(INDEX('Licences'!$J$4:$J$503,_calc!$E$312)),TEXT(INDEX('Licences'!$J$4:$J$503,_calc!$E$312),"yyyy-mm-dd"),""))</f>
        <v/>
      </c>
      <c r="C310" s="44">
        <f>IF(_calc!$E$312="","",IF(LEN(INDEX('Licences'!$B$4:$B$503,_calc!$E$312))=0,"",INDEX('Licences'!$B$4:$B$503,_calc!$E$312)))</f>
        <v/>
      </c>
      <c r="D310" s="44">
        <f>IF(_calc!$E$312="","",IF(ISNUMBER(INDEX('Licences'!$I$4:$I$503,_calc!$E$312)),TEXT(INDEX('Licences'!$I$4:$I$503,_calc!$E$312),"yyyy-mm-dd"),""))</f>
        <v/>
      </c>
      <c r="E310" s="44">
        <f>IF(_calc!$E$312="","",IF(LEN(INDEX('Licences'!$H$4:$H$503,_calc!$E$312))=0,"",INDEX('Licences'!$H$4:$H$503,_calc!$E$312)))</f>
        <v/>
      </c>
      <c r="F310" s="44">
        <f>IF(_calc!$E$312="","",TRIM(IF(LEN(IF(LEN(INDEX('Licences'!$D$4:$D$503,_calc!$E$312))=0,"",INDEX('Licences'!$D$4:$D$503,_calc!$E$312)))=0,"","Ref: "&amp;IF(LEN(INDEX('Licences'!$D$4:$D$503,_calc!$E$312))=0,"",INDEX('Licences'!$D$4:$D$503,_calc!$E$312))&amp;". ")&amp;IF(LEN(IF(LEN(INDEX('Licences'!$C$4:$C$503,_calc!$E$312))=0,"",INDEX('Licences'!$C$4:$C$503,_calc!$E$312)))=0,"","Issuer: "&amp;IF(LEN(INDEX('Licences'!$C$4:$C$503,_calc!$E$312))=0,"",INDEX('Licences'!$C$4:$C$503,_calc!$E$312))&amp;". ")&amp;IF(LEN(IF(LEN(INDEX('Licences'!$E$4:$E$503,_calc!$E$312))=0,"",INDEX('Licences'!$E$4:$E$503,_calc!$E$312)))=0,"","Site: "&amp;IF(LEN(INDEX('Licences'!$E$4:$E$503,_calc!$E$312))=0,"",INDEX('Licences'!$E$4:$E$503,_calc!$E$312))&amp;". ")&amp;IF(LEN(IF(LEN(INDEX('Licences'!$F$4:$F$503,_calc!$E$312))=0,"",INDEX('Licences'!$F$4:$F$503,_calc!$E$312)))=0,"","Owner: "&amp;IF(LEN(INDEX('Licences'!$F$4:$F$503,_calc!$E$312))=0,"",INDEX('Licences'!$F$4:$F$503,_calc!$E$312))&amp;". ")&amp;IF(LEN(IF(LEN(INDEX('Licences'!$R$4:$R$503,_calc!$E$312))=0,"",INDEX('Licences'!$R$4:$R$503,_calc!$E$312)))=0,"",IF(LEN(INDEX('Licences'!$R$4:$R$503,_calc!$E$312))=0,"",INDEX('Licences'!$R$4:$R$503,_calc!$E$312)))))</f>
        <v/>
      </c>
      <c r="G310" s="44">
        <f>IF(_calc!$E$312="","",IF(LEN(INDEX('Licences'!$Q$4:$Q$503,_calc!$E$312))=0,"",INDEX('Licences'!$Q$4:$Q$503,_calc!$E$312)))</f>
        <v/>
      </c>
      <c r="H310" s="44">
        <f>IF(_calc!$E$312="","",IF(LEN(INDEX('Licences'!$O$4:$O$503,_calc!$E$312))=0,"",INDEX('Licences'!$O$4:$O$503,_calc!$E$312)))</f>
        <v/>
      </c>
      <c r="I310" s="44">
        <f>IF(_calc!$E$312="","",IF(LEN(INDEX('Licences'!$P$4:$P$503,_calc!$E$312))=0,"",INDEX('Licences'!$P$4:$P$503,_calc!$E$312)))</f>
        <v/>
      </c>
      <c r="K310" s="44">
        <f>IF(_calc!$E$312="","",IF(LEN(INDEX('Licences'!$G$4:$G$503,_calc!$E$312))=0,"",INDEX('Licences'!$G$4:$G$503,_calc!$E$312)))</f>
        <v/>
      </c>
    </row>
    <row r="311">
      <c r="A311" s="44">
        <f>IF(_calc!$E$313="","",IF(LEN(INDEX('Licences'!$A$4:$A$503,_calc!$E$313))=0,"",INDEX('Licences'!$A$4:$A$503,_calc!$E$313)))</f>
        <v/>
      </c>
      <c r="B311" s="44">
        <f>IF(_calc!$E$313="","",IF(ISNUMBER(INDEX('Licences'!$J$4:$J$503,_calc!$E$313)),TEXT(INDEX('Licences'!$J$4:$J$503,_calc!$E$313),"yyyy-mm-dd"),""))</f>
        <v/>
      </c>
      <c r="C311" s="44">
        <f>IF(_calc!$E$313="","",IF(LEN(INDEX('Licences'!$B$4:$B$503,_calc!$E$313))=0,"",INDEX('Licences'!$B$4:$B$503,_calc!$E$313)))</f>
        <v/>
      </c>
      <c r="D311" s="44">
        <f>IF(_calc!$E$313="","",IF(ISNUMBER(INDEX('Licences'!$I$4:$I$503,_calc!$E$313)),TEXT(INDEX('Licences'!$I$4:$I$503,_calc!$E$313),"yyyy-mm-dd"),""))</f>
        <v/>
      </c>
      <c r="E311" s="44">
        <f>IF(_calc!$E$313="","",IF(LEN(INDEX('Licences'!$H$4:$H$503,_calc!$E$313))=0,"",INDEX('Licences'!$H$4:$H$503,_calc!$E$313)))</f>
        <v/>
      </c>
      <c r="F311" s="44">
        <f>IF(_calc!$E$313="","",TRIM(IF(LEN(IF(LEN(INDEX('Licences'!$D$4:$D$503,_calc!$E$313))=0,"",INDEX('Licences'!$D$4:$D$503,_calc!$E$313)))=0,"","Ref: "&amp;IF(LEN(INDEX('Licences'!$D$4:$D$503,_calc!$E$313))=0,"",INDEX('Licences'!$D$4:$D$503,_calc!$E$313))&amp;". ")&amp;IF(LEN(IF(LEN(INDEX('Licences'!$C$4:$C$503,_calc!$E$313))=0,"",INDEX('Licences'!$C$4:$C$503,_calc!$E$313)))=0,"","Issuer: "&amp;IF(LEN(INDEX('Licences'!$C$4:$C$503,_calc!$E$313))=0,"",INDEX('Licences'!$C$4:$C$503,_calc!$E$313))&amp;". ")&amp;IF(LEN(IF(LEN(INDEX('Licences'!$E$4:$E$503,_calc!$E$313))=0,"",INDEX('Licences'!$E$4:$E$503,_calc!$E$313)))=0,"","Site: "&amp;IF(LEN(INDEX('Licences'!$E$4:$E$503,_calc!$E$313))=0,"",INDEX('Licences'!$E$4:$E$503,_calc!$E$313))&amp;". ")&amp;IF(LEN(IF(LEN(INDEX('Licences'!$F$4:$F$503,_calc!$E$313))=0,"",INDEX('Licences'!$F$4:$F$503,_calc!$E$313)))=0,"","Owner: "&amp;IF(LEN(INDEX('Licences'!$F$4:$F$503,_calc!$E$313))=0,"",INDEX('Licences'!$F$4:$F$503,_calc!$E$313))&amp;". ")&amp;IF(LEN(IF(LEN(INDEX('Licences'!$R$4:$R$503,_calc!$E$313))=0,"",INDEX('Licences'!$R$4:$R$503,_calc!$E$313)))=0,"",IF(LEN(INDEX('Licences'!$R$4:$R$503,_calc!$E$313))=0,"",INDEX('Licences'!$R$4:$R$503,_calc!$E$313)))))</f>
        <v/>
      </c>
      <c r="G311" s="44">
        <f>IF(_calc!$E$313="","",IF(LEN(INDEX('Licences'!$Q$4:$Q$503,_calc!$E$313))=0,"",INDEX('Licences'!$Q$4:$Q$503,_calc!$E$313)))</f>
        <v/>
      </c>
      <c r="H311" s="44">
        <f>IF(_calc!$E$313="","",IF(LEN(INDEX('Licences'!$O$4:$O$503,_calc!$E$313))=0,"",INDEX('Licences'!$O$4:$O$503,_calc!$E$313)))</f>
        <v/>
      </c>
      <c r="I311" s="44">
        <f>IF(_calc!$E$313="","",IF(LEN(INDEX('Licences'!$P$4:$P$503,_calc!$E$313))=0,"",INDEX('Licences'!$P$4:$P$503,_calc!$E$313)))</f>
        <v/>
      </c>
      <c r="K311" s="44">
        <f>IF(_calc!$E$313="","",IF(LEN(INDEX('Licences'!$G$4:$G$503,_calc!$E$313))=0,"",INDEX('Licences'!$G$4:$G$503,_calc!$E$313)))</f>
        <v/>
      </c>
    </row>
    <row r="312">
      <c r="A312" s="44">
        <f>IF(_calc!$E$314="","",IF(LEN(INDEX('Licences'!$A$4:$A$503,_calc!$E$314))=0,"",INDEX('Licences'!$A$4:$A$503,_calc!$E$314)))</f>
        <v/>
      </c>
      <c r="B312" s="44">
        <f>IF(_calc!$E$314="","",IF(ISNUMBER(INDEX('Licences'!$J$4:$J$503,_calc!$E$314)),TEXT(INDEX('Licences'!$J$4:$J$503,_calc!$E$314),"yyyy-mm-dd"),""))</f>
        <v/>
      </c>
      <c r="C312" s="44">
        <f>IF(_calc!$E$314="","",IF(LEN(INDEX('Licences'!$B$4:$B$503,_calc!$E$314))=0,"",INDEX('Licences'!$B$4:$B$503,_calc!$E$314)))</f>
        <v/>
      </c>
      <c r="D312" s="44">
        <f>IF(_calc!$E$314="","",IF(ISNUMBER(INDEX('Licences'!$I$4:$I$503,_calc!$E$314)),TEXT(INDEX('Licences'!$I$4:$I$503,_calc!$E$314),"yyyy-mm-dd"),""))</f>
        <v/>
      </c>
      <c r="E312" s="44">
        <f>IF(_calc!$E$314="","",IF(LEN(INDEX('Licences'!$H$4:$H$503,_calc!$E$314))=0,"",INDEX('Licences'!$H$4:$H$503,_calc!$E$314)))</f>
        <v/>
      </c>
      <c r="F312" s="44">
        <f>IF(_calc!$E$314="","",TRIM(IF(LEN(IF(LEN(INDEX('Licences'!$D$4:$D$503,_calc!$E$314))=0,"",INDEX('Licences'!$D$4:$D$503,_calc!$E$314)))=0,"","Ref: "&amp;IF(LEN(INDEX('Licences'!$D$4:$D$503,_calc!$E$314))=0,"",INDEX('Licences'!$D$4:$D$503,_calc!$E$314))&amp;". ")&amp;IF(LEN(IF(LEN(INDEX('Licences'!$C$4:$C$503,_calc!$E$314))=0,"",INDEX('Licences'!$C$4:$C$503,_calc!$E$314)))=0,"","Issuer: "&amp;IF(LEN(INDEX('Licences'!$C$4:$C$503,_calc!$E$314))=0,"",INDEX('Licences'!$C$4:$C$503,_calc!$E$314))&amp;". ")&amp;IF(LEN(IF(LEN(INDEX('Licences'!$E$4:$E$503,_calc!$E$314))=0,"",INDEX('Licences'!$E$4:$E$503,_calc!$E$314)))=0,"","Site: "&amp;IF(LEN(INDEX('Licences'!$E$4:$E$503,_calc!$E$314))=0,"",INDEX('Licences'!$E$4:$E$503,_calc!$E$314))&amp;". ")&amp;IF(LEN(IF(LEN(INDEX('Licences'!$F$4:$F$503,_calc!$E$314))=0,"",INDEX('Licences'!$F$4:$F$503,_calc!$E$314)))=0,"","Owner: "&amp;IF(LEN(INDEX('Licences'!$F$4:$F$503,_calc!$E$314))=0,"",INDEX('Licences'!$F$4:$F$503,_calc!$E$314))&amp;". ")&amp;IF(LEN(IF(LEN(INDEX('Licences'!$R$4:$R$503,_calc!$E$314))=0,"",INDEX('Licences'!$R$4:$R$503,_calc!$E$314)))=0,"",IF(LEN(INDEX('Licences'!$R$4:$R$503,_calc!$E$314))=0,"",INDEX('Licences'!$R$4:$R$503,_calc!$E$314)))))</f>
        <v/>
      </c>
      <c r="G312" s="44">
        <f>IF(_calc!$E$314="","",IF(LEN(INDEX('Licences'!$Q$4:$Q$503,_calc!$E$314))=0,"",INDEX('Licences'!$Q$4:$Q$503,_calc!$E$314)))</f>
        <v/>
      </c>
      <c r="H312" s="44">
        <f>IF(_calc!$E$314="","",IF(LEN(INDEX('Licences'!$O$4:$O$503,_calc!$E$314))=0,"",INDEX('Licences'!$O$4:$O$503,_calc!$E$314)))</f>
        <v/>
      </c>
      <c r="I312" s="44">
        <f>IF(_calc!$E$314="","",IF(LEN(INDEX('Licences'!$P$4:$P$503,_calc!$E$314))=0,"",INDEX('Licences'!$P$4:$P$503,_calc!$E$314)))</f>
        <v/>
      </c>
      <c r="K312" s="44">
        <f>IF(_calc!$E$314="","",IF(LEN(INDEX('Licences'!$G$4:$G$503,_calc!$E$314))=0,"",INDEX('Licences'!$G$4:$G$503,_calc!$E$314)))</f>
        <v/>
      </c>
    </row>
    <row r="313">
      <c r="A313" s="44">
        <f>IF(_calc!$E$315="","",IF(LEN(INDEX('Licences'!$A$4:$A$503,_calc!$E$315))=0,"",INDEX('Licences'!$A$4:$A$503,_calc!$E$315)))</f>
        <v/>
      </c>
      <c r="B313" s="44">
        <f>IF(_calc!$E$315="","",IF(ISNUMBER(INDEX('Licences'!$J$4:$J$503,_calc!$E$315)),TEXT(INDEX('Licences'!$J$4:$J$503,_calc!$E$315),"yyyy-mm-dd"),""))</f>
        <v/>
      </c>
      <c r="C313" s="44">
        <f>IF(_calc!$E$315="","",IF(LEN(INDEX('Licences'!$B$4:$B$503,_calc!$E$315))=0,"",INDEX('Licences'!$B$4:$B$503,_calc!$E$315)))</f>
        <v/>
      </c>
      <c r="D313" s="44">
        <f>IF(_calc!$E$315="","",IF(ISNUMBER(INDEX('Licences'!$I$4:$I$503,_calc!$E$315)),TEXT(INDEX('Licences'!$I$4:$I$503,_calc!$E$315),"yyyy-mm-dd"),""))</f>
        <v/>
      </c>
      <c r="E313" s="44">
        <f>IF(_calc!$E$315="","",IF(LEN(INDEX('Licences'!$H$4:$H$503,_calc!$E$315))=0,"",INDEX('Licences'!$H$4:$H$503,_calc!$E$315)))</f>
        <v/>
      </c>
      <c r="F313" s="44">
        <f>IF(_calc!$E$315="","",TRIM(IF(LEN(IF(LEN(INDEX('Licences'!$D$4:$D$503,_calc!$E$315))=0,"",INDEX('Licences'!$D$4:$D$503,_calc!$E$315)))=0,"","Ref: "&amp;IF(LEN(INDEX('Licences'!$D$4:$D$503,_calc!$E$315))=0,"",INDEX('Licences'!$D$4:$D$503,_calc!$E$315))&amp;". ")&amp;IF(LEN(IF(LEN(INDEX('Licences'!$C$4:$C$503,_calc!$E$315))=0,"",INDEX('Licences'!$C$4:$C$503,_calc!$E$315)))=0,"","Issuer: "&amp;IF(LEN(INDEX('Licences'!$C$4:$C$503,_calc!$E$315))=0,"",INDEX('Licences'!$C$4:$C$503,_calc!$E$315))&amp;". ")&amp;IF(LEN(IF(LEN(INDEX('Licences'!$E$4:$E$503,_calc!$E$315))=0,"",INDEX('Licences'!$E$4:$E$503,_calc!$E$315)))=0,"","Site: "&amp;IF(LEN(INDEX('Licences'!$E$4:$E$503,_calc!$E$315))=0,"",INDEX('Licences'!$E$4:$E$503,_calc!$E$315))&amp;". ")&amp;IF(LEN(IF(LEN(INDEX('Licences'!$F$4:$F$503,_calc!$E$315))=0,"",INDEX('Licences'!$F$4:$F$503,_calc!$E$315)))=0,"","Owner: "&amp;IF(LEN(INDEX('Licences'!$F$4:$F$503,_calc!$E$315))=0,"",INDEX('Licences'!$F$4:$F$503,_calc!$E$315))&amp;". ")&amp;IF(LEN(IF(LEN(INDEX('Licences'!$R$4:$R$503,_calc!$E$315))=0,"",INDEX('Licences'!$R$4:$R$503,_calc!$E$315)))=0,"",IF(LEN(INDEX('Licences'!$R$4:$R$503,_calc!$E$315))=0,"",INDEX('Licences'!$R$4:$R$503,_calc!$E$315)))))</f>
        <v/>
      </c>
      <c r="G313" s="44">
        <f>IF(_calc!$E$315="","",IF(LEN(INDEX('Licences'!$Q$4:$Q$503,_calc!$E$315))=0,"",INDEX('Licences'!$Q$4:$Q$503,_calc!$E$315)))</f>
        <v/>
      </c>
      <c r="H313" s="44">
        <f>IF(_calc!$E$315="","",IF(LEN(INDEX('Licences'!$O$4:$O$503,_calc!$E$315))=0,"",INDEX('Licences'!$O$4:$O$503,_calc!$E$315)))</f>
        <v/>
      </c>
      <c r="I313" s="44">
        <f>IF(_calc!$E$315="","",IF(LEN(INDEX('Licences'!$P$4:$P$503,_calc!$E$315))=0,"",INDEX('Licences'!$P$4:$P$503,_calc!$E$315)))</f>
        <v/>
      </c>
      <c r="K313" s="44">
        <f>IF(_calc!$E$315="","",IF(LEN(INDEX('Licences'!$G$4:$G$503,_calc!$E$315))=0,"",INDEX('Licences'!$G$4:$G$503,_calc!$E$315)))</f>
        <v/>
      </c>
    </row>
    <row r="314">
      <c r="A314" s="44">
        <f>IF(_calc!$E$316="","",IF(LEN(INDEX('Licences'!$A$4:$A$503,_calc!$E$316))=0,"",INDEX('Licences'!$A$4:$A$503,_calc!$E$316)))</f>
        <v/>
      </c>
      <c r="B314" s="44">
        <f>IF(_calc!$E$316="","",IF(ISNUMBER(INDEX('Licences'!$J$4:$J$503,_calc!$E$316)),TEXT(INDEX('Licences'!$J$4:$J$503,_calc!$E$316),"yyyy-mm-dd"),""))</f>
        <v/>
      </c>
      <c r="C314" s="44">
        <f>IF(_calc!$E$316="","",IF(LEN(INDEX('Licences'!$B$4:$B$503,_calc!$E$316))=0,"",INDEX('Licences'!$B$4:$B$503,_calc!$E$316)))</f>
        <v/>
      </c>
      <c r="D314" s="44">
        <f>IF(_calc!$E$316="","",IF(ISNUMBER(INDEX('Licences'!$I$4:$I$503,_calc!$E$316)),TEXT(INDEX('Licences'!$I$4:$I$503,_calc!$E$316),"yyyy-mm-dd"),""))</f>
        <v/>
      </c>
      <c r="E314" s="44">
        <f>IF(_calc!$E$316="","",IF(LEN(INDEX('Licences'!$H$4:$H$503,_calc!$E$316))=0,"",INDEX('Licences'!$H$4:$H$503,_calc!$E$316)))</f>
        <v/>
      </c>
      <c r="F314" s="44">
        <f>IF(_calc!$E$316="","",TRIM(IF(LEN(IF(LEN(INDEX('Licences'!$D$4:$D$503,_calc!$E$316))=0,"",INDEX('Licences'!$D$4:$D$503,_calc!$E$316)))=0,"","Ref: "&amp;IF(LEN(INDEX('Licences'!$D$4:$D$503,_calc!$E$316))=0,"",INDEX('Licences'!$D$4:$D$503,_calc!$E$316))&amp;". ")&amp;IF(LEN(IF(LEN(INDEX('Licences'!$C$4:$C$503,_calc!$E$316))=0,"",INDEX('Licences'!$C$4:$C$503,_calc!$E$316)))=0,"","Issuer: "&amp;IF(LEN(INDEX('Licences'!$C$4:$C$503,_calc!$E$316))=0,"",INDEX('Licences'!$C$4:$C$503,_calc!$E$316))&amp;". ")&amp;IF(LEN(IF(LEN(INDEX('Licences'!$E$4:$E$503,_calc!$E$316))=0,"",INDEX('Licences'!$E$4:$E$503,_calc!$E$316)))=0,"","Site: "&amp;IF(LEN(INDEX('Licences'!$E$4:$E$503,_calc!$E$316))=0,"",INDEX('Licences'!$E$4:$E$503,_calc!$E$316))&amp;". ")&amp;IF(LEN(IF(LEN(INDEX('Licences'!$F$4:$F$503,_calc!$E$316))=0,"",INDEX('Licences'!$F$4:$F$503,_calc!$E$316)))=0,"","Owner: "&amp;IF(LEN(INDEX('Licences'!$F$4:$F$503,_calc!$E$316))=0,"",INDEX('Licences'!$F$4:$F$503,_calc!$E$316))&amp;". ")&amp;IF(LEN(IF(LEN(INDEX('Licences'!$R$4:$R$503,_calc!$E$316))=0,"",INDEX('Licences'!$R$4:$R$503,_calc!$E$316)))=0,"",IF(LEN(INDEX('Licences'!$R$4:$R$503,_calc!$E$316))=0,"",INDEX('Licences'!$R$4:$R$503,_calc!$E$316)))))</f>
        <v/>
      </c>
      <c r="G314" s="44">
        <f>IF(_calc!$E$316="","",IF(LEN(INDEX('Licences'!$Q$4:$Q$503,_calc!$E$316))=0,"",INDEX('Licences'!$Q$4:$Q$503,_calc!$E$316)))</f>
        <v/>
      </c>
      <c r="H314" s="44">
        <f>IF(_calc!$E$316="","",IF(LEN(INDEX('Licences'!$O$4:$O$503,_calc!$E$316))=0,"",INDEX('Licences'!$O$4:$O$503,_calc!$E$316)))</f>
        <v/>
      </c>
      <c r="I314" s="44">
        <f>IF(_calc!$E$316="","",IF(LEN(INDEX('Licences'!$P$4:$P$503,_calc!$E$316))=0,"",INDEX('Licences'!$P$4:$P$503,_calc!$E$316)))</f>
        <v/>
      </c>
      <c r="K314" s="44">
        <f>IF(_calc!$E$316="","",IF(LEN(INDEX('Licences'!$G$4:$G$503,_calc!$E$316))=0,"",INDEX('Licences'!$G$4:$G$503,_calc!$E$316)))</f>
        <v/>
      </c>
    </row>
    <row r="315">
      <c r="A315" s="44">
        <f>IF(_calc!$E$317="","",IF(LEN(INDEX('Licences'!$A$4:$A$503,_calc!$E$317))=0,"",INDEX('Licences'!$A$4:$A$503,_calc!$E$317)))</f>
        <v/>
      </c>
      <c r="B315" s="44">
        <f>IF(_calc!$E$317="","",IF(ISNUMBER(INDEX('Licences'!$J$4:$J$503,_calc!$E$317)),TEXT(INDEX('Licences'!$J$4:$J$503,_calc!$E$317),"yyyy-mm-dd"),""))</f>
        <v/>
      </c>
      <c r="C315" s="44">
        <f>IF(_calc!$E$317="","",IF(LEN(INDEX('Licences'!$B$4:$B$503,_calc!$E$317))=0,"",INDEX('Licences'!$B$4:$B$503,_calc!$E$317)))</f>
        <v/>
      </c>
      <c r="D315" s="44">
        <f>IF(_calc!$E$317="","",IF(ISNUMBER(INDEX('Licences'!$I$4:$I$503,_calc!$E$317)),TEXT(INDEX('Licences'!$I$4:$I$503,_calc!$E$317),"yyyy-mm-dd"),""))</f>
        <v/>
      </c>
      <c r="E315" s="44">
        <f>IF(_calc!$E$317="","",IF(LEN(INDEX('Licences'!$H$4:$H$503,_calc!$E$317))=0,"",INDEX('Licences'!$H$4:$H$503,_calc!$E$317)))</f>
        <v/>
      </c>
      <c r="F315" s="44">
        <f>IF(_calc!$E$317="","",TRIM(IF(LEN(IF(LEN(INDEX('Licences'!$D$4:$D$503,_calc!$E$317))=0,"",INDEX('Licences'!$D$4:$D$503,_calc!$E$317)))=0,"","Ref: "&amp;IF(LEN(INDEX('Licences'!$D$4:$D$503,_calc!$E$317))=0,"",INDEX('Licences'!$D$4:$D$503,_calc!$E$317))&amp;". ")&amp;IF(LEN(IF(LEN(INDEX('Licences'!$C$4:$C$503,_calc!$E$317))=0,"",INDEX('Licences'!$C$4:$C$503,_calc!$E$317)))=0,"","Issuer: "&amp;IF(LEN(INDEX('Licences'!$C$4:$C$503,_calc!$E$317))=0,"",INDEX('Licences'!$C$4:$C$503,_calc!$E$317))&amp;". ")&amp;IF(LEN(IF(LEN(INDEX('Licences'!$E$4:$E$503,_calc!$E$317))=0,"",INDEX('Licences'!$E$4:$E$503,_calc!$E$317)))=0,"","Site: "&amp;IF(LEN(INDEX('Licences'!$E$4:$E$503,_calc!$E$317))=0,"",INDEX('Licences'!$E$4:$E$503,_calc!$E$317))&amp;". ")&amp;IF(LEN(IF(LEN(INDEX('Licences'!$F$4:$F$503,_calc!$E$317))=0,"",INDEX('Licences'!$F$4:$F$503,_calc!$E$317)))=0,"","Owner: "&amp;IF(LEN(INDEX('Licences'!$F$4:$F$503,_calc!$E$317))=0,"",INDEX('Licences'!$F$4:$F$503,_calc!$E$317))&amp;". ")&amp;IF(LEN(IF(LEN(INDEX('Licences'!$R$4:$R$503,_calc!$E$317))=0,"",INDEX('Licences'!$R$4:$R$503,_calc!$E$317)))=0,"",IF(LEN(INDEX('Licences'!$R$4:$R$503,_calc!$E$317))=0,"",INDEX('Licences'!$R$4:$R$503,_calc!$E$317)))))</f>
        <v/>
      </c>
      <c r="G315" s="44">
        <f>IF(_calc!$E$317="","",IF(LEN(INDEX('Licences'!$Q$4:$Q$503,_calc!$E$317))=0,"",INDEX('Licences'!$Q$4:$Q$503,_calc!$E$317)))</f>
        <v/>
      </c>
      <c r="H315" s="44">
        <f>IF(_calc!$E$317="","",IF(LEN(INDEX('Licences'!$O$4:$O$503,_calc!$E$317))=0,"",INDEX('Licences'!$O$4:$O$503,_calc!$E$317)))</f>
        <v/>
      </c>
      <c r="I315" s="44">
        <f>IF(_calc!$E$317="","",IF(LEN(INDEX('Licences'!$P$4:$P$503,_calc!$E$317))=0,"",INDEX('Licences'!$P$4:$P$503,_calc!$E$317)))</f>
        <v/>
      </c>
      <c r="K315" s="44">
        <f>IF(_calc!$E$317="","",IF(LEN(INDEX('Licences'!$G$4:$G$503,_calc!$E$317))=0,"",INDEX('Licences'!$G$4:$G$503,_calc!$E$317)))</f>
        <v/>
      </c>
    </row>
    <row r="316">
      <c r="A316" s="44">
        <f>IF(_calc!$E$318="","",IF(LEN(INDEX('Licences'!$A$4:$A$503,_calc!$E$318))=0,"",INDEX('Licences'!$A$4:$A$503,_calc!$E$318)))</f>
        <v/>
      </c>
      <c r="B316" s="44">
        <f>IF(_calc!$E$318="","",IF(ISNUMBER(INDEX('Licences'!$J$4:$J$503,_calc!$E$318)),TEXT(INDEX('Licences'!$J$4:$J$503,_calc!$E$318),"yyyy-mm-dd"),""))</f>
        <v/>
      </c>
      <c r="C316" s="44">
        <f>IF(_calc!$E$318="","",IF(LEN(INDEX('Licences'!$B$4:$B$503,_calc!$E$318))=0,"",INDEX('Licences'!$B$4:$B$503,_calc!$E$318)))</f>
        <v/>
      </c>
      <c r="D316" s="44">
        <f>IF(_calc!$E$318="","",IF(ISNUMBER(INDEX('Licences'!$I$4:$I$503,_calc!$E$318)),TEXT(INDEX('Licences'!$I$4:$I$503,_calc!$E$318),"yyyy-mm-dd"),""))</f>
        <v/>
      </c>
      <c r="E316" s="44">
        <f>IF(_calc!$E$318="","",IF(LEN(INDEX('Licences'!$H$4:$H$503,_calc!$E$318))=0,"",INDEX('Licences'!$H$4:$H$503,_calc!$E$318)))</f>
        <v/>
      </c>
      <c r="F316" s="44">
        <f>IF(_calc!$E$318="","",TRIM(IF(LEN(IF(LEN(INDEX('Licences'!$D$4:$D$503,_calc!$E$318))=0,"",INDEX('Licences'!$D$4:$D$503,_calc!$E$318)))=0,"","Ref: "&amp;IF(LEN(INDEX('Licences'!$D$4:$D$503,_calc!$E$318))=0,"",INDEX('Licences'!$D$4:$D$503,_calc!$E$318))&amp;". ")&amp;IF(LEN(IF(LEN(INDEX('Licences'!$C$4:$C$503,_calc!$E$318))=0,"",INDEX('Licences'!$C$4:$C$503,_calc!$E$318)))=0,"","Issuer: "&amp;IF(LEN(INDEX('Licences'!$C$4:$C$503,_calc!$E$318))=0,"",INDEX('Licences'!$C$4:$C$503,_calc!$E$318))&amp;". ")&amp;IF(LEN(IF(LEN(INDEX('Licences'!$E$4:$E$503,_calc!$E$318))=0,"",INDEX('Licences'!$E$4:$E$503,_calc!$E$318)))=0,"","Site: "&amp;IF(LEN(INDEX('Licences'!$E$4:$E$503,_calc!$E$318))=0,"",INDEX('Licences'!$E$4:$E$503,_calc!$E$318))&amp;". ")&amp;IF(LEN(IF(LEN(INDEX('Licences'!$F$4:$F$503,_calc!$E$318))=0,"",INDEX('Licences'!$F$4:$F$503,_calc!$E$318)))=0,"","Owner: "&amp;IF(LEN(INDEX('Licences'!$F$4:$F$503,_calc!$E$318))=0,"",INDEX('Licences'!$F$4:$F$503,_calc!$E$318))&amp;". ")&amp;IF(LEN(IF(LEN(INDEX('Licences'!$R$4:$R$503,_calc!$E$318))=0,"",INDEX('Licences'!$R$4:$R$503,_calc!$E$318)))=0,"",IF(LEN(INDEX('Licences'!$R$4:$R$503,_calc!$E$318))=0,"",INDEX('Licences'!$R$4:$R$503,_calc!$E$318)))))</f>
        <v/>
      </c>
      <c r="G316" s="44">
        <f>IF(_calc!$E$318="","",IF(LEN(INDEX('Licences'!$Q$4:$Q$503,_calc!$E$318))=0,"",INDEX('Licences'!$Q$4:$Q$503,_calc!$E$318)))</f>
        <v/>
      </c>
      <c r="H316" s="44">
        <f>IF(_calc!$E$318="","",IF(LEN(INDEX('Licences'!$O$4:$O$503,_calc!$E$318))=0,"",INDEX('Licences'!$O$4:$O$503,_calc!$E$318)))</f>
        <v/>
      </c>
      <c r="I316" s="44">
        <f>IF(_calc!$E$318="","",IF(LEN(INDEX('Licences'!$P$4:$P$503,_calc!$E$318))=0,"",INDEX('Licences'!$P$4:$P$503,_calc!$E$318)))</f>
        <v/>
      </c>
      <c r="K316" s="44">
        <f>IF(_calc!$E$318="","",IF(LEN(INDEX('Licences'!$G$4:$G$503,_calc!$E$318))=0,"",INDEX('Licences'!$G$4:$G$503,_calc!$E$318)))</f>
        <v/>
      </c>
    </row>
    <row r="317">
      <c r="A317" s="44">
        <f>IF(_calc!$E$319="","",IF(LEN(INDEX('Licences'!$A$4:$A$503,_calc!$E$319))=0,"",INDEX('Licences'!$A$4:$A$503,_calc!$E$319)))</f>
        <v/>
      </c>
      <c r="B317" s="44">
        <f>IF(_calc!$E$319="","",IF(ISNUMBER(INDEX('Licences'!$J$4:$J$503,_calc!$E$319)),TEXT(INDEX('Licences'!$J$4:$J$503,_calc!$E$319),"yyyy-mm-dd"),""))</f>
        <v/>
      </c>
      <c r="C317" s="44">
        <f>IF(_calc!$E$319="","",IF(LEN(INDEX('Licences'!$B$4:$B$503,_calc!$E$319))=0,"",INDEX('Licences'!$B$4:$B$503,_calc!$E$319)))</f>
        <v/>
      </c>
      <c r="D317" s="44">
        <f>IF(_calc!$E$319="","",IF(ISNUMBER(INDEX('Licences'!$I$4:$I$503,_calc!$E$319)),TEXT(INDEX('Licences'!$I$4:$I$503,_calc!$E$319),"yyyy-mm-dd"),""))</f>
        <v/>
      </c>
      <c r="E317" s="44">
        <f>IF(_calc!$E$319="","",IF(LEN(INDEX('Licences'!$H$4:$H$503,_calc!$E$319))=0,"",INDEX('Licences'!$H$4:$H$503,_calc!$E$319)))</f>
        <v/>
      </c>
      <c r="F317" s="44">
        <f>IF(_calc!$E$319="","",TRIM(IF(LEN(IF(LEN(INDEX('Licences'!$D$4:$D$503,_calc!$E$319))=0,"",INDEX('Licences'!$D$4:$D$503,_calc!$E$319)))=0,"","Ref: "&amp;IF(LEN(INDEX('Licences'!$D$4:$D$503,_calc!$E$319))=0,"",INDEX('Licences'!$D$4:$D$503,_calc!$E$319))&amp;". ")&amp;IF(LEN(IF(LEN(INDEX('Licences'!$C$4:$C$503,_calc!$E$319))=0,"",INDEX('Licences'!$C$4:$C$503,_calc!$E$319)))=0,"","Issuer: "&amp;IF(LEN(INDEX('Licences'!$C$4:$C$503,_calc!$E$319))=0,"",INDEX('Licences'!$C$4:$C$503,_calc!$E$319))&amp;". ")&amp;IF(LEN(IF(LEN(INDEX('Licences'!$E$4:$E$503,_calc!$E$319))=0,"",INDEX('Licences'!$E$4:$E$503,_calc!$E$319)))=0,"","Site: "&amp;IF(LEN(INDEX('Licences'!$E$4:$E$503,_calc!$E$319))=0,"",INDEX('Licences'!$E$4:$E$503,_calc!$E$319))&amp;". ")&amp;IF(LEN(IF(LEN(INDEX('Licences'!$F$4:$F$503,_calc!$E$319))=0,"",INDEX('Licences'!$F$4:$F$503,_calc!$E$319)))=0,"","Owner: "&amp;IF(LEN(INDEX('Licences'!$F$4:$F$503,_calc!$E$319))=0,"",INDEX('Licences'!$F$4:$F$503,_calc!$E$319))&amp;". ")&amp;IF(LEN(IF(LEN(INDEX('Licences'!$R$4:$R$503,_calc!$E$319))=0,"",INDEX('Licences'!$R$4:$R$503,_calc!$E$319)))=0,"",IF(LEN(INDEX('Licences'!$R$4:$R$503,_calc!$E$319))=0,"",INDEX('Licences'!$R$4:$R$503,_calc!$E$319)))))</f>
        <v/>
      </c>
      <c r="G317" s="44">
        <f>IF(_calc!$E$319="","",IF(LEN(INDEX('Licences'!$Q$4:$Q$503,_calc!$E$319))=0,"",INDEX('Licences'!$Q$4:$Q$503,_calc!$E$319)))</f>
        <v/>
      </c>
      <c r="H317" s="44">
        <f>IF(_calc!$E$319="","",IF(LEN(INDEX('Licences'!$O$4:$O$503,_calc!$E$319))=0,"",INDEX('Licences'!$O$4:$O$503,_calc!$E$319)))</f>
        <v/>
      </c>
      <c r="I317" s="44">
        <f>IF(_calc!$E$319="","",IF(LEN(INDEX('Licences'!$P$4:$P$503,_calc!$E$319))=0,"",INDEX('Licences'!$P$4:$P$503,_calc!$E$319)))</f>
        <v/>
      </c>
      <c r="K317" s="44">
        <f>IF(_calc!$E$319="","",IF(LEN(INDEX('Licences'!$G$4:$G$503,_calc!$E$319))=0,"",INDEX('Licences'!$G$4:$G$503,_calc!$E$319)))</f>
        <v/>
      </c>
    </row>
    <row r="318">
      <c r="A318" s="44">
        <f>IF(_calc!$E$320="","",IF(LEN(INDEX('Licences'!$A$4:$A$503,_calc!$E$320))=0,"",INDEX('Licences'!$A$4:$A$503,_calc!$E$320)))</f>
        <v/>
      </c>
      <c r="B318" s="44">
        <f>IF(_calc!$E$320="","",IF(ISNUMBER(INDEX('Licences'!$J$4:$J$503,_calc!$E$320)),TEXT(INDEX('Licences'!$J$4:$J$503,_calc!$E$320),"yyyy-mm-dd"),""))</f>
        <v/>
      </c>
      <c r="C318" s="44">
        <f>IF(_calc!$E$320="","",IF(LEN(INDEX('Licences'!$B$4:$B$503,_calc!$E$320))=0,"",INDEX('Licences'!$B$4:$B$503,_calc!$E$320)))</f>
        <v/>
      </c>
      <c r="D318" s="44">
        <f>IF(_calc!$E$320="","",IF(ISNUMBER(INDEX('Licences'!$I$4:$I$503,_calc!$E$320)),TEXT(INDEX('Licences'!$I$4:$I$503,_calc!$E$320),"yyyy-mm-dd"),""))</f>
        <v/>
      </c>
      <c r="E318" s="44">
        <f>IF(_calc!$E$320="","",IF(LEN(INDEX('Licences'!$H$4:$H$503,_calc!$E$320))=0,"",INDEX('Licences'!$H$4:$H$503,_calc!$E$320)))</f>
        <v/>
      </c>
      <c r="F318" s="44">
        <f>IF(_calc!$E$320="","",TRIM(IF(LEN(IF(LEN(INDEX('Licences'!$D$4:$D$503,_calc!$E$320))=0,"",INDEX('Licences'!$D$4:$D$503,_calc!$E$320)))=0,"","Ref: "&amp;IF(LEN(INDEX('Licences'!$D$4:$D$503,_calc!$E$320))=0,"",INDEX('Licences'!$D$4:$D$503,_calc!$E$320))&amp;". ")&amp;IF(LEN(IF(LEN(INDEX('Licences'!$C$4:$C$503,_calc!$E$320))=0,"",INDEX('Licences'!$C$4:$C$503,_calc!$E$320)))=0,"","Issuer: "&amp;IF(LEN(INDEX('Licences'!$C$4:$C$503,_calc!$E$320))=0,"",INDEX('Licences'!$C$4:$C$503,_calc!$E$320))&amp;". ")&amp;IF(LEN(IF(LEN(INDEX('Licences'!$E$4:$E$503,_calc!$E$320))=0,"",INDEX('Licences'!$E$4:$E$503,_calc!$E$320)))=0,"","Site: "&amp;IF(LEN(INDEX('Licences'!$E$4:$E$503,_calc!$E$320))=0,"",INDEX('Licences'!$E$4:$E$503,_calc!$E$320))&amp;". ")&amp;IF(LEN(IF(LEN(INDEX('Licences'!$F$4:$F$503,_calc!$E$320))=0,"",INDEX('Licences'!$F$4:$F$503,_calc!$E$320)))=0,"","Owner: "&amp;IF(LEN(INDEX('Licences'!$F$4:$F$503,_calc!$E$320))=0,"",INDEX('Licences'!$F$4:$F$503,_calc!$E$320))&amp;". ")&amp;IF(LEN(IF(LEN(INDEX('Licences'!$R$4:$R$503,_calc!$E$320))=0,"",INDEX('Licences'!$R$4:$R$503,_calc!$E$320)))=0,"",IF(LEN(INDEX('Licences'!$R$4:$R$503,_calc!$E$320))=0,"",INDEX('Licences'!$R$4:$R$503,_calc!$E$320)))))</f>
        <v/>
      </c>
      <c r="G318" s="44">
        <f>IF(_calc!$E$320="","",IF(LEN(INDEX('Licences'!$Q$4:$Q$503,_calc!$E$320))=0,"",INDEX('Licences'!$Q$4:$Q$503,_calc!$E$320)))</f>
        <v/>
      </c>
      <c r="H318" s="44">
        <f>IF(_calc!$E$320="","",IF(LEN(INDEX('Licences'!$O$4:$O$503,_calc!$E$320))=0,"",INDEX('Licences'!$O$4:$O$503,_calc!$E$320)))</f>
        <v/>
      </c>
      <c r="I318" s="44">
        <f>IF(_calc!$E$320="","",IF(LEN(INDEX('Licences'!$P$4:$P$503,_calc!$E$320))=0,"",INDEX('Licences'!$P$4:$P$503,_calc!$E$320)))</f>
        <v/>
      </c>
      <c r="K318" s="44">
        <f>IF(_calc!$E$320="","",IF(LEN(INDEX('Licences'!$G$4:$G$503,_calc!$E$320))=0,"",INDEX('Licences'!$G$4:$G$503,_calc!$E$320)))</f>
        <v/>
      </c>
    </row>
    <row r="319">
      <c r="A319" s="44">
        <f>IF(_calc!$E$321="","",IF(LEN(INDEX('Licences'!$A$4:$A$503,_calc!$E$321))=0,"",INDEX('Licences'!$A$4:$A$503,_calc!$E$321)))</f>
        <v/>
      </c>
      <c r="B319" s="44">
        <f>IF(_calc!$E$321="","",IF(ISNUMBER(INDEX('Licences'!$J$4:$J$503,_calc!$E$321)),TEXT(INDEX('Licences'!$J$4:$J$503,_calc!$E$321),"yyyy-mm-dd"),""))</f>
        <v/>
      </c>
      <c r="C319" s="44">
        <f>IF(_calc!$E$321="","",IF(LEN(INDEX('Licences'!$B$4:$B$503,_calc!$E$321))=0,"",INDEX('Licences'!$B$4:$B$503,_calc!$E$321)))</f>
        <v/>
      </c>
      <c r="D319" s="44">
        <f>IF(_calc!$E$321="","",IF(ISNUMBER(INDEX('Licences'!$I$4:$I$503,_calc!$E$321)),TEXT(INDEX('Licences'!$I$4:$I$503,_calc!$E$321),"yyyy-mm-dd"),""))</f>
        <v/>
      </c>
      <c r="E319" s="44">
        <f>IF(_calc!$E$321="","",IF(LEN(INDEX('Licences'!$H$4:$H$503,_calc!$E$321))=0,"",INDEX('Licences'!$H$4:$H$503,_calc!$E$321)))</f>
        <v/>
      </c>
      <c r="F319" s="44">
        <f>IF(_calc!$E$321="","",TRIM(IF(LEN(IF(LEN(INDEX('Licences'!$D$4:$D$503,_calc!$E$321))=0,"",INDEX('Licences'!$D$4:$D$503,_calc!$E$321)))=0,"","Ref: "&amp;IF(LEN(INDEX('Licences'!$D$4:$D$503,_calc!$E$321))=0,"",INDEX('Licences'!$D$4:$D$503,_calc!$E$321))&amp;". ")&amp;IF(LEN(IF(LEN(INDEX('Licences'!$C$4:$C$503,_calc!$E$321))=0,"",INDEX('Licences'!$C$4:$C$503,_calc!$E$321)))=0,"","Issuer: "&amp;IF(LEN(INDEX('Licences'!$C$4:$C$503,_calc!$E$321))=0,"",INDEX('Licences'!$C$4:$C$503,_calc!$E$321))&amp;". ")&amp;IF(LEN(IF(LEN(INDEX('Licences'!$E$4:$E$503,_calc!$E$321))=0,"",INDEX('Licences'!$E$4:$E$503,_calc!$E$321)))=0,"","Site: "&amp;IF(LEN(INDEX('Licences'!$E$4:$E$503,_calc!$E$321))=0,"",INDEX('Licences'!$E$4:$E$503,_calc!$E$321))&amp;". ")&amp;IF(LEN(IF(LEN(INDEX('Licences'!$F$4:$F$503,_calc!$E$321))=0,"",INDEX('Licences'!$F$4:$F$503,_calc!$E$321)))=0,"","Owner: "&amp;IF(LEN(INDEX('Licences'!$F$4:$F$503,_calc!$E$321))=0,"",INDEX('Licences'!$F$4:$F$503,_calc!$E$321))&amp;". ")&amp;IF(LEN(IF(LEN(INDEX('Licences'!$R$4:$R$503,_calc!$E$321))=0,"",INDEX('Licences'!$R$4:$R$503,_calc!$E$321)))=0,"",IF(LEN(INDEX('Licences'!$R$4:$R$503,_calc!$E$321))=0,"",INDEX('Licences'!$R$4:$R$503,_calc!$E$321)))))</f>
        <v/>
      </c>
      <c r="G319" s="44">
        <f>IF(_calc!$E$321="","",IF(LEN(INDEX('Licences'!$Q$4:$Q$503,_calc!$E$321))=0,"",INDEX('Licences'!$Q$4:$Q$503,_calc!$E$321)))</f>
        <v/>
      </c>
      <c r="H319" s="44">
        <f>IF(_calc!$E$321="","",IF(LEN(INDEX('Licences'!$O$4:$O$503,_calc!$E$321))=0,"",INDEX('Licences'!$O$4:$O$503,_calc!$E$321)))</f>
        <v/>
      </c>
      <c r="I319" s="44">
        <f>IF(_calc!$E$321="","",IF(LEN(INDEX('Licences'!$P$4:$P$503,_calc!$E$321))=0,"",INDEX('Licences'!$P$4:$P$503,_calc!$E$321)))</f>
        <v/>
      </c>
      <c r="K319" s="44">
        <f>IF(_calc!$E$321="","",IF(LEN(INDEX('Licences'!$G$4:$G$503,_calc!$E$321))=0,"",INDEX('Licences'!$G$4:$G$503,_calc!$E$321)))</f>
        <v/>
      </c>
    </row>
    <row r="320">
      <c r="A320" s="44">
        <f>IF(_calc!$E$322="","",IF(LEN(INDEX('Licences'!$A$4:$A$503,_calc!$E$322))=0,"",INDEX('Licences'!$A$4:$A$503,_calc!$E$322)))</f>
        <v/>
      </c>
      <c r="B320" s="44">
        <f>IF(_calc!$E$322="","",IF(ISNUMBER(INDEX('Licences'!$J$4:$J$503,_calc!$E$322)),TEXT(INDEX('Licences'!$J$4:$J$503,_calc!$E$322),"yyyy-mm-dd"),""))</f>
        <v/>
      </c>
      <c r="C320" s="44">
        <f>IF(_calc!$E$322="","",IF(LEN(INDEX('Licences'!$B$4:$B$503,_calc!$E$322))=0,"",INDEX('Licences'!$B$4:$B$503,_calc!$E$322)))</f>
        <v/>
      </c>
      <c r="D320" s="44">
        <f>IF(_calc!$E$322="","",IF(ISNUMBER(INDEX('Licences'!$I$4:$I$503,_calc!$E$322)),TEXT(INDEX('Licences'!$I$4:$I$503,_calc!$E$322),"yyyy-mm-dd"),""))</f>
        <v/>
      </c>
      <c r="E320" s="44">
        <f>IF(_calc!$E$322="","",IF(LEN(INDEX('Licences'!$H$4:$H$503,_calc!$E$322))=0,"",INDEX('Licences'!$H$4:$H$503,_calc!$E$322)))</f>
        <v/>
      </c>
      <c r="F320" s="44">
        <f>IF(_calc!$E$322="","",TRIM(IF(LEN(IF(LEN(INDEX('Licences'!$D$4:$D$503,_calc!$E$322))=0,"",INDEX('Licences'!$D$4:$D$503,_calc!$E$322)))=0,"","Ref: "&amp;IF(LEN(INDEX('Licences'!$D$4:$D$503,_calc!$E$322))=0,"",INDEX('Licences'!$D$4:$D$503,_calc!$E$322))&amp;". ")&amp;IF(LEN(IF(LEN(INDEX('Licences'!$C$4:$C$503,_calc!$E$322))=0,"",INDEX('Licences'!$C$4:$C$503,_calc!$E$322)))=0,"","Issuer: "&amp;IF(LEN(INDEX('Licences'!$C$4:$C$503,_calc!$E$322))=0,"",INDEX('Licences'!$C$4:$C$503,_calc!$E$322))&amp;". ")&amp;IF(LEN(IF(LEN(INDEX('Licences'!$E$4:$E$503,_calc!$E$322))=0,"",INDEX('Licences'!$E$4:$E$503,_calc!$E$322)))=0,"","Site: "&amp;IF(LEN(INDEX('Licences'!$E$4:$E$503,_calc!$E$322))=0,"",INDEX('Licences'!$E$4:$E$503,_calc!$E$322))&amp;". ")&amp;IF(LEN(IF(LEN(INDEX('Licences'!$F$4:$F$503,_calc!$E$322))=0,"",INDEX('Licences'!$F$4:$F$503,_calc!$E$322)))=0,"","Owner: "&amp;IF(LEN(INDEX('Licences'!$F$4:$F$503,_calc!$E$322))=0,"",INDEX('Licences'!$F$4:$F$503,_calc!$E$322))&amp;". ")&amp;IF(LEN(IF(LEN(INDEX('Licences'!$R$4:$R$503,_calc!$E$322))=0,"",INDEX('Licences'!$R$4:$R$503,_calc!$E$322)))=0,"",IF(LEN(INDEX('Licences'!$R$4:$R$503,_calc!$E$322))=0,"",INDEX('Licences'!$R$4:$R$503,_calc!$E$322)))))</f>
        <v/>
      </c>
      <c r="G320" s="44">
        <f>IF(_calc!$E$322="","",IF(LEN(INDEX('Licences'!$Q$4:$Q$503,_calc!$E$322))=0,"",INDEX('Licences'!$Q$4:$Q$503,_calc!$E$322)))</f>
        <v/>
      </c>
      <c r="H320" s="44">
        <f>IF(_calc!$E$322="","",IF(LEN(INDEX('Licences'!$O$4:$O$503,_calc!$E$322))=0,"",INDEX('Licences'!$O$4:$O$503,_calc!$E$322)))</f>
        <v/>
      </c>
      <c r="I320" s="44">
        <f>IF(_calc!$E$322="","",IF(LEN(INDEX('Licences'!$P$4:$P$503,_calc!$E$322))=0,"",INDEX('Licences'!$P$4:$P$503,_calc!$E$322)))</f>
        <v/>
      </c>
      <c r="K320" s="44">
        <f>IF(_calc!$E$322="","",IF(LEN(INDEX('Licences'!$G$4:$G$503,_calc!$E$322))=0,"",INDEX('Licences'!$G$4:$G$503,_calc!$E$322)))</f>
        <v/>
      </c>
    </row>
    <row r="321">
      <c r="A321" s="44">
        <f>IF(_calc!$E$323="","",IF(LEN(INDEX('Licences'!$A$4:$A$503,_calc!$E$323))=0,"",INDEX('Licences'!$A$4:$A$503,_calc!$E$323)))</f>
        <v/>
      </c>
      <c r="B321" s="44">
        <f>IF(_calc!$E$323="","",IF(ISNUMBER(INDEX('Licences'!$J$4:$J$503,_calc!$E$323)),TEXT(INDEX('Licences'!$J$4:$J$503,_calc!$E$323),"yyyy-mm-dd"),""))</f>
        <v/>
      </c>
      <c r="C321" s="44">
        <f>IF(_calc!$E$323="","",IF(LEN(INDEX('Licences'!$B$4:$B$503,_calc!$E$323))=0,"",INDEX('Licences'!$B$4:$B$503,_calc!$E$323)))</f>
        <v/>
      </c>
      <c r="D321" s="44">
        <f>IF(_calc!$E$323="","",IF(ISNUMBER(INDEX('Licences'!$I$4:$I$503,_calc!$E$323)),TEXT(INDEX('Licences'!$I$4:$I$503,_calc!$E$323),"yyyy-mm-dd"),""))</f>
        <v/>
      </c>
      <c r="E321" s="44">
        <f>IF(_calc!$E$323="","",IF(LEN(INDEX('Licences'!$H$4:$H$503,_calc!$E$323))=0,"",INDEX('Licences'!$H$4:$H$503,_calc!$E$323)))</f>
        <v/>
      </c>
      <c r="F321" s="44">
        <f>IF(_calc!$E$323="","",TRIM(IF(LEN(IF(LEN(INDEX('Licences'!$D$4:$D$503,_calc!$E$323))=0,"",INDEX('Licences'!$D$4:$D$503,_calc!$E$323)))=0,"","Ref: "&amp;IF(LEN(INDEX('Licences'!$D$4:$D$503,_calc!$E$323))=0,"",INDEX('Licences'!$D$4:$D$503,_calc!$E$323))&amp;". ")&amp;IF(LEN(IF(LEN(INDEX('Licences'!$C$4:$C$503,_calc!$E$323))=0,"",INDEX('Licences'!$C$4:$C$503,_calc!$E$323)))=0,"","Issuer: "&amp;IF(LEN(INDEX('Licences'!$C$4:$C$503,_calc!$E$323))=0,"",INDEX('Licences'!$C$4:$C$503,_calc!$E$323))&amp;". ")&amp;IF(LEN(IF(LEN(INDEX('Licences'!$E$4:$E$503,_calc!$E$323))=0,"",INDEX('Licences'!$E$4:$E$503,_calc!$E$323)))=0,"","Site: "&amp;IF(LEN(INDEX('Licences'!$E$4:$E$503,_calc!$E$323))=0,"",INDEX('Licences'!$E$4:$E$503,_calc!$E$323))&amp;". ")&amp;IF(LEN(IF(LEN(INDEX('Licences'!$F$4:$F$503,_calc!$E$323))=0,"",INDEX('Licences'!$F$4:$F$503,_calc!$E$323)))=0,"","Owner: "&amp;IF(LEN(INDEX('Licences'!$F$4:$F$503,_calc!$E$323))=0,"",INDEX('Licences'!$F$4:$F$503,_calc!$E$323))&amp;". ")&amp;IF(LEN(IF(LEN(INDEX('Licences'!$R$4:$R$503,_calc!$E$323))=0,"",INDEX('Licences'!$R$4:$R$503,_calc!$E$323)))=0,"",IF(LEN(INDEX('Licences'!$R$4:$R$503,_calc!$E$323))=0,"",INDEX('Licences'!$R$4:$R$503,_calc!$E$323)))))</f>
        <v/>
      </c>
      <c r="G321" s="44">
        <f>IF(_calc!$E$323="","",IF(LEN(INDEX('Licences'!$Q$4:$Q$503,_calc!$E$323))=0,"",INDEX('Licences'!$Q$4:$Q$503,_calc!$E$323)))</f>
        <v/>
      </c>
      <c r="H321" s="44">
        <f>IF(_calc!$E$323="","",IF(LEN(INDEX('Licences'!$O$4:$O$503,_calc!$E$323))=0,"",INDEX('Licences'!$O$4:$O$503,_calc!$E$323)))</f>
        <v/>
      </c>
      <c r="I321" s="44">
        <f>IF(_calc!$E$323="","",IF(LEN(INDEX('Licences'!$P$4:$P$503,_calc!$E$323))=0,"",INDEX('Licences'!$P$4:$P$503,_calc!$E$323)))</f>
        <v/>
      </c>
      <c r="K321" s="44">
        <f>IF(_calc!$E$323="","",IF(LEN(INDEX('Licences'!$G$4:$G$503,_calc!$E$323))=0,"",INDEX('Licences'!$G$4:$G$503,_calc!$E$323)))</f>
        <v/>
      </c>
    </row>
    <row r="322">
      <c r="A322" s="44">
        <f>IF(_calc!$E$324="","",IF(LEN(INDEX('Licences'!$A$4:$A$503,_calc!$E$324))=0,"",INDEX('Licences'!$A$4:$A$503,_calc!$E$324)))</f>
        <v/>
      </c>
      <c r="B322" s="44">
        <f>IF(_calc!$E$324="","",IF(ISNUMBER(INDEX('Licences'!$J$4:$J$503,_calc!$E$324)),TEXT(INDEX('Licences'!$J$4:$J$503,_calc!$E$324),"yyyy-mm-dd"),""))</f>
        <v/>
      </c>
      <c r="C322" s="44">
        <f>IF(_calc!$E$324="","",IF(LEN(INDEX('Licences'!$B$4:$B$503,_calc!$E$324))=0,"",INDEX('Licences'!$B$4:$B$503,_calc!$E$324)))</f>
        <v/>
      </c>
      <c r="D322" s="44">
        <f>IF(_calc!$E$324="","",IF(ISNUMBER(INDEX('Licences'!$I$4:$I$503,_calc!$E$324)),TEXT(INDEX('Licences'!$I$4:$I$503,_calc!$E$324),"yyyy-mm-dd"),""))</f>
        <v/>
      </c>
      <c r="E322" s="44">
        <f>IF(_calc!$E$324="","",IF(LEN(INDEX('Licences'!$H$4:$H$503,_calc!$E$324))=0,"",INDEX('Licences'!$H$4:$H$503,_calc!$E$324)))</f>
        <v/>
      </c>
      <c r="F322" s="44">
        <f>IF(_calc!$E$324="","",TRIM(IF(LEN(IF(LEN(INDEX('Licences'!$D$4:$D$503,_calc!$E$324))=0,"",INDEX('Licences'!$D$4:$D$503,_calc!$E$324)))=0,"","Ref: "&amp;IF(LEN(INDEX('Licences'!$D$4:$D$503,_calc!$E$324))=0,"",INDEX('Licences'!$D$4:$D$503,_calc!$E$324))&amp;". ")&amp;IF(LEN(IF(LEN(INDEX('Licences'!$C$4:$C$503,_calc!$E$324))=0,"",INDEX('Licences'!$C$4:$C$503,_calc!$E$324)))=0,"","Issuer: "&amp;IF(LEN(INDEX('Licences'!$C$4:$C$503,_calc!$E$324))=0,"",INDEX('Licences'!$C$4:$C$503,_calc!$E$324))&amp;". ")&amp;IF(LEN(IF(LEN(INDEX('Licences'!$E$4:$E$503,_calc!$E$324))=0,"",INDEX('Licences'!$E$4:$E$503,_calc!$E$324)))=0,"","Site: "&amp;IF(LEN(INDEX('Licences'!$E$4:$E$503,_calc!$E$324))=0,"",INDEX('Licences'!$E$4:$E$503,_calc!$E$324))&amp;". ")&amp;IF(LEN(IF(LEN(INDEX('Licences'!$F$4:$F$503,_calc!$E$324))=0,"",INDEX('Licences'!$F$4:$F$503,_calc!$E$324)))=0,"","Owner: "&amp;IF(LEN(INDEX('Licences'!$F$4:$F$503,_calc!$E$324))=0,"",INDEX('Licences'!$F$4:$F$503,_calc!$E$324))&amp;". ")&amp;IF(LEN(IF(LEN(INDEX('Licences'!$R$4:$R$503,_calc!$E$324))=0,"",INDEX('Licences'!$R$4:$R$503,_calc!$E$324)))=0,"",IF(LEN(INDEX('Licences'!$R$4:$R$503,_calc!$E$324))=0,"",INDEX('Licences'!$R$4:$R$503,_calc!$E$324)))))</f>
        <v/>
      </c>
      <c r="G322" s="44">
        <f>IF(_calc!$E$324="","",IF(LEN(INDEX('Licences'!$Q$4:$Q$503,_calc!$E$324))=0,"",INDEX('Licences'!$Q$4:$Q$503,_calc!$E$324)))</f>
        <v/>
      </c>
      <c r="H322" s="44">
        <f>IF(_calc!$E$324="","",IF(LEN(INDEX('Licences'!$O$4:$O$503,_calc!$E$324))=0,"",INDEX('Licences'!$O$4:$O$503,_calc!$E$324)))</f>
        <v/>
      </c>
      <c r="I322" s="44">
        <f>IF(_calc!$E$324="","",IF(LEN(INDEX('Licences'!$P$4:$P$503,_calc!$E$324))=0,"",INDEX('Licences'!$P$4:$P$503,_calc!$E$324)))</f>
        <v/>
      </c>
      <c r="K322" s="44">
        <f>IF(_calc!$E$324="","",IF(LEN(INDEX('Licences'!$G$4:$G$503,_calc!$E$324))=0,"",INDEX('Licences'!$G$4:$G$503,_calc!$E$324)))</f>
        <v/>
      </c>
    </row>
    <row r="323">
      <c r="A323" s="44">
        <f>IF(_calc!$E$325="","",IF(LEN(INDEX('Licences'!$A$4:$A$503,_calc!$E$325))=0,"",INDEX('Licences'!$A$4:$A$503,_calc!$E$325)))</f>
        <v/>
      </c>
      <c r="B323" s="44">
        <f>IF(_calc!$E$325="","",IF(ISNUMBER(INDEX('Licences'!$J$4:$J$503,_calc!$E$325)),TEXT(INDEX('Licences'!$J$4:$J$503,_calc!$E$325),"yyyy-mm-dd"),""))</f>
        <v/>
      </c>
      <c r="C323" s="44">
        <f>IF(_calc!$E$325="","",IF(LEN(INDEX('Licences'!$B$4:$B$503,_calc!$E$325))=0,"",INDEX('Licences'!$B$4:$B$503,_calc!$E$325)))</f>
        <v/>
      </c>
      <c r="D323" s="44">
        <f>IF(_calc!$E$325="","",IF(ISNUMBER(INDEX('Licences'!$I$4:$I$503,_calc!$E$325)),TEXT(INDEX('Licences'!$I$4:$I$503,_calc!$E$325),"yyyy-mm-dd"),""))</f>
        <v/>
      </c>
      <c r="E323" s="44">
        <f>IF(_calc!$E$325="","",IF(LEN(INDEX('Licences'!$H$4:$H$503,_calc!$E$325))=0,"",INDEX('Licences'!$H$4:$H$503,_calc!$E$325)))</f>
        <v/>
      </c>
      <c r="F323" s="44">
        <f>IF(_calc!$E$325="","",TRIM(IF(LEN(IF(LEN(INDEX('Licences'!$D$4:$D$503,_calc!$E$325))=0,"",INDEX('Licences'!$D$4:$D$503,_calc!$E$325)))=0,"","Ref: "&amp;IF(LEN(INDEX('Licences'!$D$4:$D$503,_calc!$E$325))=0,"",INDEX('Licences'!$D$4:$D$503,_calc!$E$325))&amp;". ")&amp;IF(LEN(IF(LEN(INDEX('Licences'!$C$4:$C$503,_calc!$E$325))=0,"",INDEX('Licences'!$C$4:$C$503,_calc!$E$325)))=0,"","Issuer: "&amp;IF(LEN(INDEX('Licences'!$C$4:$C$503,_calc!$E$325))=0,"",INDEX('Licences'!$C$4:$C$503,_calc!$E$325))&amp;". ")&amp;IF(LEN(IF(LEN(INDEX('Licences'!$E$4:$E$503,_calc!$E$325))=0,"",INDEX('Licences'!$E$4:$E$503,_calc!$E$325)))=0,"","Site: "&amp;IF(LEN(INDEX('Licences'!$E$4:$E$503,_calc!$E$325))=0,"",INDEX('Licences'!$E$4:$E$503,_calc!$E$325))&amp;". ")&amp;IF(LEN(IF(LEN(INDEX('Licences'!$F$4:$F$503,_calc!$E$325))=0,"",INDEX('Licences'!$F$4:$F$503,_calc!$E$325)))=0,"","Owner: "&amp;IF(LEN(INDEX('Licences'!$F$4:$F$503,_calc!$E$325))=0,"",INDEX('Licences'!$F$4:$F$503,_calc!$E$325))&amp;". ")&amp;IF(LEN(IF(LEN(INDEX('Licences'!$R$4:$R$503,_calc!$E$325))=0,"",INDEX('Licences'!$R$4:$R$503,_calc!$E$325)))=0,"",IF(LEN(INDEX('Licences'!$R$4:$R$503,_calc!$E$325))=0,"",INDEX('Licences'!$R$4:$R$503,_calc!$E$325)))))</f>
        <v/>
      </c>
      <c r="G323" s="44">
        <f>IF(_calc!$E$325="","",IF(LEN(INDEX('Licences'!$Q$4:$Q$503,_calc!$E$325))=0,"",INDEX('Licences'!$Q$4:$Q$503,_calc!$E$325)))</f>
        <v/>
      </c>
      <c r="H323" s="44">
        <f>IF(_calc!$E$325="","",IF(LEN(INDEX('Licences'!$O$4:$O$503,_calc!$E$325))=0,"",INDEX('Licences'!$O$4:$O$503,_calc!$E$325)))</f>
        <v/>
      </c>
      <c r="I323" s="44">
        <f>IF(_calc!$E$325="","",IF(LEN(INDEX('Licences'!$P$4:$P$503,_calc!$E$325))=0,"",INDEX('Licences'!$P$4:$P$503,_calc!$E$325)))</f>
        <v/>
      </c>
      <c r="K323" s="44">
        <f>IF(_calc!$E$325="","",IF(LEN(INDEX('Licences'!$G$4:$G$503,_calc!$E$325))=0,"",INDEX('Licences'!$G$4:$G$503,_calc!$E$325)))</f>
        <v/>
      </c>
    </row>
    <row r="324">
      <c r="A324" s="44">
        <f>IF(_calc!$E$326="","",IF(LEN(INDEX('Licences'!$A$4:$A$503,_calc!$E$326))=0,"",INDEX('Licences'!$A$4:$A$503,_calc!$E$326)))</f>
        <v/>
      </c>
      <c r="B324" s="44">
        <f>IF(_calc!$E$326="","",IF(ISNUMBER(INDEX('Licences'!$J$4:$J$503,_calc!$E$326)),TEXT(INDEX('Licences'!$J$4:$J$503,_calc!$E$326),"yyyy-mm-dd"),""))</f>
        <v/>
      </c>
      <c r="C324" s="44">
        <f>IF(_calc!$E$326="","",IF(LEN(INDEX('Licences'!$B$4:$B$503,_calc!$E$326))=0,"",INDEX('Licences'!$B$4:$B$503,_calc!$E$326)))</f>
        <v/>
      </c>
      <c r="D324" s="44">
        <f>IF(_calc!$E$326="","",IF(ISNUMBER(INDEX('Licences'!$I$4:$I$503,_calc!$E$326)),TEXT(INDEX('Licences'!$I$4:$I$503,_calc!$E$326),"yyyy-mm-dd"),""))</f>
        <v/>
      </c>
      <c r="E324" s="44">
        <f>IF(_calc!$E$326="","",IF(LEN(INDEX('Licences'!$H$4:$H$503,_calc!$E$326))=0,"",INDEX('Licences'!$H$4:$H$503,_calc!$E$326)))</f>
        <v/>
      </c>
      <c r="F324" s="44">
        <f>IF(_calc!$E$326="","",TRIM(IF(LEN(IF(LEN(INDEX('Licences'!$D$4:$D$503,_calc!$E$326))=0,"",INDEX('Licences'!$D$4:$D$503,_calc!$E$326)))=0,"","Ref: "&amp;IF(LEN(INDEX('Licences'!$D$4:$D$503,_calc!$E$326))=0,"",INDEX('Licences'!$D$4:$D$503,_calc!$E$326))&amp;". ")&amp;IF(LEN(IF(LEN(INDEX('Licences'!$C$4:$C$503,_calc!$E$326))=0,"",INDEX('Licences'!$C$4:$C$503,_calc!$E$326)))=0,"","Issuer: "&amp;IF(LEN(INDEX('Licences'!$C$4:$C$503,_calc!$E$326))=0,"",INDEX('Licences'!$C$4:$C$503,_calc!$E$326))&amp;". ")&amp;IF(LEN(IF(LEN(INDEX('Licences'!$E$4:$E$503,_calc!$E$326))=0,"",INDEX('Licences'!$E$4:$E$503,_calc!$E$326)))=0,"","Site: "&amp;IF(LEN(INDEX('Licences'!$E$4:$E$503,_calc!$E$326))=0,"",INDEX('Licences'!$E$4:$E$503,_calc!$E$326))&amp;". ")&amp;IF(LEN(IF(LEN(INDEX('Licences'!$F$4:$F$503,_calc!$E$326))=0,"",INDEX('Licences'!$F$4:$F$503,_calc!$E$326)))=0,"","Owner: "&amp;IF(LEN(INDEX('Licences'!$F$4:$F$503,_calc!$E$326))=0,"",INDEX('Licences'!$F$4:$F$503,_calc!$E$326))&amp;". ")&amp;IF(LEN(IF(LEN(INDEX('Licences'!$R$4:$R$503,_calc!$E$326))=0,"",INDEX('Licences'!$R$4:$R$503,_calc!$E$326)))=0,"",IF(LEN(INDEX('Licences'!$R$4:$R$503,_calc!$E$326))=0,"",INDEX('Licences'!$R$4:$R$503,_calc!$E$326)))))</f>
        <v/>
      </c>
      <c r="G324" s="44">
        <f>IF(_calc!$E$326="","",IF(LEN(INDEX('Licences'!$Q$4:$Q$503,_calc!$E$326))=0,"",INDEX('Licences'!$Q$4:$Q$503,_calc!$E$326)))</f>
        <v/>
      </c>
      <c r="H324" s="44">
        <f>IF(_calc!$E$326="","",IF(LEN(INDEX('Licences'!$O$4:$O$503,_calc!$E$326))=0,"",INDEX('Licences'!$O$4:$O$503,_calc!$E$326)))</f>
        <v/>
      </c>
      <c r="I324" s="44">
        <f>IF(_calc!$E$326="","",IF(LEN(INDEX('Licences'!$P$4:$P$503,_calc!$E$326))=0,"",INDEX('Licences'!$P$4:$P$503,_calc!$E$326)))</f>
        <v/>
      </c>
      <c r="K324" s="44">
        <f>IF(_calc!$E$326="","",IF(LEN(INDEX('Licences'!$G$4:$G$503,_calc!$E$326))=0,"",INDEX('Licences'!$G$4:$G$503,_calc!$E$326)))</f>
        <v/>
      </c>
    </row>
    <row r="325">
      <c r="A325" s="44">
        <f>IF(_calc!$E$327="","",IF(LEN(INDEX('Licences'!$A$4:$A$503,_calc!$E$327))=0,"",INDEX('Licences'!$A$4:$A$503,_calc!$E$327)))</f>
        <v/>
      </c>
      <c r="B325" s="44">
        <f>IF(_calc!$E$327="","",IF(ISNUMBER(INDEX('Licences'!$J$4:$J$503,_calc!$E$327)),TEXT(INDEX('Licences'!$J$4:$J$503,_calc!$E$327),"yyyy-mm-dd"),""))</f>
        <v/>
      </c>
      <c r="C325" s="44">
        <f>IF(_calc!$E$327="","",IF(LEN(INDEX('Licences'!$B$4:$B$503,_calc!$E$327))=0,"",INDEX('Licences'!$B$4:$B$503,_calc!$E$327)))</f>
        <v/>
      </c>
      <c r="D325" s="44">
        <f>IF(_calc!$E$327="","",IF(ISNUMBER(INDEX('Licences'!$I$4:$I$503,_calc!$E$327)),TEXT(INDEX('Licences'!$I$4:$I$503,_calc!$E$327),"yyyy-mm-dd"),""))</f>
        <v/>
      </c>
      <c r="E325" s="44">
        <f>IF(_calc!$E$327="","",IF(LEN(INDEX('Licences'!$H$4:$H$503,_calc!$E$327))=0,"",INDEX('Licences'!$H$4:$H$503,_calc!$E$327)))</f>
        <v/>
      </c>
      <c r="F325" s="44">
        <f>IF(_calc!$E$327="","",TRIM(IF(LEN(IF(LEN(INDEX('Licences'!$D$4:$D$503,_calc!$E$327))=0,"",INDEX('Licences'!$D$4:$D$503,_calc!$E$327)))=0,"","Ref: "&amp;IF(LEN(INDEX('Licences'!$D$4:$D$503,_calc!$E$327))=0,"",INDEX('Licences'!$D$4:$D$503,_calc!$E$327))&amp;". ")&amp;IF(LEN(IF(LEN(INDEX('Licences'!$C$4:$C$503,_calc!$E$327))=0,"",INDEX('Licences'!$C$4:$C$503,_calc!$E$327)))=0,"","Issuer: "&amp;IF(LEN(INDEX('Licences'!$C$4:$C$503,_calc!$E$327))=0,"",INDEX('Licences'!$C$4:$C$503,_calc!$E$327))&amp;". ")&amp;IF(LEN(IF(LEN(INDEX('Licences'!$E$4:$E$503,_calc!$E$327))=0,"",INDEX('Licences'!$E$4:$E$503,_calc!$E$327)))=0,"","Site: "&amp;IF(LEN(INDEX('Licences'!$E$4:$E$503,_calc!$E$327))=0,"",INDEX('Licences'!$E$4:$E$503,_calc!$E$327))&amp;". ")&amp;IF(LEN(IF(LEN(INDEX('Licences'!$F$4:$F$503,_calc!$E$327))=0,"",INDEX('Licences'!$F$4:$F$503,_calc!$E$327)))=0,"","Owner: "&amp;IF(LEN(INDEX('Licences'!$F$4:$F$503,_calc!$E$327))=0,"",INDEX('Licences'!$F$4:$F$503,_calc!$E$327))&amp;". ")&amp;IF(LEN(IF(LEN(INDEX('Licences'!$R$4:$R$503,_calc!$E$327))=0,"",INDEX('Licences'!$R$4:$R$503,_calc!$E$327)))=0,"",IF(LEN(INDEX('Licences'!$R$4:$R$503,_calc!$E$327))=0,"",INDEX('Licences'!$R$4:$R$503,_calc!$E$327)))))</f>
        <v/>
      </c>
      <c r="G325" s="44">
        <f>IF(_calc!$E$327="","",IF(LEN(INDEX('Licences'!$Q$4:$Q$503,_calc!$E$327))=0,"",INDEX('Licences'!$Q$4:$Q$503,_calc!$E$327)))</f>
        <v/>
      </c>
      <c r="H325" s="44">
        <f>IF(_calc!$E$327="","",IF(LEN(INDEX('Licences'!$O$4:$O$503,_calc!$E$327))=0,"",INDEX('Licences'!$O$4:$O$503,_calc!$E$327)))</f>
        <v/>
      </c>
      <c r="I325" s="44">
        <f>IF(_calc!$E$327="","",IF(LEN(INDEX('Licences'!$P$4:$P$503,_calc!$E$327))=0,"",INDEX('Licences'!$P$4:$P$503,_calc!$E$327)))</f>
        <v/>
      </c>
      <c r="K325" s="44">
        <f>IF(_calc!$E$327="","",IF(LEN(INDEX('Licences'!$G$4:$G$503,_calc!$E$327))=0,"",INDEX('Licences'!$G$4:$G$503,_calc!$E$327)))</f>
        <v/>
      </c>
    </row>
    <row r="326">
      <c r="A326" s="44">
        <f>IF(_calc!$E$328="","",IF(LEN(INDEX('Licences'!$A$4:$A$503,_calc!$E$328))=0,"",INDEX('Licences'!$A$4:$A$503,_calc!$E$328)))</f>
        <v/>
      </c>
      <c r="B326" s="44">
        <f>IF(_calc!$E$328="","",IF(ISNUMBER(INDEX('Licences'!$J$4:$J$503,_calc!$E$328)),TEXT(INDEX('Licences'!$J$4:$J$503,_calc!$E$328),"yyyy-mm-dd"),""))</f>
        <v/>
      </c>
      <c r="C326" s="44">
        <f>IF(_calc!$E$328="","",IF(LEN(INDEX('Licences'!$B$4:$B$503,_calc!$E$328))=0,"",INDEX('Licences'!$B$4:$B$503,_calc!$E$328)))</f>
        <v/>
      </c>
      <c r="D326" s="44">
        <f>IF(_calc!$E$328="","",IF(ISNUMBER(INDEX('Licences'!$I$4:$I$503,_calc!$E$328)),TEXT(INDEX('Licences'!$I$4:$I$503,_calc!$E$328),"yyyy-mm-dd"),""))</f>
        <v/>
      </c>
      <c r="E326" s="44">
        <f>IF(_calc!$E$328="","",IF(LEN(INDEX('Licences'!$H$4:$H$503,_calc!$E$328))=0,"",INDEX('Licences'!$H$4:$H$503,_calc!$E$328)))</f>
        <v/>
      </c>
      <c r="F326" s="44">
        <f>IF(_calc!$E$328="","",TRIM(IF(LEN(IF(LEN(INDEX('Licences'!$D$4:$D$503,_calc!$E$328))=0,"",INDEX('Licences'!$D$4:$D$503,_calc!$E$328)))=0,"","Ref: "&amp;IF(LEN(INDEX('Licences'!$D$4:$D$503,_calc!$E$328))=0,"",INDEX('Licences'!$D$4:$D$503,_calc!$E$328))&amp;". ")&amp;IF(LEN(IF(LEN(INDEX('Licences'!$C$4:$C$503,_calc!$E$328))=0,"",INDEX('Licences'!$C$4:$C$503,_calc!$E$328)))=0,"","Issuer: "&amp;IF(LEN(INDEX('Licences'!$C$4:$C$503,_calc!$E$328))=0,"",INDEX('Licences'!$C$4:$C$503,_calc!$E$328))&amp;". ")&amp;IF(LEN(IF(LEN(INDEX('Licences'!$E$4:$E$503,_calc!$E$328))=0,"",INDEX('Licences'!$E$4:$E$503,_calc!$E$328)))=0,"","Site: "&amp;IF(LEN(INDEX('Licences'!$E$4:$E$503,_calc!$E$328))=0,"",INDEX('Licences'!$E$4:$E$503,_calc!$E$328))&amp;". ")&amp;IF(LEN(IF(LEN(INDEX('Licences'!$F$4:$F$503,_calc!$E$328))=0,"",INDEX('Licences'!$F$4:$F$503,_calc!$E$328)))=0,"","Owner: "&amp;IF(LEN(INDEX('Licences'!$F$4:$F$503,_calc!$E$328))=0,"",INDEX('Licences'!$F$4:$F$503,_calc!$E$328))&amp;". ")&amp;IF(LEN(IF(LEN(INDEX('Licences'!$R$4:$R$503,_calc!$E$328))=0,"",INDEX('Licences'!$R$4:$R$503,_calc!$E$328)))=0,"",IF(LEN(INDEX('Licences'!$R$4:$R$503,_calc!$E$328))=0,"",INDEX('Licences'!$R$4:$R$503,_calc!$E$328)))))</f>
        <v/>
      </c>
      <c r="G326" s="44">
        <f>IF(_calc!$E$328="","",IF(LEN(INDEX('Licences'!$Q$4:$Q$503,_calc!$E$328))=0,"",INDEX('Licences'!$Q$4:$Q$503,_calc!$E$328)))</f>
        <v/>
      </c>
      <c r="H326" s="44">
        <f>IF(_calc!$E$328="","",IF(LEN(INDEX('Licences'!$O$4:$O$503,_calc!$E$328))=0,"",INDEX('Licences'!$O$4:$O$503,_calc!$E$328)))</f>
        <v/>
      </c>
      <c r="I326" s="44">
        <f>IF(_calc!$E$328="","",IF(LEN(INDEX('Licences'!$P$4:$P$503,_calc!$E$328))=0,"",INDEX('Licences'!$P$4:$P$503,_calc!$E$328)))</f>
        <v/>
      </c>
      <c r="K326" s="44">
        <f>IF(_calc!$E$328="","",IF(LEN(INDEX('Licences'!$G$4:$G$503,_calc!$E$328))=0,"",INDEX('Licences'!$G$4:$G$503,_calc!$E$328)))</f>
        <v/>
      </c>
    </row>
    <row r="327">
      <c r="A327" s="44">
        <f>IF(_calc!$E$329="","",IF(LEN(INDEX('Licences'!$A$4:$A$503,_calc!$E$329))=0,"",INDEX('Licences'!$A$4:$A$503,_calc!$E$329)))</f>
        <v/>
      </c>
      <c r="B327" s="44">
        <f>IF(_calc!$E$329="","",IF(ISNUMBER(INDEX('Licences'!$J$4:$J$503,_calc!$E$329)),TEXT(INDEX('Licences'!$J$4:$J$503,_calc!$E$329),"yyyy-mm-dd"),""))</f>
        <v/>
      </c>
      <c r="C327" s="44">
        <f>IF(_calc!$E$329="","",IF(LEN(INDEX('Licences'!$B$4:$B$503,_calc!$E$329))=0,"",INDEX('Licences'!$B$4:$B$503,_calc!$E$329)))</f>
        <v/>
      </c>
      <c r="D327" s="44">
        <f>IF(_calc!$E$329="","",IF(ISNUMBER(INDEX('Licences'!$I$4:$I$503,_calc!$E$329)),TEXT(INDEX('Licences'!$I$4:$I$503,_calc!$E$329),"yyyy-mm-dd"),""))</f>
        <v/>
      </c>
      <c r="E327" s="44">
        <f>IF(_calc!$E$329="","",IF(LEN(INDEX('Licences'!$H$4:$H$503,_calc!$E$329))=0,"",INDEX('Licences'!$H$4:$H$503,_calc!$E$329)))</f>
        <v/>
      </c>
      <c r="F327" s="44">
        <f>IF(_calc!$E$329="","",TRIM(IF(LEN(IF(LEN(INDEX('Licences'!$D$4:$D$503,_calc!$E$329))=0,"",INDEX('Licences'!$D$4:$D$503,_calc!$E$329)))=0,"","Ref: "&amp;IF(LEN(INDEX('Licences'!$D$4:$D$503,_calc!$E$329))=0,"",INDEX('Licences'!$D$4:$D$503,_calc!$E$329))&amp;". ")&amp;IF(LEN(IF(LEN(INDEX('Licences'!$C$4:$C$503,_calc!$E$329))=0,"",INDEX('Licences'!$C$4:$C$503,_calc!$E$329)))=0,"","Issuer: "&amp;IF(LEN(INDEX('Licences'!$C$4:$C$503,_calc!$E$329))=0,"",INDEX('Licences'!$C$4:$C$503,_calc!$E$329))&amp;". ")&amp;IF(LEN(IF(LEN(INDEX('Licences'!$E$4:$E$503,_calc!$E$329))=0,"",INDEX('Licences'!$E$4:$E$503,_calc!$E$329)))=0,"","Site: "&amp;IF(LEN(INDEX('Licences'!$E$4:$E$503,_calc!$E$329))=0,"",INDEX('Licences'!$E$4:$E$503,_calc!$E$329))&amp;". ")&amp;IF(LEN(IF(LEN(INDEX('Licences'!$F$4:$F$503,_calc!$E$329))=0,"",INDEX('Licences'!$F$4:$F$503,_calc!$E$329)))=0,"","Owner: "&amp;IF(LEN(INDEX('Licences'!$F$4:$F$503,_calc!$E$329))=0,"",INDEX('Licences'!$F$4:$F$503,_calc!$E$329))&amp;". ")&amp;IF(LEN(IF(LEN(INDEX('Licences'!$R$4:$R$503,_calc!$E$329))=0,"",INDEX('Licences'!$R$4:$R$503,_calc!$E$329)))=0,"",IF(LEN(INDEX('Licences'!$R$4:$R$503,_calc!$E$329))=0,"",INDEX('Licences'!$R$4:$R$503,_calc!$E$329)))))</f>
        <v/>
      </c>
      <c r="G327" s="44">
        <f>IF(_calc!$E$329="","",IF(LEN(INDEX('Licences'!$Q$4:$Q$503,_calc!$E$329))=0,"",INDEX('Licences'!$Q$4:$Q$503,_calc!$E$329)))</f>
        <v/>
      </c>
      <c r="H327" s="44">
        <f>IF(_calc!$E$329="","",IF(LEN(INDEX('Licences'!$O$4:$O$503,_calc!$E$329))=0,"",INDEX('Licences'!$O$4:$O$503,_calc!$E$329)))</f>
        <v/>
      </c>
      <c r="I327" s="44">
        <f>IF(_calc!$E$329="","",IF(LEN(INDEX('Licences'!$P$4:$P$503,_calc!$E$329))=0,"",INDEX('Licences'!$P$4:$P$503,_calc!$E$329)))</f>
        <v/>
      </c>
      <c r="K327" s="44">
        <f>IF(_calc!$E$329="","",IF(LEN(INDEX('Licences'!$G$4:$G$503,_calc!$E$329))=0,"",INDEX('Licences'!$G$4:$G$503,_calc!$E$329)))</f>
        <v/>
      </c>
    </row>
    <row r="328">
      <c r="A328" s="44">
        <f>IF(_calc!$E$330="","",IF(LEN(INDEX('Licences'!$A$4:$A$503,_calc!$E$330))=0,"",INDEX('Licences'!$A$4:$A$503,_calc!$E$330)))</f>
        <v/>
      </c>
      <c r="B328" s="44">
        <f>IF(_calc!$E$330="","",IF(ISNUMBER(INDEX('Licences'!$J$4:$J$503,_calc!$E$330)),TEXT(INDEX('Licences'!$J$4:$J$503,_calc!$E$330),"yyyy-mm-dd"),""))</f>
        <v/>
      </c>
      <c r="C328" s="44">
        <f>IF(_calc!$E$330="","",IF(LEN(INDEX('Licences'!$B$4:$B$503,_calc!$E$330))=0,"",INDEX('Licences'!$B$4:$B$503,_calc!$E$330)))</f>
        <v/>
      </c>
      <c r="D328" s="44">
        <f>IF(_calc!$E$330="","",IF(ISNUMBER(INDEX('Licences'!$I$4:$I$503,_calc!$E$330)),TEXT(INDEX('Licences'!$I$4:$I$503,_calc!$E$330),"yyyy-mm-dd"),""))</f>
        <v/>
      </c>
      <c r="E328" s="44">
        <f>IF(_calc!$E$330="","",IF(LEN(INDEX('Licences'!$H$4:$H$503,_calc!$E$330))=0,"",INDEX('Licences'!$H$4:$H$503,_calc!$E$330)))</f>
        <v/>
      </c>
      <c r="F328" s="44">
        <f>IF(_calc!$E$330="","",TRIM(IF(LEN(IF(LEN(INDEX('Licences'!$D$4:$D$503,_calc!$E$330))=0,"",INDEX('Licences'!$D$4:$D$503,_calc!$E$330)))=0,"","Ref: "&amp;IF(LEN(INDEX('Licences'!$D$4:$D$503,_calc!$E$330))=0,"",INDEX('Licences'!$D$4:$D$503,_calc!$E$330))&amp;". ")&amp;IF(LEN(IF(LEN(INDEX('Licences'!$C$4:$C$503,_calc!$E$330))=0,"",INDEX('Licences'!$C$4:$C$503,_calc!$E$330)))=0,"","Issuer: "&amp;IF(LEN(INDEX('Licences'!$C$4:$C$503,_calc!$E$330))=0,"",INDEX('Licences'!$C$4:$C$503,_calc!$E$330))&amp;". ")&amp;IF(LEN(IF(LEN(INDEX('Licences'!$E$4:$E$503,_calc!$E$330))=0,"",INDEX('Licences'!$E$4:$E$503,_calc!$E$330)))=0,"","Site: "&amp;IF(LEN(INDEX('Licences'!$E$4:$E$503,_calc!$E$330))=0,"",INDEX('Licences'!$E$4:$E$503,_calc!$E$330))&amp;". ")&amp;IF(LEN(IF(LEN(INDEX('Licences'!$F$4:$F$503,_calc!$E$330))=0,"",INDEX('Licences'!$F$4:$F$503,_calc!$E$330)))=0,"","Owner: "&amp;IF(LEN(INDEX('Licences'!$F$4:$F$503,_calc!$E$330))=0,"",INDEX('Licences'!$F$4:$F$503,_calc!$E$330))&amp;". ")&amp;IF(LEN(IF(LEN(INDEX('Licences'!$R$4:$R$503,_calc!$E$330))=0,"",INDEX('Licences'!$R$4:$R$503,_calc!$E$330)))=0,"",IF(LEN(INDEX('Licences'!$R$4:$R$503,_calc!$E$330))=0,"",INDEX('Licences'!$R$4:$R$503,_calc!$E$330)))))</f>
        <v/>
      </c>
      <c r="G328" s="44">
        <f>IF(_calc!$E$330="","",IF(LEN(INDEX('Licences'!$Q$4:$Q$503,_calc!$E$330))=0,"",INDEX('Licences'!$Q$4:$Q$503,_calc!$E$330)))</f>
        <v/>
      </c>
      <c r="H328" s="44">
        <f>IF(_calc!$E$330="","",IF(LEN(INDEX('Licences'!$O$4:$O$503,_calc!$E$330))=0,"",INDEX('Licences'!$O$4:$O$503,_calc!$E$330)))</f>
        <v/>
      </c>
      <c r="I328" s="44">
        <f>IF(_calc!$E$330="","",IF(LEN(INDEX('Licences'!$P$4:$P$503,_calc!$E$330))=0,"",INDEX('Licences'!$P$4:$P$503,_calc!$E$330)))</f>
        <v/>
      </c>
      <c r="K328" s="44">
        <f>IF(_calc!$E$330="","",IF(LEN(INDEX('Licences'!$G$4:$G$503,_calc!$E$330))=0,"",INDEX('Licences'!$G$4:$G$503,_calc!$E$330)))</f>
        <v/>
      </c>
    </row>
    <row r="329">
      <c r="A329" s="44">
        <f>IF(_calc!$E$331="","",IF(LEN(INDEX('Licences'!$A$4:$A$503,_calc!$E$331))=0,"",INDEX('Licences'!$A$4:$A$503,_calc!$E$331)))</f>
        <v/>
      </c>
      <c r="B329" s="44">
        <f>IF(_calc!$E$331="","",IF(ISNUMBER(INDEX('Licences'!$J$4:$J$503,_calc!$E$331)),TEXT(INDEX('Licences'!$J$4:$J$503,_calc!$E$331),"yyyy-mm-dd"),""))</f>
        <v/>
      </c>
      <c r="C329" s="44">
        <f>IF(_calc!$E$331="","",IF(LEN(INDEX('Licences'!$B$4:$B$503,_calc!$E$331))=0,"",INDEX('Licences'!$B$4:$B$503,_calc!$E$331)))</f>
        <v/>
      </c>
      <c r="D329" s="44">
        <f>IF(_calc!$E$331="","",IF(ISNUMBER(INDEX('Licences'!$I$4:$I$503,_calc!$E$331)),TEXT(INDEX('Licences'!$I$4:$I$503,_calc!$E$331),"yyyy-mm-dd"),""))</f>
        <v/>
      </c>
      <c r="E329" s="44">
        <f>IF(_calc!$E$331="","",IF(LEN(INDEX('Licences'!$H$4:$H$503,_calc!$E$331))=0,"",INDEX('Licences'!$H$4:$H$503,_calc!$E$331)))</f>
        <v/>
      </c>
      <c r="F329" s="44">
        <f>IF(_calc!$E$331="","",TRIM(IF(LEN(IF(LEN(INDEX('Licences'!$D$4:$D$503,_calc!$E$331))=0,"",INDEX('Licences'!$D$4:$D$503,_calc!$E$331)))=0,"","Ref: "&amp;IF(LEN(INDEX('Licences'!$D$4:$D$503,_calc!$E$331))=0,"",INDEX('Licences'!$D$4:$D$503,_calc!$E$331))&amp;". ")&amp;IF(LEN(IF(LEN(INDEX('Licences'!$C$4:$C$503,_calc!$E$331))=0,"",INDEX('Licences'!$C$4:$C$503,_calc!$E$331)))=0,"","Issuer: "&amp;IF(LEN(INDEX('Licences'!$C$4:$C$503,_calc!$E$331))=0,"",INDEX('Licences'!$C$4:$C$503,_calc!$E$331))&amp;". ")&amp;IF(LEN(IF(LEN(INDEX('Licences'!$E$4:$E$503,_calc!$E$331))=0,"",INDEX('Licences'!$E$4:$E$503,_calc!$E$331)))=0,"","Site: "&amp;IF(LEN(INDEX('Licences'!$E$4:$E$503,_calc!$E$331))=0,"",INDEX('Licences'!$E$4:$E$503,_calc!$E$331))&amp;". ")&amp;IF(LEN(IF(LEN(INDEX('Licences'!$F$4:$F$503,_calc!$E$331))=0,"",INDEX('Licences'!$F$4:$F$503,_calc!$E$331)))=0,"","Owner: "&amp;IF(LEN(INDEX('Licences'!$F$4:$F$503,_calc!$E$331))=0,"",INDEX('Licences'!$F$4:$F$503,_calc!$E$331))&amp;". ")&amp;IF(LEN(IF(LEN(INDEX('Licences'!$R$4:$R$503,_calc!$E$331))=0,"",INDEX('Licences'!$R$4:$R$503,_calc!$E$331)))=0,"",IF(LEN(INDEX('Licences'!$R$4:$R$503,_calc!$E$331))=0,"",INDEX('Licences'!$R$4:$R$503,_calc!$E$331)))))</f>
        <v/>
      </c>
      <c r="G329" s="44">
        <f>IF(_calc!$E$331="","",IF(LEN(INDEX('Licences'!$Q$4:$Q$503,_calc!$E$331))=0,"",INDEX('Licences'!$Q$4:$Q$503,_calc!$E$331)))</f>
        <v/>
      </c>
      <c r="H329" s="44">
        <f>IF(_calc!$E$331="","",IF(LEN(INDEX('Licences'!$O$4:$O$503,_calc!$E$331))=0,"",INDEX('Licences'!$O$4:$O$503,_calc!$E$331)))</f>
        <v/>
      </c>
      <c r="I329" s="44">
        <f>IF(_calc!$E$331="","",IF(LEN(INDEX('Licences'!$P$4:$P$503,_calc!$E$331))=0,"",INDEX('Licences'!$P$4:$P$503,_calc!$E$331)))</f>
        <v/>
      </c>
      <c r="K329" s="44">
        <f>IF(_calc!$E$331="","",IF(LEN(INDEX('Licences'!$G$4:$G$503,_calc!$E$331))=0,"",INDEX('Licences'!$G$4:$G$503,_calc!$E$331)))</f>
        <v/>
      </c>
    </row>
    <row r="330">
      <c r="A330" s="44">
        <f>IF(_calc!$E$332="","",IF(LEN(INDEX('Licences'!$A$4:$A$503,_calc!$E$332))=0,"",INDEX('Licences'!$A$4:$A$503,_calc!$E$332)))</f>
        <v/>
      </c>
      <c r="B330" s="44">
        <f>IF(_calc!$E$332="","",IF(ISNUMBER(INDEX('Licences'!$J$4:$J$503,_calc!$E$332)),TEXT(INDEX('Licences'!$J$4:$J$503,_calc!$E$332),"yyyy-mm-dd"),""))</f>
        <v/>
      </c>
      <c r="C330" s="44">
        <f>IF(_calc!$E$332="","",IF(LEN(INDEX('Licences'!$B$4:$B$503,_calc!$E$332))=0,"",INDEX('Licences'!$B$4:$B$503,_calc!$E$332)))</f>
        <v/>
      </c>
      <c r="D330" s="44">
        <f>IF(_calc!$E$332="","",IF(ISNUMBER(INDEX('Licences'!$I$4:$I$503,_calc!$E$332)),TEXT(INDEX('Licences'!$I$4:$I$503,_calc!$E$332),"yyyy-mm-dd"),""))</f>
        <v/>
      </c>
      <c r="E330" s="44">
        <f>IF(_calc!$E$332="","",IF(LEN(INDEX('Licences'!$H$4:$H$503,_calc!$E$332))=0,"",INDEX('Licences'!$H$4:$H$503,_calc!$E$332)))</f>
        <v/>
      </c>
      <c r="F330" s="44">
        <f>IF(_calc!$E$332="","",TRIM(IF(LEN(IF(LEN(INDEX('Licences'!$D$4:$D$503,_calc!$E$332))=0,"",INDEX('Licences'!$D$4:$D$503,_calc!$E$332)))=0,"","Ref: "&amp;IF(LEN(INDEX('Licences'!$D$4:$D$503,_calc!$E$332))=0,"",INDEX('Licences'!$D$4:$D$503,_calc!$E$332))&amp;". ")&amp;IF(LEN(IF(LEN(INDEX('Licences'!$C$4:$C$503,_calc!$E$332))=0,"",INDEX('Licences'!$C$4:$C$503,_calc!$E$332)))=0,"","Issuer: "&amp;IF(LEN(INDEX('Licences'!$C$4:$C$503,_calc!$E$332))=0,"",INDEX('Licences'!$C$4:$C$503,_calc!$E$332))&amp;". ")&amp;IF(LEN(IF(LEN(INDEX('Licences'!$E$4:$E$503,_calc!$E$332))=0,"",INDEX('Licences'!$E$4:$E$503,_calc!$E$332)))=0,"","Site: "&amp;IF(LEN(INDEX('Licences'!$E$4:$E$503,_calc!$E$332))=0,"",INDEX('Licences'!$E$4:$E$503,_calc!$E$332))&amp;". ")&amp;IF(LEN(IF(LEN(INDEX('Licences'!$F$4:$F$503,_calc!$E$332))=0,"",INDEX('Licences'!$F$4:$F$503,_calc!$E$332)))=0,"","Owner: "&amp;IF(LEN(INDEX('Licences'!$F$4:$F$503,_calc!$E$332))=0,"",INDEX('Licences'!$F$4:$F$503,_calc!$E$332))&amp;". ")&amp;IF(LEN(IF(LEN(INDEX('Licences'!$R$4:$R$503,_calc!$E$332))=0,"",INDEX('Licences'!$R$4:$R$503,_calc!$E$332)))=0,"",IF(LEN(INDEX('Licences'!$R$4:$R$503,_calc!$E$332))=0,"",INDEX('Licences'!$R$4:$R$503,_calc!$E$332)))))</f>
        <v/>
      </c>
      <c r="G330" s="44">
        <f>IF(_calc!$E$332="","",IF(LEN(INDEX('Licences'!$Q$4:$Q$503,_calc!$E$332))=0,"",INDEX('Licences'!$Q$4:$Q$503,_calc!$E$332)))</f>
        <v/>
      </c>
      <c r="H330" s="44">
        <f>IF(_calc!$E$332="","",IF(LEN(INDEX('Licences'!$O$4:$O$503,_calc!$E$332))=0,"",INDEX('Licences'!$O$4:$O$503,_calc!$E$332)))</f>
        <v/>
      </c>
      <c r="I330" s="44">
        <f>IF(_calc!$E$332="","",IF(LEN(INDEX('Licences'!$P$4:$P$503,_calc!$E$332))=0,"",INDEX('Licences'!$P$4:$P$503,_calc!$E$332)))</f>
        <v/>
      </c>
      <c r="K330" s="44">
        <f>IF(_calc!$E$332="","",IF(LEN(INDEX('Licences'!$G$4:$G$503,_calc!$E$332))=0,"",INDEX('Licences'!$G$4:$G$503,_calc!$E$332)))</f>
        <v/>
      </c>
    </row>
    <row r="331">
      <c r="A331" s="44">
        <f>IF(_calc!$E$333="","",IF(LEN(INDEX('Licences'!$A$4:$A$503,_calc!$E$333))=0,"",INDEX('Licences'!$A$4:$A$503,_calc!$E$333)))</f>
        <v/>
      </c>
      <c r="B331" s="44">
        <f>IF(_calc!$E$333="","",IF(ISNUMBER(INDEX('Licences'!$J$4:$J$503,_calc!$E$333)),TEXT(INDEX('Licences'!$J$4:$J$503,_calc!$E$333),"yyyy-mm-dd"),""))</f>
        <v/>
      </c>
      <c r="C331" s="44">
        <f>IF(_calc!$E$333="","",IF(LEN(INDEX('Licences'!$B$4:$B$503,_calc!$E$333))=0,"",INDEX('Licences'!$B$4:$B$503,_calc!$E$333)))</f>
        <v/>
      </c>
      <c r="D331" s="44">
        <f>IF(_calc!$E$333="","",IF(ISNUMBER(INDEX('Licences'!$I$4:$I$503,_calc!$E$333)),TEXT(INDEX('Licences'!$I$4:$I$503,_calc!$E$333),"yyyy-mm-dd"),""))</f>
        <v/>
      </c>
      <c r="E331" s="44">
        <f>IF(_calc!$E$333="","",IF(LEN(INDEX('Licences'!$H$4:$H$503,_calc!$E$333))=0,"",INDEX('Licences'!$H$4:$H$503,_calc!$E$333)))</f>
        <v/>
      </c>
      <c r="F331" s="44">
        <f>IF(_calc!$E$333="","",TRIM(IF(LEN(IF(LEN(INDEX('Licences'!$D$4:$D$503,_calc!$E$333))=0,"",INDEX('Licences'!$D$4:$D$503,_calc!$E$333)))=0,"","Ref: "&amp;IF(LEN(INDEX('Licences'!$D$4:$D$503,_calc!$E$333))=0,"",INDEX('Licences'!$D$4:$D$503,_calc!$E$333))&amp;". ")&amp;IF(LEN(IF(LEN(INDEX('Licences'!$C$4:$C$503,_calc!$E$333))=0,"",INDEX('Licences'!$C$4:$C$503,_calc!$E$333)))=0,"","Issuer: "&amp;IF(LEN(INDEX('Licences'!$C$4:$C$503,_calc!$E$333))=0,"",INDEX('Licences'!$C$4:$C$503,_calc!$E$333))&amp;". ")&amp;IF(LEN(IF(LEN(INDEX('Licences'!$E$4:$E$503,_calc!$E$333))=0,"",INDEX('Licences'!$E$4:$E$503,_calc!$E$333)))=0,"","Site: "&amp;IF(LEN(INDEX('Licences'!$E$4:$E$503,_calc!$E$333))=0,"",INDEX('Licences'!$E$4:$E$503,_calc!$E$333))&amp;". ")&amp;IF(LEN(IF(LEN(INDEX('Licences'!$F$4:$F$503,_calc!$E$333))=0,"",INDEX('Licences'!$F$4:$F$503,_calc!$E$333)))=0,"","Owner: "&amp;IF(LEN(INDEX('Licences'!$F$4:$F$503,_calc!$E$333))=0,"",INDEX('Licences'!$F$4:$F$503,_calc!$E$333))&amp;". ")&amp;IF(LEN(IF(LEN(INDEX('Licences'!$R$4:$R$503,_calc!$E$333))=0,"",INDEX('Licences'!$R$4:$R$503,_calc!$E$333)))=0,"",IF(LEN(INDEX('Licences'!$R$4:$R$503,_calc!$E$333))=0,"",INDEX('Licences'!$R$4:$R$503,_calc!$E$333)))))</f>
        <v/>
      </c>
      <c r="G331" s="44">
        <f>IF(_calc!$E$333="","",IF(LEN(INDEX('Licences'!$Q$4:$Q$503,_calc!$E$333))=0,"",INDEX('Licences'!$Q$4:$Q$503,_calc!$E$333)))</f>
        <v/>
      </c>
      <c r="H331" s="44">
        <f>IF(_calc!$E$333="","",IF(LEN(INDEX('Licences'!$O$4:$O$503,_calc!$E$333))=0,"",INDEX('Licences'!$O$4:$O$503,_calc!$E$333)))</f>
        <v/>
      </c>
      <c r="I331" s="44">
        <f>IF(_calc!$E$333="","",IF(LEN(INDEX('Licences'!$P$4:$P$503,_calc!$E$333))=0,"",INDEX('Licences'!$P$4:$P$503,_calc!$E$333)))</f>
        <v/>
      </c>
      <c r="K331" s="44">
        <f>IF(_calc!$E$333="","",IF(LEN(INDEX('Licences'!$G$4:$G$503,_calc!$E$333))=0,"",INDEX('Licences'!$G$4:$G$503,_calc!$E$333)))</f>
        <v/>
      </c>
    </row>
    <row r="332">
      <c r="A332" s="44">
        <f>IF(_calc!$E$334="","",IF(LEN(INDEX('Licences'!$A$4:$A$503,_calc!$E$334))=0,"",INDEX('Licences'!$A$4:$A$503,_calc!$E$334)))</f>
        <v/>
      </c>
      <c r="B332" s="44">
        <f>IF(_calc!$E$334="","",IF(ISNUMBER(INDEX('Licences'!$J$4:$J$503,_calc!$E$334)),TEXT(INDEX('Licences'!$J$4:$J$503,_calc!$E$334),"yyyy-mm-dd"),""))</f>
        <v/>
      </c>
      <c r="C332" s="44">
        <f>IF(_calc!$E$334="","",IF(LEN(INDEX('Licences'!$B$4:$B$503,_calc!$E$334))=0,"",INDEX('Licences'!$B$4:$B$503,_calc!$E$334)))</f>
        <v/>
      </c>
      <c r="D332" s="44">
        <f>IF(_calc!$E$334="","",IF(ISNUMBER(INDEX('Licences'!$I$4:$I$503,_calc!$E$334)),TEXT(INDEX('Licences'!$I$4:$I$503,_calc!$E$334),"yyyy-mm-dd"),""))</f>
        <v/>
      </c>
      <c r="E332" s="44">
        <f>IF(_calc!$E$334="","",IF(LEN(INDEX('Licences'!$H$4:$H$503,_calc!$E$334))=0,"",INDEX('Licences'!$H$4:$H$503,_calc!$E$334)))</f>
        <v/>
      </c>
      <c r="F332" s="44">
        <f>IF(_calc!$E$334="","",TRIM(IF(LEN(IF(LEN(INDEX('Licences'!$D$4:$D$503,_calc!$E$334))=0,"",INDEX('Licences'!$D$4:$D$503,_calc!$E$334)))=0,"","Ref: "&amp;IF(LEN(INDEX('Licences'!$D$4:$D$503,_calc!$E$334))=0,"",INDEX('Licences'!$D$4:$D$503,_calc!$E$334))&amp;". ")&amp;IF(LEN(IF(LEN(INDEX('Licences'!$C$4:$C$503,_calc!$E$334))=0,"",INDEX('Licences'!$C$4:$C$503,_calc!$E$334)))=0,"","Issuer: "&amp;IF(LEN(INDEX('Licences'!$C$4:$C$503,_calc!$E$334))=0,"",INDEX('Licences'!$C$4:$C$503,_calc!$E$334))&amp;". ")&amp;IF(LEN(IF(LEN(INDEX('Licences'!$E$4:$E$503,_calc!$E$334))=0,"",INDEX('Licences'!$E$4:$E$503,_calc!$E$334)))=0,"","Site: "&amp;IF(LEN(INDEX('Licences'!$E$4:$E$503,_calc!$E$334))=0,"",INDEX('Licences'!$E$4:$E$503,_calc!$E$334))&amp;". ")&amp;IF(LEN(IF(LEN(INDEX('Licences'!$F$4:$F$503,_calc!$E$334))=0,"",INDEX('Licences'!$F$4:$F$503,_calc!$E$334)))=0,"","Owner: "&amp;IF(LEN(INDEX('Licences'!$F$4:$F$503,_calc!$E$334))=0,"",INDEX('Licences'!$F$4:$F$503,_calc!$E$334))&amp;". ")&amp;IF(LEN(IF(LEN(INDEX('Licences'!$R$4:$R$503,_calc!$E$334))=0,"",INDEX('Licences'!$R$4:$R$503,_calc!$E$334)))=0,"",IF(LEN(INDEX('Licences'!$R$4:$R$503,_calc!$E$334))=0,"",INDEX('Licences'!$R$4:$R$503,_calc!$E$334)))))</f>
        <v/>
      </c>
      <c r="G332" s="44">
        <f>IF(_calc!$E$334="","",IF(LEN(INDEX('Licences'!$Q$4:$Q$503,_calc!$E$334))=0,"",INDEX('Licences'!$Q$4:$Q$503,_calc!$E$334)))</f>
        <v/>
      </c>
      <c r="H332" s="44">
        <f>IF(_calc!$E$334="","",IF(LEN(INDEX('Licences'!$O$4:$O$503,_calc!$E$334))=0,"",INDEX('Licences'!$O$4:$O$503,_calc!$E$334)))</f>
        <v/>
      </c>
      <c r="I332" s="44">
        <f>IF(_calc!$E$334="","",IF(LEN(INDEX('Licences'!$P$4:$P$503,_calc!$E$334))=0,"",INDEX('Licences'!$P$4:$P$503,_calc!$E$334)))</f>
        <v/>
      </c>
      <c r="K332" s="44">
        <f>IF(_calc!$E$334="","",IF(LEN(INDEX('Licences'!$G$4:$G$503,_calc!$E$334))=0,"",INDEX('Licences'!$G$4:$G$503,_calc!$E$334)))</f>
        <v/>
      </c>
    </row>
    <row r="333">
      <c r="A333" s="44">
        <f>IF(_calc!$E$335="","",IF(LEN(INDEX('Licences'!$A$4:$A$503,_calc!$E$335))=0,"",INDEX('Licences'!$A$4:$A$503,_calc!$E$335)))</f>
        <v/>
      </c>
      <c r="B333" s="44">
        <f>IF(_calc!$E$335="","",IF(ISNUMBER(INDEX('Licences'!$J$4:$J$503,_calc!$E$335)),TEXT(INDEX('Licences'!$J$4:$J$503,_calc!$E$335),"yyyy-mm-dd"),""))</f>
        <v/>
      </c>
      <c r="C333" s="44">
        <f>IF(_calc!$E$335="","",IF(LEN(INDEX('Licences'!$B$4:$B$503,_calc!$E$335))=0,"",INDEX('Licences'!$B$4:$B$503,_calc!$E$335)))</f>
        <v/>
      </c>
      <c r="D333" s="44">
        <f>IF(_calc!$E$335="","",IF(ISNUMBER(INDEX('Licences'!$I$4:$I$503,_calc!$E$335)),TEXT(INDEX('Licences'!$I$4:$I$503,_calc!$E$335),"yyyy-mm-dd"),""))</f>
        <v/>
      </c>
      <c r="E333" s="44">
        <f>IF(_calc!$E$335="","",IF(LEN(INDEX('Licences'!$H$4:$H$503,_calc!$E$335))=0,"",INDEX('Licences'!$H$4:$H$503,_calc!$E$335)))</f>
        <v/>
      </c>
      <c r="F333" s="44">
        <f>IF(_calc!$E$335="","",TRIM(IF(LEN(IF(LEN(INDEX('Licences'!$D$4:$D$503,_calc!$E$335))=0,"",INDEX('Licences'!$D$4:$D$503,_calc!$E$335)))=0,"","Ref: "&amp;IF(LEN(INDEX('Licences'!$D$4:$D$503,_calc!$E$335))=0,"",INDEX('Licences'!$D$4:$D$503,_calc!$E$335))&amp;". ")&amp;IF(LEN(IF(LEN(INDEX('Licences'!$C$4:$C$503,_calc!$E$335))=0,"",INDEX('Licences'!$C$4:$C$503,_calc!$E$335)))=0,"","Issuer: "&amp;IF(LEN(INDEX('Licences'!$C$4:$C$503,_calc!$E$335))=0,"",INDEX('Licences'!$C$4:$C$503,_calc!$E$335))&amp;". ")&amp;IF(LEN(IF(LEN(INDEX('Licences'!$E$4:$E$503,_calc!$E$335))=0,"",INDEX('Licences'!$E$4:$E$503,_calc!$E$335)))=0,"","Site: "&amp;IF(LEN(INDEX('Licences'!$E$4:$E$503,_calc!$E$335))=0,"",INDEX('Licences'!$E$4:$E$503,_calc!$E$335))&amp;". ")&amp;IF(LEN(IF(LEN(INDEX('Licences'!$F$4:$F$503,_calc!$E$335))=0,"",INDEX('Licences'!$F$4:$F$503,_calc!$E$335)))=0,"","Owner: "&amp;IF(LEN(INDEX('Licences'!$F$4:$F$503,_calc!$E$335))=0,"",INDEX('Licences'!$F$4:$F$503,_calc!$E$335))&amp;". ")&amp;IF(LEN(IF(LEN(INDEX('Licences'!$R$4:$R$503,_calc!$E$335))=0,"",INDEX('Licences'!$R$4:$R$503,_calc!$E$335)))=0,"",IF(LEN(INDEX('Licences'!$R$4:$R$503,_calc!$E$335))=0,"",INDEX('Licences'!$R$4:$R$503,_calc!$E$335)))))</f>
        <v/>
      </c>
      <c r="G333" s="44">
        <f>IF(_calc!$E$335="","",IF(LEN(INDEX('Licences'!$Q$4:$Q$503,_calc!$E$335))=0,"",INDEX('Licences'!$Q$4:$Q$503,_calc!$E$335)))</f>
        <v/>
      </c>
      <c r="H333" s="44">
        <f>IF(_calc!$E$335="","",IF(LEN(INDEX('Licences'!$O$4:$O$503,_calc!$E$335))=0,"",INDEX('Licences'!$O$4:$O$503,_calc!$E$335)))</f>
        <v/>
      </c>
      <c r="I333" s="44">
        <f>IF(_calc!$E$335="","",IF(LEN(INDEX('Licences'!$P$4:$P$503,_calc!$E$335))=0,"",INDEX('Licences'!$P$4:$P$503,_calc!$E$335)))</f>
        <v/>
      </c>
      <c r="K333" s="44">
        <f>IF(_calc!$E$335="","",IF(LEN(INDEX('Licences'!$G$4:$G$503,_calc!$E$335))=0,"",INDEX('Licences'!$G$4:$G$503,_calc!$E$335)))</f>
        <v/>
      </c>
    </row>
    <row r="334">
      <c r="A334" s="44">
        <f>IF(_calc!$E$336="","",IF(LEN(INDEX('Licences'!$A$4:$A$503,_calc!$E$336))=0,"",INDEX('Licences'!$A$4:$A$503,_calc!$E$336)))</f>
        <v/>
      </c>
      <c r="B334" s="44">
        <f>IF(_calc!$E$336="","",IF(ISNUMBER(INDEX('Licences'!$J$4:$J$503,_calc!$E$336)),TEXT(INDEX('Licences'!$J$4:$J$503,_calc!$E$336),"yyyy-mm-dd"),""))</f>
        <v/>
      </c>
      <c r="C334" s="44">
        <f>IF(_calc!$E$336="","",IF(LEN(INDEX('Licences'!$B$4:$B$503,_calc!$E$336))=0,"",INDEX('Licences'!$B$4:$B$503,_calc!$E$336)))</f>
        <v/>
      </c>
      <c r="D334" s="44">
        <f>IF(_calc!$E$336="","",IF(ISNUMBER(INDEX('Licences'!$I$4:$I$503,_calc!$E$336)),TEXT(INDEX('Licences'!$I$4:$I$503,_calc!$E$336),"yyyy-mm-dd"),""))</f>
        <v/>
      </c>
      <c r="E334" s="44">
        <f>IF(_calc!$E$336="","",IF(LEN(INDEX('Licences'!$H$4:$H$503,_calc!$E$336))=0,"",INDEX('Licences'!$H$4:$H$503,_calc!$E$336)))</f>
        <v/>
      </c>
      <c r="F334" s="44">
        <f>IF(_calc!$E$336="","",TRIM(IF(LEN(IF(LEN(INDEX('Licences'!$D$4:$D$503,_calc!$E$336))=0,"",INDEX('Licences'!$D$4:$D$503,_calc!$E$336)))=0,"","Ref: "&amp;IF(LEN(INDEX('Licences'!$D$4:$D$503,_calc!$E$336))=0,"",INDEX('Licences'!$D$4:$D$503,_calc!$E$336))&amp;". ")&amp;IF(LEN(IF(LEN(INDEX('Licences'!$C$4:$C$503,_calc!$E$336))=0,"",INDEX('Licences'!$C$4:$C$503,_calc!$E$336)))=0,"","Issuer: "&amp;IF(LEN(INDEX('Licences'!$C$4:$C$503,_calc!$E$336))=0,"",INDEX('Licences'!$C$4:$C$503,_calc!$E$336))&amp;". ")&amp;IF(LEN(IF(LEN(INDEX('Licences'!$E$4:$E$503,_calc!$E$336))=0,"",INDEX('Licences'!$E$4:$E$503,_calc!$E$336)))=0,"","Site: "&amp;IF(LEN(INDEX('Licences'!$E$4:$E$503,_calc!$E$336))=0,"",INDEX('Licences'!$E$4:$E$503,_calc!$E$336))&amp;". ")&amp;IF(LEN(IF(LEN(INDEX('Licences'!$F$4:$F$503,_calc!$E$336))=0,"",INDEX('Licences'!$F$4:$F$503,_calc!$E$336)))=0,"","Owner: "&amp;IF(LEN(INDEX('Licences'!$F$4:$F$503,_calc!$E$336))=0,"",INDEX('Licences'!$F$4:$F$503,_calc!$E$336))&amp;". ")&amp;IF(LEN(IF(LEN(INDEX('Licences'!$R$4:$R$503,_calc!$E$336))=0,"",INDEX('Licences'!$R$4:$R$503,_calc!$E$336)))=0,"",IF(LEN(INDEX('Licences'!$R$4:$R$503,_calc!$E$336))=0,"",INDEX('Licences'!$R$4:$R$503,_calc!$E$336)))))</f>
        <v/>
      </c>
      <c r="G334" s="44">
        <f>IF(_calc!$E$336="","",IF(LEN(INDEX('Licences'!$Q$4:$Q$503,_calc!$E$336))=0,"",INDEX('Licences'!$Q$4:$Q$503,_calc!$E$336)))</f>
        <v/>
      </c>
      <c r="H334" s="44">
        <f>IF(_calc!$E$336="","",IF(LEN(INDEX('Licences'!$O$4:$O$503,_calc!$E$336))=0,"",INDEX('Licences'!$O$4:$O$503,_calc!$E$336)))</f>
        <v/>
      </c>
      <c r="I334" s="44">
        <f>IF(_calc!$E$336="","",IF(LEN(INDEX('Licences'!$P$4:$P$503,_calc!$E$336))=0,"",INDEX('Licences'!$P$4:$P$503,_calc!$E$336)))</f>
        <v/>
      </c>
      <c r="K334" s="44">
        <f>IF(_calc!$E$336="","",IF(LEN(INDEX('Licences'!$G$4:$G$503,_calc!$E$336))=0,"",INDEX('Licences'!$G$4:$G$503,_calc!$E$336)))</f>
        <v/>
      </c>
    </row>
    <row r="335">
      <c r="A335" s="44">
        <f>IF(_calc!$E$337="","",IF(LEN(INDEX('Licences'!$A$4:$A$503,_calc!$E$337))=0,"",INDEX('Licences'!$A$4:$A$503,_calc!$E$337)))</f>
        <v/>
      </c>
      <c r="B335" s="44">
        <f>IF(_calc!$E$337="","",IF(ISNUMBER(INDEX('Licences'!$J$4:$J$503,_calc!$E$337)),TEXT(INDEX('Licences'!$J$4:$J$503,_calc!$E$337),"yyyy-mm-dd"),""))</f>
        <v/>
      </c>
      <c r="C335" s="44">
        <f>IF(_calc!$E$337="","",IF(LEN(INDEX('Licences'!$B$4:$B$503,_calc!$E$337))=0,"",INDEX('Licences'!$B$4:$B$503,_calc!$E$337)))</f>
        <v/>
      </c>
      <c r="D335" s="44">
        <f>IF(_calc!$E$337="","",IF(ISNUMBER(INDEX('Licences'!$I$4:$I$503,_calc!$E$337)),TEXT(INDEX('Licences'!$I$4:$I$503,_calc!$E$337),"yyyy-mm-dd"),""))</f>
        <v/>
      </c>
      <c r="E335" s="44">
        <f>IF(_calc!$E$337="","",IF(LEN(INDEX('Licences'!$H$4:$H$503,_calc!$E$337))=0,"",INDEX('Licences'!$H$4:$H$503,_calc!$E$337)))</f>
        <v/>
      </c>
      <c r="F335" s="44">
        <f>IF(_calc!$E$337="","",TRIM(IF(LEN(IF(LEN(INDEX('Licences'!$D$4:$D$503,_calc!$E$337))=0,"",INDEX('Licences'!$D$4:$D$503,_calc!$E$337)))=0,"","Ref: "&amp;IF(LEN(INDEX('Licences'!$D$4:$D$503,_calc!$E$337))=0,"",INDEX('Licences'!$D$4:$D$503,_calc!$E$337))&amp;". ")&amp;IF(LEN(IF(LEN(INDEX('Licences'!$C$4:$C$503,_calc!$E$337))=0,"",INDEX('Licences'!$C$4:$C$503,_calc!$E$337)))=0,"","Issuer: "&amp;IF(LEN(INDEX('Licences'!$C$4:$C$503,_calc!$E$337))=0,"",INDEX('Licences'!$C$4:$C$503,_calc!$E$337))&amp;". ")&amp;IF(LEN(IF(LEN(INDEX('Licences'!$E$4:$E$503,_calc!$E$337))=0,"",INDEX('Licences'!$E$4:$E$503,_calc!$E$337)))=0,"","Site: "&amp;IF(LEN(INDEX('Licences'!$E$4:$E$503,_calc!$E$337))=0,"",INDEX('Licences'!$E$4:$E$503,_calc!$E$337))&amp;". ")&amp;IF(LEN(IF(LEN(INDEX('Licences'!$F$4:$F$503,_calc!$E$337))=0,"",INDEX('Licences'!$F$4:$F$503,_calc!$E$337)))=0,"","Owner: "&amp;IF(LEN(INDEX('Licences'!$F$4:$F$503,_calc!$E$337))=0,"",INDEX('Licences'!$F$4:$F$503,_calc!$E$337))&amp;". ")&amp;IF(LEN(IF(LEN(INDEX('Licences'!$R$4:$R$503,_calc!$E$337))=0,"",INDEX('Licences'!$R$4:$R$503,_calc!$E$337)))=0,"",IF(LEN(INDEX('Licences'!$R$4:$R$503,_calc!$E$337))=0,"",INDEX('Licences'!$R$4:$R$503,_calc!$E$337)))))</f>
        <v/>
      </c>
      <c r="G335" s="44">
        <f>IF(_calc!$E$337="","",IF(LEN(INDEX('Licences'!$Q$4:$Q$503,_calc!$E$337))=0,"",INDEX('Licences'!$Q$4:$Q$503,_calc!$E$337)))</f>
        <v/>
      </c>
      <c r="H335" s="44">
        <f>IF(_calc!$E$337="","",IF(LEN(INDEX('Licences'!$O$4:$O$503,_calc!$E$337))=0,"",INDEX('Licences'!$O$4:$O$503,_calc!$E$337)))</f>
        <v/>
      </c>
      <c r="I335" s="44">
        <f>IF(_calc!$E$337="","",IF(LEN(INDEX('Licences'!$P$4:$P$503,_calc!$E$337))=0,"",INDEX('Licences'!$P$4:$P$503,_calc!$E$337)))</f>
        <v/>
      </c>
      <c r="K335" s="44">
        <f>IF(_calc!$E$337="","",IF(LEN(INDEX('Licences'!$G$4:$G$503,_calc!$E$337))=0,"",INDEX('Licences'!$G$4:$G$503,_calc!$E$337)))</f>
        <v/>
      </c>
    </row>
    <row r="336">
      <c r="A336" s="44">
        <f>IF(_calc!$E$338="","",IF(LEN(INDEX('Licences'!$A$4:$A$503,_calc!$E$338))=0,"",INDEX('Licences'!$A$4:$A$503,_calc!$E$338)))</f>
        <v/>
      </c>
      <c r="B336" s="44">
        <f>IF(_calc!$E$338="","",IF(ISNUMBER(INDEX('Licences'!$J$4:$J$503,_calc!$E$338)),TEXT(INDEX('Licences'!$J$4:$J$503,_calc!$E$338),"yyyy-mm-dd"),""))</f>
        <v/>
      </c>
      <c r="C336" s="44">
        <f>IF(_calc!$E$338="","",IF(LEN(INDEX('Licences'!$B$4:$B$503,_calc!$E$338))=0,"",INDEX('Licences'!$B$4:$B$503,_calc!$E$338)))</f>
        <v/>
      </c>
      <c r="D336" s="44">
        <f>IF(_calc!$E$338="","",IF(ISNUMBER(INDEX('Licences'!$I$4:$I$503,_calc!$E$338)),TEXT(INDEX('Licences'!$I$4:$I$503,_calc!$E$338),"yyyy-mm-dd"),""))</f>
        <v/>
      </c>
      <c r="E336" s="44">
        <f>IF(_calc!$E$338="","",IF(LEN(INDEX('Licences'!$H$4:$H$503,_calc!$E$338))=0,"",INDEX('Licences'!$H$4:$H$503,_calc!$E$338)))</f>
        <v/>
      </c>
      <c r="F336" s="44">
        <f>IF(_calc!$E$338="","",TRIM(IF(LEN(IF(LEN(INDEX('Licences'!$D$4:$D$503,_calc!$E$338))=0,"",INDEX('Licences'!$D$4:$D$503,_calc!$E$338)))=0,"","Ref: "&amp;IF(LEN(INDEX('Licences'!$D$4:$D$503,_calc!$E$338))=0,"",INDEX('Licences'!$D$4:$D$503,_calc!$E$338))&amp;". ")&amp;IF(LEN(IF(LEN(INDEX('Licences'!$C$4:$C$503,_calc!$E$338))=0,"",INDEX('Licences'!$C$4:$C$503,_calc!$E$338)))=0,"","Issuer: "&amp;IF(LEN(INDEX('Licences'!$C$4:$C$503,_calc!$E$338))=0,"",INDEX('Licences'!$C$4:$C$503,_calc!$E$338))&amp;". ")&amp;IF(LEN(IF(LEN(INDEX('Licences'!$E$4:$E$503,_calc!$E$338))=0,"",INDEX('Licences'!$E$4:$E$503,_calc!$E$338)))=0,"","Site: "&amp;IF(LEN(INDEX('Licences'!$E$4:$E$503,_calc!$E$338))=0,"",INDEX('Licences'!$E$4:$E$503,_calc!$E$338))&amp;". ")&amp;IF(LEN(IF(LEN(INDEX('Licences'!$F$4:$F$503,_calc!$E$338))=0,"",INDEX('Licences'!$F$4:$F$503,_calc!$E$338)))=0,"","Owner: "&amp;IF(LEN(INDEX('Licences'!$F$4:$F$503,_calc!$E$338))=0,"",INDEX('Licences'!$F$4:$F$503,_calc!$E$338))&amp;". ")&amp;IF(LEN(IF(LEN(INDEX('Licences'!$R$4:$R$503,_calc!$E$338))=0,"",INDEX('Licences'!$R$4:$R$503,_calc!$E$338)))=0,"",IF(LEN(INDEX('Licences'!$R$4:$R$503,_calc!$E$338))=0,"",INDEX('Licences'!$R$4:$R$503,_calc!$E$338)))))</f>
        <v/>
      </c>
      <c r="G336" s="44">
        <f>IF(_calc!$E$338="","",IF(LEN(INDEX('Licences'!$Q$4:$Q$503,_calc!$E$338))=0,"",INDEX('Licences'!$Q$4:$Q$503,_calc!$E$338)))</f>
        <v/>
      </c>
      <c r="H336" s="44">
        <f>IF(_calc!$E$338="","",IF(LEN(INDEX('Licences'!$O$4:$O$503,_calc!$E$338))=0,"",INDEX('Licences'!$O$4:$O$503,_calc!$E$338)))</f>
        <v/>
      </c>
      <c r="I336" s="44">
        <f>IF(_calc!$E$338="","",IF(LEN(INDEX('Licences'!$P$4:$P$503,_calc!$E$338))=0,"",INDEX('Licences'!$P$4:$P$503,_calc!$E$338)))</f>
        <v/>
      </c>
      <c r="K336" s="44">
        <f>IF(_calc!$E$338="","",IF(LEN(INDEX('Licences'!$G$4:$G$503,_calc!$E$338))=0,"",INDEX('Licences'!$G$4:$G$503,_calc!$E$338)))</f>
        <v/>
      </c>
    </row>
    <row r="337">
      <c r="A337" s="44">
        <f>IF(_calc!$E$339="","",IF(LEN(INDEX('Licences'!$A$4:$A$503,_calc!$E$339))=0,"",INDEX('Licences'!$A$4:$A$503,_calc!$E$339)))</f>
        <v/>
      </c>
      <c r="B337" s="44">
        <f>IF(_calc!$E$339="","",IF(ISNUMBER(INDEX('Licences'!$J$4:$J$503,_calc!$E$339)),TEXT(INDEX('Licences'!$J$4:$J$503,_calc!$E$339),"yyyy-mm-dd"),""))</f>
        <v/>
      </c>
      <c r="C337" s="44">
        <f>IF(_calc!$E$339="","",IF(LEN(INDEX('Licences'!$B$4:$B$503,_calc!$E$339))=0,"",INDEX('Licences'!$B$4:$B$503,_calc!$E$339)))</f>
        <v/>
      </c>
      <c r="D337" s="44">
        <f>IF(_calc!$E$339="","",IF(ISNUMBER(INDEX('Licences'!$I$4:$I$503,_calc!$E$339)),TEXT(INDEX('Licences'!$I$4:$I$503,_calc!$E$339),"yyyy-mm-dd"),""))</f>
        <v/>
      </c>
      <c r="E337" s="44">
        <f>IF(_calc!$E$339="","",IF(LEN(INDEX('Licences'!$H$4:$H$503,_calc!$E$339))=0,"",INDEX('Licences'!$H$4:$H$503,_calc!$E$339)))</f>
        <v/>
      </c>
      <c r="F337" s="44">
        <f>IF(_calc!$E$339="","",TRIM(IF(LEN(IF(LEN(INDEX('Licences'!$D$4:$D$503,_calc!$E$339))=0,"",INDEX('Licences'!$D$4:$D$503,_calc!$E$339)))=0,"","Ref: "&amp;IF(LEN(INDEX('Licences'!$D$4:$D$503,_calc!$E$339))=0,"",INDEX('Licences'!$D$4:$D$503,_calc!$E$339))&amp;". ")&amp;IF(LEN(IF(LEN(INDEX('Licences'!$C$4:$C$503,_calc!$E$339))=0,"",INDEX('Licences'!$C$4:$C$503,_calc!$E$339)))=0,"","Issuer: "&amp;IF(LEN(INDEX('Licences'!$C$4:$C$503,_calc!$E$339))=0,"",INDEX('Licences'!$C$4:$C$503,_calc!$E$339))&amp;". ")&amp;IF(LEN(IF(LEN(INDEX('Licences'!$E$4:$E$503,_calc!$E$339))=0,"",INDEX('Licences'!$E$4:$E$503,_calc!$E$339)))=0,"","Site: "&amp;IF(LEN(INDEX('Licences'!$E$4:$E$503,_calc!$E$339))=0,"",INDEX('Licences'!$E$4:$E$503,_calc!$E$339))&amp;". ")&amp;IF(LEN(IF(LEN(INDEX('Licences'!$F$4:$F$503,_calc!$E$339))=0,"",INDEX('Licences'!$F$4:$F$503,_calc!$E$339)))=0,"","Owner: "&amp;IF(LEN(INDEX('Licences'!$F$4:$F$503,_calc!$E$339))=0,"",INDEX('Licences'!$F$4:$F$503,_calc!$E$339))&amp;". ")&amp;IF(LEN(IF(LEN(INDEX('Licences'!$R$4:$R$503,_calc!$E$339))=0,"",INDEX('Licences'!$R$4:$R$503,_calc!$E$339)))=0,"",IF(LEN(INDEX('Licences'!$R$4:$R$503,_calc!$E$339))=0,"",INDEX('Licences'!$R$4:$R$503,_calc!$E$339)))))</f>
        <v/>
      </c>
      <c r="G337" s="44">
        <f>IF(_calc!$E$339="","",IF(LEN(INDEX('Licences'!$Q$4:$Q$503,_calc!$E$339))=0,"",INDEX('Licences'!$Q$4:$Q$503,_calc!$E$339)))</f>
        <v/>
      </c>
      <c r="H337" s="44">
        <f>IF(_calc!$E$339="","",IF(LEN(INDEX('Licences'!$O$4:$O$503,_calc!$E$339))=0,"",INDEX('Licences'!$O$4:$O$503,_calc!$E$339)))</f>
        <v/>
      </c>
      <c r="I337" s="44">
        <f>IF(_calc!$E$339="","",IF(LEN(INDEX('Licences'!$P$4:$P$503,_calc!$E$339))=0,"",INDEX('Licences'!$P$4:$P$503,_calc!$E$339)))</f>
        <v/>
      </c>
      <c r="K337" s="44">
        <f>IF(_calc!$E$339="","",IF(LEN(INDEX('Licences'!$G$4:$G$503,_calc!$E$339))=0,"",INDEX('Licences'!$G$4:$G$503,_calc!$E$339)))</f>
        <v/>
      </c>
    </row>
    <row r="338">
      <c r="A338" s="44">
        <f>IF(_calc!$E$340="","",IF(LEN(INDEX('Licences'!$A$4:$A$503,_calc!$E$340))=0,"",INDEX('Licences'!$A$4:$A$503,_calc!$E$340)))</f>
        <v/>
      </c>
      <c r="B338" s="44">
        <f>IF(_calc!$E$340="","",IF(ISNUMBER(INDEX('Licences'!$J$4:$J$503,_calc!$E$340)),TEXT(INDEX('Licences'!$J$4:$J$503,_calc!$E$340),"yyyy-mm-dd"),""))</f>
        <v/>
      </c>
      <c r="C338" s="44">
        <f>IF(_calc!$E$340="","",IF(LEN(INDEX('Licences'!$B$4:$B$503,_calc!$E$340))=0,"",INDEX('Licences'!$B$4:$B$503,_calc!$E$340)))</f>
        <v/>
      </c>
      <c r="D338" s="44">
        <f>IF(_calc!$E$340="","",IF(ISNUMBER(INDEX('Licences'!$I$4:$I$503,_calc!$E$340)),TEXT(INDEX('Licences'!$I$4:$I$503,_calc!$E$340),"yyyy-mm-dd"),""))</f>
        <v/>
      </c>
      <c r="E338" s="44">
        <f>IF(_calc!$E$340="","",IF(LEN(INDEX('Licences'!$H$4:$H$503,_calc!$E$340))=0,"",INDEX('Licences'!$H$4:$H$503,_calc!$E$340)))</f>
        <v/>
      </c>
      <c r="F338" s="44">
        <f>IF(_calc!$E$340="","",TRIM(IF(LEN(IF(LEN(INDEX('Licences'!$D$4:$D$503,_calc!$E$340))=0,"",INDEX('Licences'!$D$4:$D$503,_calc!$E$340)))=0,"","Ref: "&amp;IF(LEN(INDEX('Licences'!$D$4:$D$503,_calc!$E$340))=0,"",INDEX('Licences'!$D$4:$D$503,_calc!$E$340))&amp;". ")&amp;IF(LEN(IF(LEN(INDEX('Licences'!$C$4:$C$503,_calc!$E$340))=0,"",INDEX('Licences'!$C$4:$C$503,_calc!$E$340)))=0,"","Issuer: "&amp;IF(LEN(INDEX('Licences'!$C$4:$C$503,_calc!$E$340))=0,"",INDEX('Licences'!$C$4:$C$503,_calc!$E$340))&amp;". ")&amp;IF(LEN(IF(LEN(INDEX('Licences'!$E$4:$E$503,_calc!$E$340))=0,"",INDEX('Licences'!$E$4:$E$503,_calc!$E$340)))=0,"","Site: "&amp;IF(LEN(INDEX('Licences'!$E$4:$E$503,_calc!$E$340))=0,"",INDEX('Licences'!$E$4:$E$503,_calc!$E$340))&amp;". ")&amp;IF(LEN(IF(LEN(INDEX('Licences'!$F$4:$F$503,_calc!$E$340))=0,"",INDEX('Licences'!$F$4:$F$503,_calc!$E$340)))=0,"","Owner: "&amp;IF(LEN(INDEX('Licences'!$F$4:$F$503,_calc!$E$340))=0,"",INDEX('Licences'!$F$4:$F$503,_calc!$E$340))&amp;". ")&amp;IF(LEN(IF(LEN(INDEX('Licences'!$R$4:$R$503,_calc!$E$340))=0,"",INDEX('Licences'!$R$4:$R$503,_calc!$E$340)))=0,"",IF(LEN(INDEX('Licences'!$R$4:$R$503,_calc!$E$340))=0,"",INDEX('Licences'!$R$4:$R$503,_calc!$E$340)))))</f>
        <v/>
      </c>
      <c r="G338" s="44">
        <f>IF(_calc!$E$340="","",IF(LEN(INDEX('Licences'!$Q$4:$Q$503,_calc!$E$340))=0,"",INDEX('Licences'!$Q$4:$Q$503,_calc!$E$340)))</f>
        <v/>
      </c>
      <c r="H338" s="44">
        <f>IF(_calc!$E$340="","",IF(LEN(INDEX('Licences'!$O$4:$O$503,_calc!$E$340))=0,"",INDEX('Licences'!$O$4:$O$503,_calc!$E$340)))</f>
        <v/>
      </c>
      <c r="I338" s="44">
        <f>IF(_calc!$E$340="","",IF(LEN(INDEX('Licences'!$P$4:$P$503,_calc!$E$340))=0,"",INDEX('Licences'!$P$4:$P$503,_calc!$E$340)))</f>
        <v/>
      </c>
      <c r="K338" s="44">
        <f>IF(_calc!$E$340="","",IF(LEN(INDEX('Licences'!$G$4:$G$503,_calc!$E$340))=0,"",INDEX('Licences'!$G$4:$G$503,_calc!$E$340)))</f>
        <v/>
      </c>
    </row>
    <row r="339">
      <c r="A339" s="44">
        <f>IF(_calc!$E$341="","",IF(LEN(INDEX('Licences'!$A$4:$A$503,_calc!$E$341))=0,"",INDEX('Licences'!$A$4:$A$503,_calc!$E$341)))</f>
        <v/>
      </c>
      <c r="B339" s="44">
        <f>IF(_calc!$E$341="","",IF(ISNUMBER(INDEX('Licences'!$J$4:$J$503,_calc!$E$341)),TEXT(INDEX('Licences'!$J$4:$J$503,_calc!$E$341),"yyyy-mm-dd"),""))</f>
        <v/>
      </c>
      <c r="C339" s="44">
        <f>IF(_calc!$E$341="","",IF(LEN(INDEX('Licences'!$B$4:$B$503,_calc!$E$341))=0,"",INDEX('Licences'!$B$4:$B$503,_calc!$E$341)))</f>
        <v/>
      </c>
      <c r="D339" s="44">
        <f>IF(_calc!$E$341="","",IF(ISNUMBER(INDEX('Licences'!$I$4:$I$503,_calc!$E$341)),TEXT(INDEX('Licences'!$I$4:$I$503,_calc!$E$341),"yyyy-mm-dd"),""))</f>
        <v/>
      </c>
      <c r="E339" s="44">
        <f>IF(_calc!$E$341="","",IF(LEN(INDEX('Licences'!$H$4:$H$503,_calc!$E$341))=0,"",INDEX('Licences'!$H$4:$H$503,_calc!$E$341)))</f>
        <v/>
      </c>
      <c r="F339" s="44">
        <f>IF(_calc!$E$341="","",TRIM(IF(LEN(IF(LEN(INDEX('Licences'!$D$4:$D$503,_calc!$E$341))=0,"",INDEX('Licences'!$D$4:$D$503,_calc!$E$341)))=0,"","Ref: "&amp;IF(LEN(INDEX('Licences'!$D$4:$D$503,_calc!$E$341))=0,"",INDEX('Licences'!$D$4:$D$503,_calc!$E$341))&amp;". ")&amp;IF(LEN(IF(LEN(INDEX('Licences'!$C$4:$C$503,_calc!$E$341))=0,"",INDEX('Licences'!$C$4:$C$503,_calc!$E$341)))=0,"","Issuer: "&amp;IF(LEN(INDEX('Licences'!$C$4:$C$503,_calc!$E$341))=0,"",INDEX('Licences'!$C$4:$C$503,_calc!$E$341))&amp;". ")&amp;IF(LEN(IF(LEN(INDEX('Licences'!$E$4:$E$503,_calc!$E$341))=0,"",INDEX('Licences'!$E$4:$E$503,_calc!$E$341)))=0,"","Site: "&amp;IF(LEN(INDEX('Licences'!$E$4:$E$503,_calc!$E$341))=0,"",INDEX('Licences'!$E$4:$E$503,_calc!$E$341))&amp;". ")&amp;IF(LEN(IF(LEN(INDEX('Licences'!$F$4:$F$503,_calc!$E$341))=0,"",INDEX('Licences'!$F$4:$F$503,_calc!$E$341)))=0,"","Owner: "&amp;IF(LEN(INDEX('Licences'!$F$4:$F$503,_calc!$E$341))=0,"",INDEX('Licences'!$F$4:$F$503,_calc!$E$341))&amp;". ")&amp;IF(LEN(IF(LEN(INDEX('Licences'!$R$4:$R$503,_calc!$E$341))=0,"",INDEX('Licences'!$R$4:$R$503,_calc!$E$341)))=0,"",IF(LEN(INDEX('Licences'!$R$4:$R$503,_calc!$E$341))=0,"",INDEX('Licences'!$R$4:$R$503,_calc!$E$341)))))</f>
        <v/>
      </c>
      <c r="G339" s="44">
        <f>IF(_calc!$E$341="","",IF(LEN(INDEX('Licences'!$Q$4:$Q$503,_calc!$E$341))=0,"",INDEX('Licences'!$Q$4:$Q$503,_calc!$E$341)))</f>
        <v/>
      </c>
      <c r="H339" s="44">
        <f>IF(_calc!$E$341="","",IF(LEN(INDEX('Licences'!$O$4:$O$503,_calc!$E$341))=0,"",INDEX('Licences'!$O$4:$O$503,_calc!$E$341)))</f>
        <v/>
      </c>
      <c r="I339" s="44">
        <f>IF(_calc!$E$341="","",IF(LEN(INDEX('Licences'!$P$4:$P$503,_calc!$E$341))=0,"",INDEX('Licences'!$P$4:$P$503,_calc!$E$341)))</f>
        <v/>
      </c>
      <c r="K339" s="44">
        <f>IF(_calc!$E$341="","",IF(LEN(INDEX('Licences'!$G$4:$G$503,_calc!$E$341))=0,"",INDEX('Licences'!$G$4:$G$503,_calc!$E$341)))</f>
        <v/>
      </c>
    </row>
    <row r="340">
      <c r="A340" s="44">
        <f>IF(_calc!$E$342="","",IF(LEN(INDEX('Licences'!$A$4:$A$503,_calc!$E$342))=0,"",INDEX('Licences'!$A$4:$A$503,_calc!$E$342)))</f>
        <v/>
      </c>
      <c r="B340" s="44">
        <f>IF(_calc!$E$342="","",IF(ISNUMBER(INDEX('Licences'!$J$4:$J$503,_calc!$E$342)),TEXT(INDEX('Licences'!$J$4:$J$503,_calc!$E$342),"yyyy-mm-dd"),""))</f>
        <v/>
      </c>
      <c r="C340" s="44">
        <f>IF(_calc!$E$342="","",IF(LEN(INDEX('Licences'!$B$4:$B$503,_calc!$E$342))=0,"",INDEX('Licences'!$B$4:$B$503,_calc!$E$342)))</f>
        <v/>
      </c>
      <c r="D340" s="44">
        <f>IF(_calc!$E$342="","",IF(ISNUMBER(INDEX('Licences'!$I$4:$I$503,_calc!$E$342)),TEXT(INDEX('Licences'!$I$4:$I$503,_calc!$E$342),"yyyy-mm-dd"),""))</f>
        <v/>
      </c>
      <c r="E340" s="44">
        <f>IF(_calc!$E$342="","",IF(LEN(INDEX('Licences'!$H$4:$H$503,_calc!$E$342))=0,"",INDEX('Licences'!$H$4:$H$503,_calc!$E$342)))</f>
        <v/>
      </c>
      <c r="F340" s="44">
        <f>IF(_calc!$E$342="","",TRIM(IF(LEN(IF(LEN(INDEX('Licences'!$D$4:$D$503,_calc!$E$342))=0,"",INDEX('Licences'!$D$4:$D$503,_calc!$E$342)))=0,"","Ref: "&amp;IF(LEN(INDEX('Licences'!$D$4:$D$503,_calc!$E$342))=0,"",INDEX('Licences'!$D$4:$D$503,_calc!$E$342))&amp;". ")&amp;IF(LEN(IF(LEN(INDEX('Licences'!$C$4:$C$503,_calc!$E$342))=0,"",INDEX('Licences'!$C$4:$C$503,_calc!$E$342)))=0,"","Issuer: "&amp;IF(LEN(INDEX('Licences'!$C$4:$C$503,_calc!$E$342))=0,"",INDEX('Licences'!$C$4:$C$503,_calc!$E$342))&amp;". ")&amp;IF(LEN(IF(LEN(INDEX('Licences'!$E$4:$E$503,_calc!$E$342))=0,"",INDEX('Licences'!$E$4:$E$503,_calc!$E$342)))=0,"","Site: "&amp;IF(LEN(INDEX('Licences'!$E$4:$E$503,_calc!$E$342))=0,"",INDEX('Licences'!$E$4:$E$503,_calc!$E$342))&amp;". ")&amp;IF(LEN(IF(LEN(INDEX('Licences'!$F$4:$F$503,_calc!$E$342))=0,"",INDEX('Licences'!$F$4:$F$503,_calc!$E$342)))=0,"","Owner: "&amp;IF(LEN(INDEX('Licences'!$F$4:$F$503,_calc!$E$342))=0,"",INDEX('Licences'!$F$4:$F$503,_calc!$E$342))&amp;". ")&amp;IF(LEN(IF(LEN(INDEX('Licences'!$R$4:$R$503,_calc!$E$342))=0,"",INDEX('Licences'!$R$4:$R$503,_calc!$E$342)))=0,"",IF(LEN(INDEX('Licences'!$R$4:$R$503,_calc!$E$342))=0,"",INDEX('Licences'!$R$4:$R$503,_calc!$E$342)))))</f>
        <v/>
      </c>
      <c r="G340" s="44">
        <f>IF(_calc!$E$342="","",IF(LEN(INDEX('Licences'!$Q$4:$Q$503,_calc!$E$342))=0,"",INDEX('Licences'!$Q$4:$Q$503,_calc!$E$342)))</f>
        <v/>
      </c>
      <c r="H340" s="44">
        <f>IF(_calc!$E$342="","",IF(LEN(INDEX('Licences'!$O$4:$O$503,_calc!$E$342))=0,"",INDEX('Licences'!$O$4:$O$503,_calc!$E$342)))</f>
        <v/>
      </c>
      <c r="I340" s="44">
        <f>IF(_calc!$E$342="","",IF(LEN(INDEX('Licences'!$P$4:$P$503,_calc!$E$342))=0,"",INDEX('Licences'!$P$4:$P$503,_calc!$E$342)))</f>
        <v/>
      </c>
      <c r="K340" s="44">
        <f>IF(_calc!$E$342="","",IF(LEN(INDEX('Licences'!$G$4:$G$503,_calc!$E$342))=0,"",INDEX('Licences'!$G$4:$G$503,_calc!$E$342)))</f>
        <v/>
      </c>
    </row>
    <row r="341">
      <c r="A341" s="44">
        <f>IF(_calc!$E$343="","",IF(LEN(INDEX('Licences'!$A$4:$A$503,_calc!$E$343))=0,"",INDEX('Licences'!$A$4:$A$503,_calc!$E$343)))</f>
        <v/>
      </c>
      <c r="B341" s="44">
        <f>IF(_calc!$E$343="","",IF(ISNUMBER(INDEX('Licences'!$J$4:$J$503,_calc!$E$343)),TEXT(INDEX('Licences'!$J$4:$J$503,_calc!$E$343),"yyyy-mm-dd"),""))</f>
        <v/>
      </c>
      <c r="C341" s="44">
        <f>IF(_calc!$E$343="","",IF(LEN(INDEX('Licences'!$B$4:$B$503,_calc!$E$343))=0,"",INDEX('Licences'!$B$4:$B$503,_calc!$E$343)))</f>
        <v/>
      </c>
      <c r="D341" s="44">
        <f>IF(_calc!$E$343="","",IF(ISNUMBER(INDEX('Licences'!$I$4:$I$503,_calc!$E$343)),TEXT(INDEX('Licences'!$I$4:$I$503,_calc!$E$343),"yyyy-mm-dd"),""))</f>
        <v/>
      </c>
      <c r="E341" s="44">
        <f>IF(_calc!$E$343="","",IF(LEN(INDEX('Licences'!$H$4:$H$503,_calc!$E$343))=0,"",INDEX('Licences'!$H$4:$H$503,_calc!$E$343)))</f>
        <v/>
      </c>
      <c r="F341" s="44">
        <f>IF(_calc!$E$343="","",TRIM(IF(LEN(IF(LEN(INDEX('Licences'!$D$4:$D$503,_calc!$E$343))=0,"",INDEX('Licences'!$D$4:$D$503,_calc!$E$343)))=0,"","Ref: "&amp;IF(LEN(INDEX('Licences'!$D$4:$D$503,_calc!$E$343))=0,"",INDEX('Licences'!$D$4:$D$503,_calc!$E$343))&amp;". ")&amp;IF(LEN(IF(LEN(INDEX('Licences'!$C$4:$C$503,_calc!$E$343))=0,"",INDEX('Licences'!$C$4:$C$503,_calc!$E$343)))=0,"","Issuer: "&amp;IF(LEN(INDEX('Licences'!$C$4:$C$503,_calc!$E$343))=0,"",INDEX('Licences'!$C$4:$C$503,_calc!$E$343))&amp;". ")&amp;IF(LEN(IF(LEN(INDEX('Licences'!$E$4:$E$503,_calc!$E$343))=0,"",INDEX('Licences'!$E$4:$E$503,_calc!$E$343)))=0,"","Site: "&amp;IF(LEN(INDEX('Licences'!$E$4:$E$503,_calc!$E$343))=0,"",INDEX('Licences'!$E$4:$E$503,_calc!$E$343))&amp;". ")&amp;IF(LEN(IF(LEN(INDEX('Licences'!$F$4:$F$503,_calc!$E$343))=0,"",INDEX('Licences'!$F$4:$F$503,_calc!$E$343)))=0,"","Owner: "&amp;IF(LEN(INDEX('Licences'!$F$4:$F$503,_calc!$E$343))=0,"",INDEX('Licences'!$F$4:$F$503,_calc!$E$343))&amp;". ")&amp;IF(LEN(IF(LEN(INDEX('Licences'!$R$4:$R$503,_calc!$E$343))=0,"",INDEX('Licences'!$R$4:$R$503,_calc!$E$343)))=0,"",IF(LEN(INDEX('Licences'!$R$4:$R$503,_calc!$E$343))=0,"",INDEX('Licences'!$R$4:$R$503,_calc!$E$343)))))</f>
        <v/>
      </c>
      <c r="G341" s="44">
        <f>IF(_calc!$E$343="","",IF(LEN(INDEX('Licences'!$Q$4:$Q$503,_calc!$E$343))=0,"",INDEX('Licences'!$Q$4:$Q$503,_calc!$E$343)))</f>
        <v/>
      </c>
      <c r="H341" s="44">
        <f>IF(_calc!$E$343="","",IF(LEN(INDEX('Licences'!$O$4:$O$503,_calc!$E$343))=0,"",INDEX('Licences'!$O$4:$O$503,_calc!$E$343)))</f>
        <v/>
      </c>
      <c r="I341" s="44">
        <f>IF(_calc!$E$343="","",IF(LEN(INDEX('Licences'!$P$4:$P$503,_calc!$E$343))=0,"",INDEX('Licences'!$P$4:$P$503,_calc!$E$343)))</f>
        <v/>
      </c>
      <c r="K341" s="44">
        <f>IF(_calc!$E$343="","",IF(LEN(INDEX('Licences'!$G$4:$G$503,_calc!$E$343))=0,"",INDEX('Licences'!$G$4:$G$503,_calc!$E$343)))</f>
        <v/>
      </c>
    </row>
    <row r="342">
      <c r="A342" s="44">
        <f>IF(_calc!$E$344="","",IF(LEN(INDEX('Licences'!$A$4:$A$503,_calc!$E$344))=0,"",INDEX('Licences'!$A$4:$A$503,_calc!$E$344)))</f>
        <v/>
      </c>
      <c r="B342" s="44">
        <f>IF(_calc!$E$344="","",IF(ISNUMBER(INDEX('Licences'!$J$4:$J$503,_calc!$E$344)),TEXT(INDEX('Licences'!$J$4:$J$503,_calc!$E$344),"yyyy-mm-dd"),""))</f>
        <v/>
      </c>
      <c r="C342" s="44">
        <f>IF(_calc!$E$344="","",IF(LEN(INDEX('Licences'!$B$4:$B$503,_calc!$E$344))=0,"",INDEX('Licences'!$B$4:$B$503,_calc!$E$344)))</f>
        <v/>
      </c>
      <c r="D342" s="44">
        <f>IF(_calc!$E$344="","",IF(ISNUMBER(INDEX('Licences'!$I$4:$I$503,_calc!$E$344)),TEXT(INDEX('Licences'!$I$4:$I$503,_calc!$E$344),"yyyy-mm-dd"),""))</f>
        <v/>
      </c>
      <c r="E342" s="44">
        <f>IF(_calc!$E$344="","",IF(LEN(INDEX('Licences'!$H$4:$H$503,_calc!$E$344))=0,"",INDEX('Licences'!$H$4:$H$503,_calc!$E$344)))</f>
        <v/>
      </c>
      <c r="F342" s="44">
        <f>IF(_calc!$E$344="","",TRIM(IF(LEN(IF(LEN(INDEX('Licences'!$D$4:$D$503,_calc!$E$344))=0,"",INDEX('Licences'!$D$4:$D$503,_calc!$E$344)))=0,"","Ref: "&amp;IF(LEN(INDEX('Licences'!$D$4:$D$503,_calc!$E$344))=0,"",INDEX('Licences'!$D$4:$D$503,_calc!$E$344))&amp;". ")&amp;IF(LEN(IF(LEN(INDEX('Licences'!$C$4:$C$503,_calc!$E$344))=0,"",INDEX('Licences'!$C$4:$C$503,_calc!$E$344)))=0,"","Issuer: "&amp;IF(LEN(INDEX('Licences'!$C$4:$C$503,_calc!$E$344))=0,"",INDEX('Licences'!$C$4:$C$503,_calc!$E$344))&amp;". ")&amp;IF(LEN(IF(LEN(INDEX('Licences'!$E$4:$E$503,_calc!$E$344))=0,"",INDEX('Licences'!$E$4:$E$503,_calc!$E$344)))=0,"","Site: "&amp;IF(LEN(INDEX('Licences'!$E$4:$E$503,_calc!$E$344))=0,"",INDEX('Licences'!$E$4:$E$503,_calc!$E$344))&amp;". ")&amp;IF(LEN(IF(LEN(INDEX('Licences'!$F$4:$F$503,_calc!$E$344))=0,"",INDEX('Licences'!$F$4:$F$503,_calc!$E$344)))=0,"","Owner: "&amp;IF(LEN(INDEX('Licences'!$F$4:$F$503,_calc!$E$344))=0,"",INDEX('Licences'!$F$4:$F$503,_calc!$E$344))&amp;". ")&amp;IF(LEN(IF(LEN(INDEX('Licences'!$R$4:$R$503,_calc!$E$344))=0,"",INDEX('Licences'!$R$4:$R$503,_calc!$E$344)))=0,"",IF(LEN(INDEX('Licences'!$R$4:$R$503,_calc!$E$344))=0,"",INDEX('Licences'!$R$4:$R$503,_calc!$E$344)))))</f>
        <v/>
      </c>
      <c r="G342" s="44">
        <f>IF(_calc!$E$344="","",IF(LEN(INDEX('Licences'!$Q$4:$Q$503,_calc!$E$344))=0,"",INDEX('Licences'!$Q$4:$Q$503,_calc!$E$344)))</f>
        <v/>
      </c>
      <c r="H342" s="44">
        <f>IF(_calc!$E$344="","",IF(LEN(INDEX('Licences'!$O$4:$O$503,_calc!$E$344))=0,"",INDEX('Licences'!$O$4:$O$503,_calc!$E$344)))</f>
        <v/>
      </c>
      <c r="I342" s="44">
        <f>IF(_calc!$E$344="","",IF(LEN(INDEX('Licences'!$P$4:$P$503,_calc!$E$344))=0,"",INDEX('Licences'!$P$4:$P$503,_calc!$E$344)))</f>
        <v/>
      </c>
      <c r="K342" s="44">
        <f>IF(_calc!$E$344="","",IF(LEN(INDEX('Licences'!$G$4:$G$503,_calc!$E$344))=0,"",INDEX('Licences'!$G$4:$G$503,_calc!$E$344)))</f>
        <v/>
      </c>
    </row>
    <row r="343">
      <c r="A343" s="44">
        <f>IF(_calc!$E$345="","",IF(LEN(INDEX('Licences'!$A$4:$A$503,_calc!$E$345))=0,"",INDEX('Licences'!$A$4:$A$503,_calc!$E$345)))</f>
        <v/>
      </c>
      <c r="B343" s="44">
        <f>IF(_calc!$E$345="","",IF(ISNUMBER(INDEX('Licences'!$J$4:$J$503,_calc!$E$345)),TEXT(INDEX('Licences'!$J$4:$J$503,_calc!$E$345),"yyyy-mm-dd"),""))</f>
        <v/>
      </c>
      <c r="C343" s="44">
        <f>IF(_calc!$E$345="","",IF(LEN(INDEX('Licences'!$B$4:$B$503,_calc!$E$345))=0,"",INDEX('Licences'!$B$4:$B$503,_calc!$E$345)))</f>
        <v/>
      </c>
      <c r="D343" s="44">
        <f>IF(_calc!$E$345="","",IF(ISNUMBER(INDEX('Licences'!$I$4:$I$503,_calc!$E$345)),TEXT(INDEX('Licences'!$I$4:$I$503,_calc!$E$345),"yyyy-mm-dd"),""))</f>
        <v/>
      </c>
      <c r="E343" s="44">
        <f>IF(_calc!$E$345="","",IF(LEN(INDEX('Licences'!$H$4:$H$503,_calc!$E$345))=0,"",INDEX('Licences'!$H$4:$H$503,_calc!$E$345)))</f>
        <v/>
      </c>
      <c r="F343" s="44">
        <f>IF(_calc!$E$345="","",TRIM(IF(LEN(IF(LEN(INDEX('Licences'!$D$4:$D$503,_calc!$E$345))=0,"",INDEX('Licences'!$D$4:$D$503,_calc!$E$345)))=0,"","Ref: "&amp;IF(LEN(INDEX('Licences'!$D$4:$D$503,_calc!$E$345))=0,"",INDEX('Licences'!$D$4:$D$503,_calc!$E$345))&amp;". ")&amp;IF(LEN(IF(LEN(INDEX('Licences'!$C$4:$C$503,_calc!$E$345))=0,"",INDEX('Licences'!$C$4:$C$503,_calc!$E$345)))=0,"","Issuer: "&amp;IF(LEN(INDEX('Licences'!$C$4:$C$503,_calc!$E$345))=0,"",INDEX('Licences'!$C$4:$C$503,_calc!$E$345))&amp;". ")&amp;IF(LEN(IF(LEN(INDEX('Licences'!$E$4:$E$503,_calc!$E$345))=0,"",INDEX('Licences'!$E$4:$E$503,_calc!$E$345)))=0,"","Site: "&amp;IF(LEN(INDEX('Licences'!$E$4:$E$503,_calc!$E$345))=0,"",INDEX('Licences'!$E$4:$E$503,_calc!$E$345))&amp;". ")&amp;IF(LEN(IF(LEN(INDEX('Licences'!$F$4:$F$503,_calc!$E$345))=0,"",INDEX('Licences'!$F$4:$F$503,_calc!$E$345)))=0,"","Owner: "&amp;IF(LEN(INDEX('Licences'!$F$4:$F$503,_calc!$E$345))=0,"",INDEX('Licences'!$F$4:$F$503,_calc!$E$345))&amp;". ")&amp;IF(LEN(IF(LEN(INDEX('Licences'!$R$4:$R$503,_calc!$E$345))=0,"",INDEX('Licences'!$R$4:$R$503,_calc!$E$345)))=0,"",IF(LEN(INDEX('Licences'!$R$4:$R$503,_calc!$E$345))=0,"",INDEX('Licences'!$R$4:$R$503,_calc!$E$345)))))</f>
        <v/>
      </c>
      <c r="G343" s="44">
        <f>IF(_calc!$E$345="","",IF(LEN(INDEX('Licences'!$Q$4:$Q$503,_calc!$E$345))=0,"",INDEX('Licences'!$Q$4:$Q$503,_calc!$E$345)))</f>
        <v/>
      </c>
      <c r="H343" s="44">
        <f>IF(_calc!$E$345="","",IF(LEN(INDEX('Licences'!$O$4:$O$503,_calc!$E$345))=0,"",INDEX('Licences'!$O$4:$O$503,_calc!$E$345)))</f>
        <v/>
      </c>
      <c r="I343" s="44">
        <f>IF(_calc!$E$345="","",IF(LEN(INDEX('Licences'!$P$4:$P$503,_calc!$E$345))=0,"",INDEX('Licences'!$P$4:$P$503,_calc!$E$345)))</f>
        <v/>
      </c>
      <c r="K343" s="44">
        <f>IF(_calc!$E$345="","",IF(LEN(INDEX('Licences'!$G$4:$G$503,_calc!$E$345))=0,"",INDEX('Licences'!$G$4:$G$503,_calc!$E$345)))</f>
        <v/>
      </c>
    </row>
    <row r="344">
      <c r="A344" s="44">
        <f>IF(_calc!$E$346="","",IF(LEN(INDEX('Licences'!$A$4:$A$503,_calc!$E$346))=0,"",INDEX('Licences'!$A$4:$A$503,_calc!$E$346)))</f>
        <v/>
      </c>
      <c r="B344" s="44">
        <f>IF(_calc!$E$346="","",IF(ISNUMBER(INDEX('Licences'!$J$4:$J$503,_calc!$E$346)),TEXT(INDEX('Licences'!$J$4:$J$503,_calc!$E$346),"yyyy-mm-dd"),""))</f>
        <v/>
      </c>
      <c r="C344" s="44">
        <f>IF(_calc!$E$346="","",IF(LEN(INDEX('Licences'!$B$4:$B$503,_calc!$E$346))=0,"",INDEX('Licences'!$B$4:$B$503,_calc!$E$346)))</f>
        <v/>
      </c>
      <c r="D344" s="44">
        <f>IF(_calc!$E$346="","",IF(ISNUMBER(INDEX('Licences'!$I$4:$I$503,_calc!$E$346)),TEXT(INDEX('Licences'!$I$4:$I$503,_calc!$E$346),"yyyy-mm-dd"),""))</f>
        <v/>
      </c>
      <c r="E344" s="44">
        <f>IF(_calc!$E$346="","",IF(LEN(INDEX('Licences'!$H$4:$H$503,_calc!$E$346))=0,"",INDEX('Licences'!$H$4:$H$503,_calc!$E$346)))</f>
        <v/>
      </c>
      <c r="F344" s="44">
        <f>IF(_calc!$E$346="","",TRIM(IF(LEN(IF(LEN(INDEX('Licences'!$D$4:$D$503,_calc!$E$346))=0,"",INDEX('Licences'!$D$4:$D$503,_calc!$E$346)))=0,"","Ref: "&amp;IF(LEN(INDEX('Licences'!$D$4:$D$503,_calc!$E$346))=0,"",INDEX('Licences'!$D$4:$D$503,_calc!$E$346))&amp;". ")&amp;IF(LEN(IF(LEN(INDEX('Licences'!$C$4:$C$503,_calc!$E$346))=0,"",INDEX('Licences'!$C$4:$C$503,_calc!$E$346)))=0,"","Issuer: "&amp;IF(LEN(INDEX('Licences'!$C$4:$C$503,_calc!$E$346))=0,"",INDEX('Licences'!$C$4:$C$503,_calc!$E$346))&amp;". ")&amp;IF(LEN(IF(LEN(INDEX('Licences'!$E$4:$E$503,_calc!$E$346))=0,"",INDEX('Licences'!$E$4:$E$503,_calc!$E$346)))=0,"","Site: "&amp;IF(LEN(INDEX('Licences'!$E$4:$E$503,_calc!$E$346))=0,"",INDEX('Licences'!$E$4:$E$503,_calc!$E$346))&amp;". ")&amp;IF(LEN(IF(LEN(INDEX('Licences'!$F$4:$F$503,_calc!$E$346))=0,"",INDEX('Licences'!$F$4:$F$503,_calc!$E$346)))=0,"","Owner: "&amp;IF(LEN(INDEX('Licences'!$F$4:$F$503,_calc!$E$346))=0,"",INDEX('Licences'!$F$4:$F$503,_calc!$E$346))&amp;". ")&amp;IF(LEN(IF(LEN(INDEX('Licences'!$R$4:$R$503,_calc!$E$346))=0,"",INDEX('Licences'!$R$4:$R$503,_calc!$E$346)))=0,"",IF(LEN(INDEX('Licences'!$R$4:$R$503,_calc!$E$346))=0,"",INDEX('Licences'!$R$4:$R$503,_calc!$E$346)))))</f>
        <v/>
      </c>
      <c r="G344" s="44">
        <f>IF(_calc!$E$346="","",IF(LEN(INDEX('Licences'!$Q$4:$Q$503,_calc!$E$346))=0,"",INDEX('Licences'!$Q$4:$Q$503,_calc!$E$346)))</f>
        <v/>
      </c>
      <c r="H344" s="44">
        <f>IF(_calc!$E$346="","",IF(LEN(INDEX('Licences'!$O$4:$O$503,_calc!$E$346))=0,"",INDEX('Licences'!$O$4:$O$503,_calc!$E$346)))</f>
        <v/>
      </c>
      <c r="I344" s="44">
        <f>IF(_calc!$E$346="","",IF(LEN(INDEX('Licences'!$P$4:$P$503,_calc!$E$346))=0,"",INDEX('Licences'!$P$4:$P$503,_calc!$E$346)))</f>
        <v/>
      </c>
      <c r="K344" s="44">
        <f>IF(_calc!$E$346="","",IF(LEN(INDEX('Licences'!$G$4:$G$503,_calc!$E$346))=0,"",INDEX('Licences'!$G$4:$G$503,_calc!$E$346)))</f>
        <v/>
      </c>
    </row>
    <row r="345">
      <c r="A345" s="44">
        <f>IF(_calc!$E$347="","",IF(LEN(INDEX('Licences'!$A$4:$A$503,_calc!$E$347))=0,"",INDEX('Licences'!$A$4:$A$503,_calc!$E$347)))</f>
        <v/>
      </c>
      <c r="B345" s="44">
        <f>IF(_calc!$E$347="","",IF(ISNUMBER(INDEX('Licences'!$J$4:$J$503,_calc!$E$347)),TEXT(INDEX('Licences'!$J$4:$J$503,_calc!$E$347),"yyyy-mm-dd"),""))</f>
        <v/>
      </c>
      <c r="C345" s="44">
        <f>IF(_calc!$E$347="","",IF(LEN(INDEX('Licences'!$B$4:$B$503,_calc!$E$347))=0,"",INDEX('Licences'!$B$4:$B$503,_calc!$E$347)))</f>
        <v/>
      </c>
      <c r="D345" s="44">
        <f>IF(_calc!$E$347="","",IF(ISNUMBER(INDEX('Licences'!$I$4:$I$503,_calc!$E$347)),TEXT(INDEX('Licences'!$I$4:$I$503,_calc!$E$347),"yyyy-mm-dd"),""))</f>
        <v/>
      </c>
      <c r="E345" s="44">
        <f>IF(_calc!$E$347="","",IF(LEN(INDEX('Licences'!$H$4:$H$503,_calc!$E$347))=0,"",INDEX('Licences'!$H$4:$H$503,_calc!$E$347)))</f>
        <v/>
      </c>
      <c r="F345" s="44">
        <f>IF(_calc!$E$347="","",TRIM(IF(LEN(IF(LEN(INDEX('Licences'!$D$4:$D$503,_calc!$E$347))=0,"",INDEX('Licences'!$D$4:$D$503,_calc!$E$347)))=0,"","Ref: "&amp;IF(LEN(INDEX('Licences'!$D$4:$D$503,_calc!$E$347))=0,"",INDEX('Licences'!$D$4:$D$503,_calc!$E$347))&amp;". ")&amp;IF(LEN(IF(LEN(INDEX('Licences'!$C$4:$C$503,_calc!$E$347))=0,"",INDEX('Licences'!$C$4:$C$503,_calc!$E$347)))=0,"","Issuer: "&amp;IF(LEN(INDEX('Licences'!$C$4:$C$503,_calc!$E$347))=0,"",INDEX('Licences'!$C$4:$C$503,_calc!$E$347))&amp;". ")&amp;IF(LEN(IF(LEN(INDEX('Licences'!$E$4:$E$503,_calc!$E$347))=0,"",INDEX('Licences'!$E$4:$E$503,_calc!$E$347)))=0,"","Site: "&amp;IF(LEN(INDEX('Licences'!$E$4:$E$503,_calc!$E$347))=0,"",INDEX('Licences'!$E$4:$E$503,_calc!$E$347))&amp;". ")&amp;IF(LEN(IF(LEN(INDEX('Licences'!$F$4:$F$503,_calc!$E$347))=0,"",INDEX('Licences'!$F$4:$F$503,_calc!$E$347)))=0,"","Owner: "&amp;IF(LEN(INDEX('Licences'!$F$4:$F$503,_calc!$E$347))=0,"",INDEX('Licences'!$F$4:$F$503,_calc!$E$347))&amp;". ")&amp;IF(LEN(IF(LEN(INDEX('Licences'!$R$4:$R$503,_calc!$E$347))=0,"",INDEX('Licences'!$R$4:$R$503,_calc!$E$347)))=0,"",IF(LEN(INDEX('Licences'!$R$4:$R$503,_calc!$E$347))=0,"",INDEX('Licences'!$R$4:$R$503,_calc!$E$347)))))</f>
        <v/>
      </c>
      <c r="G345" s="44">
        <f>IF(_calc!$E$347="","",IF(LEN(INDEX('Licences'!$Q$4:$Q$503,_calc!$E$347))=0,"",INDEX('Licences'!$Q$4:$Q$503,_calc!$E$347)))</f>
        <v/>
      </c>
      <c r="H345" s="44">
        <f>IF(_calc!$E$347="","",IF(LEN(INDEX('Licences'!$O$4:$O$503,_calc!$E$347))=0,"",INDEX('Licences'!$O$4:$O$503,_calc!$E$347)))</f>
        <v/>
      </c>
      <c r="I345" s="44">
        <f>IF(_calc!$E$347="","",IF(LEN(INDEX('Licences'!$P$4:$P$503,_calc!$E$347))=0,"",INDEX('Licences'!$P$4:$P$503,_calc!$E$347)))</f>
        <v/>
      </c>
      <c r="K345" s="44">
        <f>IF(_calc!$E$347="","",IF(LEN(INDEX('Licences'!$G$4:$G$503,_calc!$E$347))=0,"",INDEX('Licences'!$G$4:$G$503,_calc!$E$347)))</f>
        <v/>
      </c>
    </row>
    <row r="346">
      <c r="A346" s="44">
        <f>IF(_calc!$E$348="","",IF(LEN(INDEX('Licences'!$A$4:$A$503,_calc!$E$348))=0,"",INDEX('Licences'!$A$4:$A$503,_calc!$E$348)))</f>
        <v/>
      </c>
      <c r="B346" s="44">
        <f>IF(_calc!$E$348="","",IF(ISNUMBER(INDEX('Licences'!$J$4:$J$503,_calc!$E$348)),TEXT(INDEX('Licences'!$J$4:$J$503,_calc!$E$348),"yyyy-mm-dd"),""))</f>
        <v/>
      </c>
      <c r="C346" s="44">
        <f>IF(_calc!$E$348="","",IF(LEN(INDEX('Licences'!$B$4:$B$503,_calc!$E$348))=0,"",INDEX('Licences'!$B$4:$B$503,_calc!$E$348)))</f>
        <v/>
      </c>
      <c r="D346" s="44">
        <f>IF(_calc!$E$348="","",IF(ISNUMBER(INDEX('Licences'!$I$4:$I$503,_calc!$E$348)),TEXT(INDEX('Licences'!$I$4:$I$503,_calc!$E$348),"yyyy-mm-dd"),""))</f>
        <v/>
      </c>
      <c r="E346" s="44">
        <f>IF(_calc!$E$348="","",IF(LEN(INDEX('Licences'!$H$4:$H$503,_calc!$E$348))=0,"",INDEX('Licences'!$H$4:$H$503,_calc!$E$348)))</f>
        <v/>
      </c>
      <c r="F346" s="44">
        <f>IF(_calc!$E$348="","",TRIM(IF(LEN(IF(LEN(INDEX('Licences'!$D$4:$D$503,_calc!$E$348))=0,"",INDEX('Licences'!$D$4:$D$503,_calc!$E$348)))=0,"","Ref: "&amp;IF(LEN(INDEX('Licences'!$D$4:$D$503,_calc!$E$348))=0,"",INDEX('Licences'!$D$4:$D$503,_calc!$E$348))&amp;". ")&amp;IF(LEN(IF(LEN(INDEX('Licences'!$C$4:$C$503,_calc!$E$348))=0,"",INDEX('Licences'!$C$4:$C$503,_calc!$E$348)))=0,"","Issuer: "&amp;IF(LEN(INDEX('Licences'!$C$4:$C$503,_calc!$E$348))=0,"",INDEX('Licences'!$C$4:$C$503,_calc!$E$348))&amp;". ")&amp;IF(LEN(IF(LEN(INDEX('Licences'!$E$4:$E$503,_calc!$E$348))=0,"",INDEX('Licences'!$E$4:$E$503,_calc!$E$348)))=0,"","Site: "&amp;IF(LEN(INDEX('Licences'!$E$4:$E$503,_calc!$E$348))=0,"",INDEX('Licences'!$E$4:$E$503,_calc!$E$348))&amp;". ")&amp;IF(LEN(IF(LEN(INDEX('Licences'!$F$4:$F$503,_calc!$E$348))=0,"",INDEX('Licences'!$F$4:$F$503,_calc!$E$348)))=0,"","Owner: "&amp;IF(LEN(INDEX('Licences'!$F$4:$F$503,_calc!$E$348))=0,"",INDEX('Licences'!$F$4:$F$503,_calc!$E$348))&amp;". ")&amp;IF(LEN(IF(LEN(INDEX('Licences'!$R$4:$R$503,_calc!$E$348))=0,"",INDEX('Licences'!$R$4:$R$503,_calc!$E$348)))=0,"",IF(LEN(INDEX('Licences'!$R$4:$R$503,_calc!$E$348))=0,"",INDEX('Licences'!$R$4:$R$503,_calc!$E$348)))))</f>
        <v/>
      </c>
      <c r="G346" s="44">
        <f>IF(_calc!$E$348="","",IF(LEN(INDEX('Licences'!$Q$4:$Q$503,_calc!$E$348))=0,"",INDEX('Licences'!$Q$4:$Q$503,_calc!$E$348)))</f>
        <v/>
      </c>
      <c r="H346" s="44">
        <f>IF(_calc!$E$348="","",IF(LEN(INDEX('Licences'!$O$4:$O$503,_calc!$E$348))=0,"",INDEX('Licences'!$O$4:$O$503,_calc!$E$348)))</f>
        <v/>
      </c>
      <c r="I346" s="44">
        <f>IF(_calc!$E$348="","",IF(LEN(INDEX('Licences'!$P$4:$P$503,_calc!$E$348))=0,"",INDEX('Licences'!$P$4:$P$503,_calc!$E$348)))</f>
        <v/>
      </c>
      <c r="K346" s="44">
        <f>IF(_calc!$E$348="","",IF(LEN(INDEX('Licences'!$G$4:$G$503,_calc!$E$348))=0,"",INDEX('Licences'!$G$4:$G$503,_calc!$E$348)))</f>
        <v/>
      </c>
    </row>
    <row r="347">
      <c r="A347" s="44">
        <f>IF(_calc!$E$349="","",IF(LEN(INDEX('Licences'!$A$4:$A$503,_calc!$E$349))=0,"",INDEX('Licences'!$A$4:$A$503,_calc!$E$349)))</f>
        <v/>
      </c>
      <c r="B347" s="44">
        <f>IF(_calc!$E$349="","",IF(ISNUMBER(INDEX('Licences'!$J$4:$J$503,_calc!$E$349)),TEXT(INDEX('Licences'!$J$4:$J$503,_calc!$E$349),"yyyy-mm-dd"),""))</f>
        <v/>
      </c>
      <c r="C347" s="44">
        <f>IF(_calc!$E$349="","",IF(LEN(INDEX('Licences'!$B$4:$B$503,_calc!$E$349))=0,"",INDEX('Licences'!$B$4:$B$503,_calc!$E$349)))</f>
        <v/>
      </c>
      <c r="D347" s="44">
        <f>IF(_calc!$E$349="","",IF(ISNUMBER(INDEX('Licences'!$I$4:$I$503,_calc!$E$349)),TEXT(INDEX('Licences'!$I$4:$I$503,_calc!$E$349),"yyyy-mm-dd"),""))</f>
        <v/>
      </c>
      <c r="E347" s="44">
        <f>IF(_calc!$E$349="","",IF(LEN(INDEX('Licences'!$H$4:$H$503,_calc!$E$349))=0,"",INDEX('Licences'!$H$4:$H$503,_calc!$E$349)))</f>
        <v/>
      </c>
      <c r="F347" s="44">
        <f>IF(_calc!$E$349="","",TRIM(IF(LEN(IF(LEN(INDEX('Licences'!$D$4:$D$503,_calc!$E$349))=0,"",INDEX('Licences'!$D$4:$D$503,_calc!$E$349)))=0,"","Ref: "&amp;IF(LEN(INDEX('Licences'!$D$4:$D$503,_calc!$E$349))=0,"",INDEX('Licences'!$D$4:$D$503,_calc!$E$349))&amp;". ")&amp;IF(LEN(IF(LEN(INDEX('Licences'!$C$4:$C$503,_calc!$E$349))=0,"",INDEX('Licences'!$C$4:$C$503,_calc!$E$349)))=0,"","Issuer: "&amp;IF(LEN(INDEX('Licences'!$C$4:$C$503,_calc!$E$349))=0,"",INDEX('Licences'!$C$4:$C$503,_calc!$E$349))&amp;". ")&amp;IF(LEN(IF(LEN(INDEX('Licences'!$E$4:$E$503,_calc!$E$349))=0,"",INDEX('Licences'!$E$4:$E$503,_calc!$E$349)))=0,"","Site: "&amp;IF(LEN(INDEX('Licences'!$E$4:$E$503,_calc!$E$349))=0,"",INDEX('Licences'!$E$4:$E$503,_calc!$E$349))&amp;". ")&amp;IF(LEN(IF(LEN(INDEX('Licences'!$F$4:$F$503,_calc!$E$349))=0,"",INDEX('Licences'!$F$4:$F$503,_calc!$E$349)))=0,"","Owner: "&amp;IF(LEN(INDEX('Licences'!$F$4:$F$503,_calc!$E$349))=0,"",INDEX('Licences'!$F$4:$F$503,_calc!$E$349))&amp;". ")&amp;IF(LEN(IF(LEN(INDEX('Licences'!$R$4:$R$503,_calc!$E$349))=0,"",INDEX('Licences'!$R$4:$R$503,_calc!$E$349)))=0,"",IF(LEN(INDEX('Licences'!$R$4:$R$503,_calc!$E$349))=0,"",INDEX('Licences'!$R$4:$R$503,_calc!$E$349)))))</f>
        <v/>
      </c>
      <c r="G347" s="44">
        <f>IF(_calc!$E$349="","",IF(LEN(INDEX('Licences'!$Q$4:$Q$503,_calc!$E$349))=0,"",INDEX('Licences'!$Q$4:$Q$503,_calc!$E$349)))</f>
        <v/>
      </c>
      <c r="H347" s="44">
        <f>IF(_calc!$E$349="","",IF(LEN(INDEX('Licences'!$O$4:$O$503,_calc!$E$349))=0,"",INDEX('Licences'!$O$4:$O$503,_calc!$E$349)))</f>
        <v/>
      </c>
      <c r="I347" s="44">
        <f>IF(_calc!$E$349="","",IF(LEN(INDEX('Licences'!$P$4:$P$503,_calc!$E$349))=0,"",INDEX('Licences'!$P$4:$P$503,_calc!$E$349)))</f>
        <v/>
      </c>
      <c r="K347" s="44">
        <f>IF(_calc!$E$349="","",IF(LEN(INDEX('Licences'!$G$4:$G$503,_calc!$E$349))=0,"",INDEX('Licences'!$G$4:$G$503,_calc!$E$349)))</f>
        <v/>
      </c>
    </row>
    <row r="348">
      <c r="A348" s="44">
        <f>IF(_calc!$E$350="","",IF(LEN(INDEX('Licences'!$A$4:$A$503,_calc!$E$350))=0,"",INDEX('Licences'!$A$4:$A$503,_calc!$E$350)))</f>
        <v/>
      </c>
      <c r="B348" s="44">
        <f>IF(_calc!$E$350="","",IF(ISNUMBER(INDEX('Licences'!$J$4:$J$503,_calc!$E$350)),TEXT(INDEX('Licences'!$J$4:$J$503,_calc!$E$350),"yyyy-mm-dd"),""))</f>
        <v/>
      </c>
      <c r="C348" s="44">
        <f>IF(_calc!$E$350="","",IF(LEN(INDEX('Licences'!$B$4:$B$503,_calc!$E$350))=0,"",INDEX('Licences'!$B$4:$B$503,_calc!$E$350)))</f>
        <v/>
      </c>
      <c r="D348" s="44">
        <f>IF(_calc!$E$350="","",IF(ISNUMBER(INDEX('Licences'!$I$4:$I$503,_calc!$E$350)),TEXT(INDEX('Licences'!$I$4:$I$503,_calc!$E$350),"yyyy-mm-dd"),""))</f>
        <v/>
      </c>
      <c r="E348" s="44">
        <f>IF(_calc!$E$350="","",IF(LEN(INDEX('Licences'!$H$4:$H$503,_calc!$E$350))=0,"",INDEX('Licences'!$H$4:$H$503,_calc!$E$350)))</f>
        <v/>
      </c>
      <c r="F348" s="44">
        <f>IF(_calc!$E$350="","",TRIM(IF(LEN(IF(LEN(INDEX('Licences'!$D$4:$D$503,_calc!$E$350))=0,"",INDEX('Licences'!$D$4:$D$503,_calc!$E$350)))=0,"","Ref: "&amp;IF(LEN(INDEX('Licences'!$D$4:$D$503,_calc!$E$350))=0,"",INDEX('Licences'!$D$4:$D$503,_calc!$E$350))&amp;". ")&amp;IF(LEN(IF(LEN(INDEX('Licences'!$C$4:$C$503,_calc!$E$350))=0,"",INDEX('Licences'!$C$4:$C$503,_calc!$E$350)))=0,"","Issuer: "&amp;IF(LEN(INDEX('Licences'!$C$4:$C$503,_calc!$E$350))=0,"",INDEX('Licences'!$C$4:$C$503,_calc!$E$350))&amp;". ")&amp;IF(LEN(IF(LEN(INDEX('Licences'!$E$4:$E$503,_calc!$E$350))=0,"",INDEX('Licences'!$E$4:$E$503,_calc!$E$350)))=0,"","Site: "&amp;IF(LEN(INDEX('Licences'!$E$4:$E$503,_calc!$E$350))=0,"",INDEX('Licences'!$E$4:$E$503,_calc!$E$350))&amp;". ")&amp;IF(LEN(IF(LEN(INDEX('Licences'!$F$4:$F$503,_calc!$E$350))=0,"",INDEX('Licences'!$F$4:$F$503,_calc!$E$350)))=0,"","Owner: "&amp;IF(LEN(INDEX('Licences'!$F$4:$F$503,_calc!$E$350))=0,"",INDEX('Licences'!$F$4:$F$503,_calc!$E$350))&amp;". ")&amp;IF(LEN(IF(LEN(INDEX('Licences'!$R$4:$R$503,_calc!$E$350))=0,"",INDEX('Licences'!$R$4:$R$503,_calc!$E$350)))=0,"",IF(LEN(INDEX('Licences'!$R$4:$R$503,_calc!$E$350))=0,"",INDEX('Licences'!$R$4:$R$503,_calc!$E$350)))))</f>
        <v/>
      </c>
      <c r="G348" s="44">
        <f>IF(_calc!$E$350="","",IF(LEN(INDEX('Licences'!$Q$4:$Q$503,_calc!$E$350))=0,"",INDEX('Licences'!$Q$4:$Q$503,_calc!$E$350)))</f>
        <v/>
      </c>
      <c r="H348" s="44">
        <f>IF(_calc!$E$350="","",IF(LEN(INDEX('Licences'!$O$4:$O$503,_calc!$E$350))=0,"",INDEX('Licences'!$O$4:$O$503,_calc!$E$350)))</f>
        <v/>
      </c>
      <c r="I348" s="44">
        <f>IF(_calc!$E$350="","",IF(LEN(INDEX('Licences'!$P$4:$P$503,_calc!$E$350))=0,"",INDEX('Licences'!$P$4:$P$503,_calc!$E$350)))</f>
        <v/>
      </c>
      <c r="K348" s="44">
        <f>IF(_calc!$E$350="","",IF(LEN(INDEX('Licences'!$G$4:$G$503,_calc!$E$350))=0,"",INDEX('Licences'!$G$4:$G$503,_calc!$E$350)))</f>
        <v/>
      </c>
    </row>
    <row r="349">
      <c r="A349" s="44">
        <f>IF(_calc!$E$351="","",IF(LEN(INDEX('Licences'!$A$4:$A$503,_calc!$E$351))=0,"",INDEX('Licences'!$A$4:$A$503,_calc!$E$351)))</f>
        <v/>
      </c>
      <c r="B349" s="44">
        <f>IF(_calc!$E$351="","",IF(ISNUMBER(INDEX('Licences'!$J$4:$J$503,_calc!$E$351)),TEXT(INDEX('Licences'!$J$4:$J$503,_calc!$E$351),"yyyy-mm-dd"),""))</f>
        <v/>
      </c>
      <c r="C349" s="44">
        <f>IF(_calc!$E$351="","",IF(LEN(INDEX('Licences'!$B$4:$B$503,_calc!$E$351))=0,"",INDEX('Licences'!$B$4:$B$503,_calc!$E$351)))</f>
        <v/>
      </c>
      <c r="D349" s="44">
        <f>IF(_calc!$E$351="","",IF(ISNUMBER(INDEX('Licences'!$I$4:$I$503,_calc!$E$351)),TEXT(INDEX('Licences'!$I$4:$I$503,_calc!$E$351),"yyyy-mm-dd"),""))</f>
        <v/>
      </c>
      <c r="E349" s="44">
        <f>IF(_calc!$E$351="","",IF(LEN(INDEX('Licences'!$H$4:$H$503,_calc!$E$351))=0,"",INDEX('Licences'!$H$4:$H$503,_calc!$E$351)))</f>
        <v/>
      </c>
      <c r="F349" s="44">
        <f>IF(_calc!$E$351="","",TRIM(IF(LEN(IF(LEN(INDEX('Licences'!$D$4:$D$503,_calc!$E$351))=0,"",INDEX('Licences'!$D$4:$D$503,_calc!$E$351)))=0,"","Ref: "&amp;IF(LEN(INDEX('Licences'!$D$4:$D$503,_calc!$E$351))=0,"",INDEX('Licences'!$D$4:$D$503,_calc!$E$351))&amp;". ")&amp;IF(LEN(IF(LEN(INDEX('Licences'!$C$4:$C$503,_calc!$E$351))=0,"",INDEX('Licences'!$C$4:$C$503,_calc!$E$351)))=0,"","Issuer: "&amp;IF(LEN(INDEX('Licences'!$C$4:$C$503,_calc!$E$351))=0,"",INDEX('Licences'!$C$4:$C$503,_calc!$E$351))&amp;". ")&amp;IF(LEN(IF(LEN(INDEX('Licences'!$E$4:$E$503,_calc!$E$351))=0,"",INDEX('Licences'!$E$4:$E$503,_calc!$E$351)))=0,"","Site: "&amp;IF(LEN(INDEX('Licences'!$E$4:$E$503,_calc!$E$351))=0,"",INDEX('Licences'!$E$4:$E$503,_calc!$E$351))&amp;". ")&amp;IF(LEN(IF(LEN(INDEX('Licences'!$F$4:$F$503,_calc!$E$351))=0,"",INDEX('Licences'!$F$4:$F$503,_calc!$E$351)))=0,"","Owner: "&amp;IF(LEN(INDEX('Licences'!$F$4:$F$503,_calc!$E$351))=0,"",INDEX('Licences'!$F$4:$F$503,_calc!$E$351))&amp;". ")&amp;IF(LEN(IF(LEN(INDEX('Licences'!$R$4:$R$503,_calc!$E$351))=0,"",INDEX('Licences'!$R$4:$R$503,_calc!$E$351)))=0,"",IF(LEN(INDEX('Licences'!$R$4:$R$503,_calc!$E$351))=0,"",INDEX('Licences'!$R$4:$R$503,_calc!$E$351)))))</f>
        <v/>
      </c>
      <c r="G349" s="44">
        <f>IF(_calc!$E$351="","",IF(LEN(INDEX('Licences'!$Q$4:$Q$503,_calc!$E$351))=0,"",INDEX('Licences'!$Q$4:$Q$503,_calc!$E$351)))</f>
        <v/>
      </c>
      <c r="H349" s="44">
        <f>IF(_calc!$E$351="","",IF(LEN(INDEX('Licences'!$O$4:$O$503,_calc!$E$351))=0,"",INDEX('Licences'!$O$4:$O$503,_calc!$E$351)))</f>
        <v/>
      </c>
      <c r="I349" s="44">
        <f>IF(_calc!$E$351="","",IF(LEN(INDEX('Licences'!$P$4:$P$503,_calc!$E$351))=0,"",INDEX('Licences'!$P$4:$P$503,_calc!$E$351)))</f>
        <v/>
      </c>
      <c r="K349" s="44">
        <f>IF(_calc!$E$351="","",IF(LEN(INDEX('Licences'!$G$4:$G$503,_calc!$E$351))=0,"",INDEX('Licences'!$G$4:$G$503,_calc!$E$351)))</f>
        <v/>
      </c>
    </row>
    <row r="350">
      <c r="A350" s="44">
        <f>IF(_calc!$E$352="","",IF(LEN(INDEX('Licences'!$A$4:$A$503,_calc!$E$352))=0,"",INDEX('Licences'!$A$4:$A$503,_calc!$E$352)))</f>
        <v/>
      </c>
      <c r="B350" s="44">
        <f>IF(_calc!$E$352="","",IF(ISNUMBER(INDEX('Licences'!$J$4:$J$503,_calc!$E$352)),TEXT(INDEX('Licences'!$J$4:$J$503,_calc!$E$352),"yyyy-mm-dd"),""))</f>
        <v/>
      </c>
      <c r="C350" s="44">
        <f>IF(_calc!$E$352="","",IF(LEN(INDEX('Licences'!$B$4:$B$503,_calc!$E$352))=0,"",INDEX('Licences'!$B$4:$B$503,_calc!$E$352)))</f>
        <v/>
      </c>
      <c r="D350" s="44">
        <f>IF(_calc!$E$352="","",IF(ISNUMBER(INDEX('Licences'!$I$4:$I$503,_calc!$E$352)),TEXT(INDEX('Licences'!$I$4:$I$503,_calc!$E$352),"yyyy-mm-dd"),""))</f>
        <v/>
      </c>
      <c r="E350" s="44">
        <f>IF(_calc!$E$352="","",IF(LEN(INDEX('Licences'!$H$4:$H$503,_calc!$E$352))=0,"",INDEX('Licences'!$H$4:$H$503,_calc!$E$352)))</f>
        <v/>
      </c>
      <c r="F350" s="44">
        <f>IF(_calc!$E$352="","",TRIM(IF(LEN(IF(LEN(INDEX('Licences'!$D$4:$D$503,_calc!$E$352))=0,"",INDEX('Licences'!$D$4:$D$503,_calc!$E$352)))=0,"","Ref: "&amp;IF(LEN(INDEX('Licences'!$D$4:$D$503,_calc!$E$352))=0,"",INDEX('Licences'!$D$4:$D$503,_calc!$E$352))&amp;". ")&amp;IF(LEN(IF(LEN(INDEX('Licences'!$C$4:$C$503,_calc!$E$352))=0,"",INDEX('Licences'!$C$4:$C$503,_calc!$E$352)))=0,"","Issuer: "&amp;IF(LEN(INDEX('Licences'!$C$4:$C$503,_calc!$E$352))=0,"",INDEX('Licences'!$C$4:$C$503,_calc!$E$352))&amp;". ")&amp;IF(LEN(IF(LEN(INDEX('Licences'!$E$4:$E$503,_calc!$E$352))=0,"",INDEX('Licences'!$E$4:$E$503,_calc!$E$352)))=0,"","Site: "&amp;IF(LEN(INDEX('Licences'!$E$4:$E$503,_calc!$E$352))=0,"",INDEX('Licences'!$E$4:$E$503,_calc!$E$352))&amp;". ")&amp;IF(LEN(IF(LEN(INDEX('Licences'!$F$4:$F$503,_calc!$E$352))=0,"",INDEX('Licences'!$F$4:$F$503,_calc!$E$352)))=0,"","Owner: "&amp;IF(LEN(INDEX('Licences'!$F$4:$F$503,_calc!$E$352))=0,"",INDEX('Licences'!$F$4:$F$503,_calc!$E$352))&amp;". ")&amp;IF(LEN(IF(LEN(INDEX('Licences'!$R$4:$R$503,_calc!$E$352))=0,"",INDEX('Licences'!$R$4:$R$503,_calc!$E$352)))=0,"",IF(LEN(INDEX('Licences'!$R$4:$R$503,_calc!$E$352))=0,"",INDEX('Licences'!$R$4:$R$503,_calc!$E$352)))))</f>
        <v/>
      </c>
      <c r="G350" s="44">
        <f>IF(_calc!$E$352="","",IF(LEN(INDEX('Licences'!$Q$4:$Q$503,_calc!$E$352))=0,"",INDEX('Licences'!$Q$4:$Q$503,_calc!$E$352)))</f>
        <v/>
      </c>
      <c r="H350" s="44">
        <f>IF(_calc!$E$352="","",IF(LEN(INDEX('Licences'!$O$4:$O$503,_calc!$E$352))=0,"",INDEX('Licences'!$O$4:$O$503,_calc!$E$352)))</f>
        <v/>
      </c>
      <c r="I350" s="44">
        <f>IF(_calc!$E$352="","",IF(LEN(INDEX('Licences'!$P$4:$P$503,_calc!$E$352))=0,"",INDEX('Licences'!$P$4:$P$503,_calc!$E$352)))</f>
        <v/>
      </c>
      <c r="K350" s="44">
        <f>IF(_calc!$E$352="","",IF(LEN(INDEX('Licences'!$G$4:$G$503,_calc!$E$352))=0,"",INDEX('Licences'!$G$4:$G$503,_calc!$E$352)))</f>
        <v/>
      </c>
    </row>
    <row r="351">
      <c r="A351" s="44">
        <f>IF(_calc!$E$353="","",IF(LEN(INDEX('Licences'!$A$4:$A$503,_calc!$E$353))=0,"",INDEX('Licences'!$A$4:$A$503,_calc!$E$353)))</f>
        <v/>
      </c>
      <c r="B351" s="44">
        <f>IF(_calc!$E$353="","",IF(ISNUMBER(INDEX('Licences'!$J$4:$J$503,_calc!$E$353)),TEXT(INDEX('Licences'!$J$4:$J$503,_calc!$E$353),"yyyy-mm-dd"),""))</f>
        <v/>
      </c>
      <c r="C351" s="44">
        <f>IF(_calc!$E$353="","",IF(LEN(INDEX('Licences'!$B$4:$B$503,_calc!$E$353))=0,"",INDEX('Licences'!$B$4:$B$503,_calc!$E$353)))</f>
        <v/>
      </c>
      <c r="D351" s="44">
        <f>IF(_calc!$E$353="","",IF(ISNUMBER(INDEX('Licences'!$I$4:$I$503,_calc!$E$353)),TEXT(INDEX('Licences'!$I$4:$I$503,_calc!$E$353),"yyyy-mm-dd"),""))</f>
        <v/>
      </c>
      <c r="E351" s="44">
        <f>IF(_calc!$E$353="","",IF(LEN(INDEX('Licences'!$H$4:$H$503,_calc!$E$353))=0,"",INDEX('Licences'!$H$4:$H$503,_calc!$E$353)))</f>
        <v/>
      </c>
      <c r="F351" s="44">
        <f>IF(_calc!$E$353="","",TRIM(IF(LEN(IF(LEN(INDEX('Licences'!$D$4:$D$503,_calc!$E$353))=0,"",INDEX('Licences'!$D$4:$D$503,_calc!$E$353)))=0,"","Ref: "&amp;IF(LEN(INDEX('Licences'!$D$4:$D$503,_calc!$E$353))=0,"",INDEX('Licences'!$D$4:$D$503,_calc!$E$353))&amp;". ")&amp;IF(LEN(IF(LEN(INDEX('Licences'!$C$4:$C$503,_calc!$E$353))=0,"",INDEX('Licences'!$C$4:$C$503,_calc!$E$353)))=0,"","Issuer: "&amp;IF(LEN(INDEX('Licences'!$C$4:$C$503,_calc!$E$353))=0,"",INDEX('Licences'!$C$4:$C$503,_calc!$E$353))&amp;". ")&amp;IF(LEN(IF(LEN(INDEX('Licences'!$E$4:$E$503,_calc!$E$353))=0,"",INDEX('Licences'!$E$4:$E$503,_calc!$E$353)))=0,"","Site: "&amp;IF(LEN(INDEX('Licences'!$E$4:$E$503,_calc!$E$353))=0,"",INDEX('Licences'!$E$4:$E$503,_calc!$E$353))&amp;". ")&amp;IF(LEN(IF(LEN(INDEX('Licences'!$F$4:$F$503,_calc!$E$353))=0,"",INDEX('Licences'!$F$4:$F$503,_calc!$E$353)))=0,"","Owner: "&amp;IF(LEN(INDEX('Licences'!$F$4:$F$503,_calc!$E$353))=0,"",INDEX('Licences'!$F$4:$F$503,_calc!$E$353))&amp;". ")&amp;IF(LEN(IF(LEN(INDEX('Licences'!$R$4:$R$503,_calc!$E$353))=0,"",INDEX('Licences'!$R$4:$R$503,_calc!$E$353)))=0,"",IF(LEN(INDEX('Licences'!$R$4:$R$503,_calc!$E$353))=0,"",INDEX('Licences'!$R$4:$R$503,_calc!$E$353)))))</f>
        <v/>
      </c>
      <c r="G351" s="44">
        <f>IF(_calc!$E$353="","",IF(LEN(INDEX('Licences'!$Q$4:$Q$503,_calc!$E$353))=0,"",INDEX('Licences'!$Q$4:$Q$503,_calc!$E$353)))</f>
        <v/>
      </c>
      <c r="H351" s="44">
        <f>IF(_calc!$E$353="","",IF(LEN(INDEX('Licences'!$O$4:$O$503,_calc!$E$353))=0,"",INDEX('Licences'!$O$4:$O$503,_calc!$E$353)))</f>
        <v/>
      </c>
      <c r="I351" s="44">
        <f>IF(_calc!$E$353="","",IF(LEN(INDEX('Licences'!$P$4:$P$503,_calc!$E$353))=0,"",INDEX('Licences'!$P$4:$P$503,_calc!$E$353)))</f>
        <v/>
      </c>
      <c r="K351" s="44">
        <f>IF(_calc!$E$353="","",IF(LEN(INDEX('Licences'!$G$4:$G$503,_calc!$E$353))=0,"",INDEX('Licences'!$G$4:$G$503,_calc!$E$353)))</f>
        <v/>
      </c>
    </row>
    <row r="352">
      <c r="A352" s="44">
        <f>IF(_calc!$E$354="","",IF(LEN(INDEX('Licences'!$A$4:$A$503,_calc!$E$354))=0,"",INDEX('Licences'!$A$4:$A$503,_calc!$E$354)))</f>
        <v/>
      </c>
      <c r="B352" s="44">
        <f>IF(_calc!$E$354="","",IF(ISNUMBER(INDEX('Licences'!$J$4:$J$503,_calc!$E$354)),TEXT(INDEX('Licences'!$J$4:$J$503,_calc!$E$354),"yyyy-mm-dd"),""))</f>
        <v/>
      </c>
      <c r="C352" s="44">
        <f>IF(_calc!$E$354="","",IF(LEN(INDEX('Licences'!$B$4:$B$503,_calc!$E$354))=0,"",INDEX('Licences'!$B$4:$B$503,_calc!$E$354)))</f>
        <v/>
      </c>
      <c r="D352" s="44">
        <f>IF(_calc!$E$354="","",IF(ISNUMBER(INDEX('Licences'!$I$4:$I$503,_calc!$E$354)),TEXT(INDEX('Licences'!$I$4:$I$503,_calc!$E$354),"yyyy-mm-dd"),""))</f>
        <v/>
      </c>
      <c r="E352" s="44">
        <f>IF(_calc!$E$354="","",IF(LEN(INDEX('Licences'!$H$4:$H$503,_calc!$E$354))=0,"",INDEX('Licences'!$H$4:$H$503,_calc!$E$354)))</f>
        <v/>
      </c>
      <c r="F352" s="44">
        <f>IF(_calc!$E$354="","",TRIM(IF(LEN(IF(LEN(INDEX('Licences'!$D$4:$D$503,_calc!$E$354))=0,"",INDEX('Licences'!$D$4:$D$503,_calc!$E$354)))=0,"","Ref: "&amp;IF(LEN(INDEX('Licences'!$D$4:$D$503,_calc!$E$354))=0,"",INDEX('Licences'!$D$4:$D$503,_calc!$E$354))&amp;". ")&amp;IF(LEN(IF(LEN(INDEX('Licences'!$C$4:$C$503,_calc!$E$354))=0,"",INDEX('Licences'!$C$4:$C$503,_calc!$E$354)))=0,"","Issuer: "&amp;IF(LEN(INDEX('Licences'!$C$4:$C$503,_calc!$E$354))=0,"",INDEX('Licences'!$C$4:$C$503,_calc!$E$354))&amp;". ")&amp;IF(LEN(IF(LEN(INDEX('Licences'!$E$4:$E$503,_calc!$E$354))=0,"",INDEX('Licences'!$E$4:$E$503,_calc!$E$354)))=0,"","Site: "&amp;IF(LEN(INDEX('Licences'!$E$4:$E$503,_calc!$E$354))=0,"",INDEX('Licences'!$E$4:$E$503,_calc!$E$354))&amp;". ")&amp;IF(LEN(IF(LEN(INDEX('Licences'!$F$4:$F$503,_calc!$E$354))=0,"",INDEX('Licences'!$F$4:$F$503,_calc!$E$354)))=0,"","Owner: "&amp;IF(LEN(INDEX('Licences'!$F$4:$F$503,_calc!$E$354))=0,"",INDEX('Licences'!$F$4:$F$503,_calc!$E$354))&amp;". ")&amp;IF(LEN(IF(LEN(INDEX('Licences'!$R$4:$R$503,_calc!$E$354))=0,"",INDEX('Licences'!$R$4:$R$503,_calc!$E$354)))=0,"",IF(LEN(INDEX('Licences'!$R$4:$R$503,_calc!$E$354))=0,"",INDEX('Licences'!$R$4:$R$503,_calc!$E$354)))))</f>
        <v/>
      </c>
      <c r="G352" s="44">
        <f>IF(_calc!$E$354="","",IF(LEN(INDEX('Licences'!$Q$4:$Q$503,_calc!$E$354))=0,"",INDEX('Licences'!$Q$4:$Q$503,_calc!$E$354)))</f>
        <v/>
      </c>
      <c r="H352" s="44">
        <f>IF(_calc!$E$354="","",IF(LEN(INDEX('Licences'!$O$4:$O$503,_calc!$E$354))=0,"",INDEX('Licences'!$O$4:$O$503,_calc!$E$354)))</f>
        <v/>
      </c>
      <c r="I352" s="44">
        <f>IF(_calc!$E$354="","",IF(LEN(INDEX('Licences'!$P$4:$P$503,_calc!$E$354))=0,"",INDEX('Licences'!$P$4:$P$503,_calc!$E$354)))</f>
        <v/>
      </c>
      <c r="K352" s="44">
        <f>IF(_calc!$E$354="","",IF(LEN(INDEX('Licences'!$G$4:$G$503,_calc!$E$354))=0,"",INDEX('Licences'!$G$4:$G$503,_calc!$E$354)))</f>
        <v/>
      </c>
    </row>
    <row r="353">
      <c r="A353" s="44">
        <f>IF(_calc!$E$355="","",IF(LEN(INDEX('Licences'!$A$4:$A$503,_calc!$E$355))=0,"",INDEX('Licences'!$A$4:$A$503,_calc!$E$355)))</f>
        <v/>
      </c>
      <c r="B353" s="44">
        <f>IF(_calc!$E$355="","",IF(ISNUMBER(INDEX('Licences'!$J$4:$J$503,_calc!$E$355)),TEXT(INDEX('Licences'!$J$4:$J$503,_calc!$E$355),"yyyy-mm-dd"),""))</f>
        <v/>
      </c>
      <c r="C353" s="44">
        <f>IF(_calc!$E$355="","",IF(LEN(INDEX('Licences'!$B$4:$B$503,_calc!$E$355))=0,"",INDEX('Licences'!$B$4:$B$503,_calc!$E$355)))</f>
        <v/>
      </c>
      <c r="D353" s="44">
        <f>IF(_calc!$E$355="","",IF(ISNUMBER(INDEX('Licences'!$I$4:$I$503,_calc!$E$355)),TEXT(INDEX('Licences'!$I$4:$I$503,_calc!$E$355),"yyyy-mm-dd"),""))</f>
        <v/>
      </c>
      <c r="E353" s="44">
        <f>IF(_calc!$E$355="","",IF(LEN(INDEX('Licences'!$H$4:$H$503,_calc!$E$355))=0,"",INDEX('Licences'!$H$4:$H$503,_calc!$E$355)))</f>
        <v/>
      </c>
      <c r="F353" s="44">
        <f>IF(_calc!$E$355="","",TRIM(IF(LEN(IF(LEN(INDEX('Licences'!$D$4:$D$503,_calc!$E$355))=0,"",INDEX('Licences'!$D$4:$D$503,_calc!$E$355)))=0,"","Ref: "&amp;IF(LEN(INDEX('Licences'!$D$4:$D$503,_calc!$E$355))=0,"",INDEX('Licences'!$D$4:$D$503,_calc!$E$355))&amp;". ")&amp;IF(LEN(IF(LEN(INDEX('Licences'!$C$4:$C$503,_calc!$E$355))=0,"",INDEX('Licences'!$C$4:$C$503,_calc!$E$355)))=0,"","Issuer: "&amp;IF(LEN(INDEX('Licences'!$C$4:$C$503,_calc!$E$355))=0,"",INDEX('Licences'!$C$4:$C$503,_calc!$E$355))&amp;". ")&amp;IF(LEN(IF(LEN(INDEX('Licences'!$E$4:$E$503,_calc!$E$355))=0,"",INDEX('Licences'!$E$4:$E$503,_calc!$E$355)))=0,"","Site: "&amp;IF(LEN(INDEX('Licences'!$E$4:$E$503,_calc!$E$355))=0,"",INDEX('Licences'!$E$4:$E$503,_calc!$E$355))&amp;". ")&amp;IF(LEN(IF(LEN(INDEX('Licences'!$F$4:$F$503,_calc!$E$355))=0,"",INDEX('Licences'!$F$4:$F$503,_calc!$E$355)))=0,"","Owner: "&amp;IF(LEN(INDEX('Licences'!$F$4:$F$503,_calc!$E$355))=0,"",INDEX('Licences'!$F$4:$F$503,_calc!$E$355))&amp;". ")&amp;IF(LEN(IF(LEN(INDEX('Licences'!$R$4:$R$503,_calc!$E$355))=0,"",INDEX('Licences'!$R$4:$R$503,_calc!$E$355)))=0,"",IF(LEN(INDEX('Licences'!$R$4:$R$503,_calc!$E$355))=0,"",INDEX('Licences'!$R$4:$R$503,_calc!$E$355)))))</f>
        <v/>
      </c>
      <c r="G353" s="44">
        <f>IF(_calc!$E$355="","",IF(LEN(INDEX('Licences'!$Q$4:$Q$503,_calc!$E$355))=0,"",INDEX('Licences'!$Q$4:$Q$503,_calc!$E$355)))</f>
        <v/>
      </c>
      <c r="H353" s="44">
        <f>IF(_calc!$E$355="","",IF(LEN(INDEX('Licences'!$O$4:$O$503,_calc!$E$355))=0,"",INDEX('Licences'!$O$4:$O$503,_calc!$E$355)))</f>
        <v/>
      </c>
      <c r="I353" s="44">
        <f>IF(_calc!$E$355="","",IF(LEN(INDEX('Licences'!$P$4:$P$503,_calc!$E$355))=0,"",INDEX('Licences'!$P$4:$P$503,_calc!$E$355)))</f>
        <v/>
      </c>
      <c r="K353" s="44">
        <f>IF(_calc!$E$355="","",IF(LEN(INDEX('Licences'!$G$4:$G$503,_calc!$E$355))=0,"",INDEX('Licences'!$G$4:$G$503,_calc!$E$355)))</f>
        <v/>
      </c>
    </row>
    <row r="354">
      <c r="A354" s="44">
        <f>IF(_calc!$E$356="","",IF(LEN(INDEX('Licences'!$A$4:$A$503,_calc!$E$356))=0,"",INDEX('Licences'!$A$4:$A$503,_calc!$E$356)))</f>
        <v/>
      </c>
      <c r="B354" s="44">
        <f>IF(_calc!$E$356="","",IF(ISNUMBER(INDEX('Licences'!$J$4:$J$503,_calc!$E$356)),TEXT(INDEX('Licences'!$J$4:$J$503,_calc!$E$356),"yyyy-mm-dd"),""))</f>
        <v/>
      </c>
      <c r="C354" s="44">
        <f>IF(_calc!$E$356="","",IF(LEN(INDEX('Licences'!$B$4:$B$503,_calc!$E$356))=0,"",INDEX('Licences'!$B$4:$B$503,_calc!$E$356)))</f>
        <v/>
      </c>
      <c r="D354" s="44">
        <f>IF(_calc!$E$356="","",IF(ISNUMBER(INDEX('Licences'!$I$4:$I$503,_calc!$E$356)),TEXT(INDEX('Licences'!$I$4:$I$503,_calc!$E$356),"yyyy-mm-dd"),""))</f>
        <v/>
      </c>
      <c r="E354" s="44">
        <f>IF(_calc!$E$356="","",IF(LEN(INDEX('Licences'!$H$4:$H$503,_calc!$E$356))=0,"",INDEX('Licences'!$H$4:$H$503,_calc!$E$356)))</f>
        <v/>
      </c>
      <c r="F354" s="44">
        <f>IF(_calc!$E$356="","",TRIM(IF(LEN(IF(LEN(INDEX('Licences'!$D$4:$D$503,_calc!$E$356))=0,"",INDEX('Licences'!$D$4:$D$503,_calc!$E$356)))=0,"","Ref: "&amp;IF(LEN(INDEX('Licences'!$D$4:$D$503,_calc!$E$356))=0,"",INDEX('Licences'!$D$4:$D$503,_calc!$E$356))&amp;". ")&amp;IF(LEN(IF(LEN(INDEX('Licences'!$C$4:$C$503,_calc!$E$356))=0,"",INDEX('Licences'!$C$4:$C$503,_calc!$E$356)))=0,"","Issuer: "&amp;IF(LEN(INDEX('Licences'!$C$4:$C$503,_calc!$E$356))=0,"",INDEX('Licences'!$C$4:$C$503,_calc!$E$356))&amp;". ")&amp;IF(LEN(IF(LEN(INDEX('Licences'!$E$4:$E$503,_calc!$E$356))=0,"",INDEX('Licences'!$E$4:$E$503,_calc!$E$356)))=0,"","Site: "&amp;IF(LEN(INDEX('Licences'!$E$4:$E$503,_calc!$E$356))=0,"",INDEX('Licences'!$E$4:$E$503,_calc!$E$356))&amp;". ")&amp;IF(LEN(IF(LEN(INDEX('Licences'!$F$4:$F$503,_calc!$E$356))=0,"",INDEX('Licences'!$F$4:$F$503,_calc!$E$356)))=0,"","Owner: "&amp;IF(LEN(INDEX('Licences'!$F$4:$F$503,_calc!$E$356))=0,"",INDEX('Licences'!$F$4:$F$503,_calc!$E$356))&amp;". ")&amp;IF(LEN(IF(LEN(INDEX('Licences'!$R$4:$R$503,_calc!$E$356))=0,"",INDEX('Licences'!$R$4:$R$503,_calc!$E$356)))=0,"",IF(LEN(INDEX('Licences'!$R$4:$R$503,_calc!$E$356))=0,"",INDEX('Licences'!$R$4:$R$503,_calc!$E$356)))))</f>
        <v/>
      </c>
      <c r="G354" s="44">
        <f>IF(_calc!$E$356="","",IF(LEN(INDEX('Licences'!$Q$4:$Q$503,_calc!$E$356))=0,"",INDEX('Licences'!$Q$4:$Q$503,_calc!$E$356)))</f>
        <v/>
      </c>
      <c r="H354" s="44">
        <f>IF(_calc!$E$356="","",IF(LEN(INDEX('Licences'!$O$4:$O$503,_calc!$E$356))=0,"",INDEX('Licences'!$O$4:$O$503,_calc!$E$356)))</f>
        <v/>
      </c>
      <c r="I354" s="44">
        <f>IF(_calc!$E$356="","",IF(LEN(INDEX('Licences'!$P$4:$P$503,_calc!$E$356))=0,"",INDEX('Licences'!$P$4:$P$503,_calc!$E$356)))</f>
        <v/>
      </c>
      <c r="K354" s="44">
        <f>IF(_calc!$E$356="","",IF(LEN(INDEX('Licences'!$G$4:$G$503,_calc!$E$356))=0,"",INDEX('Licences'!$G$4:$G$503,_calc!$E$356)))</f>
        <v/>
      </c>
    </row>
    <row r="355">
      <c r="A355" s="44">
        <f>IF(_calc!$E$357="","",IF(LEN(INDEX('Licences'!$A$4:$A$503,_calc!$E$357))=0,"",INDEX('Licences'!$A$4:$A$503,_calc!$E$357)))</f>
        <v/>
      </c>
      <c r="B355" s="44">
        <f>IF(_calc!$E$357="","",IF(ISNUMBER(INDEX('Licences'!$J$4:$J$503,_calc!$E$357)),TEXT(INDEX('Licences'!$J$4:$J$503,_calc!$E$357),"yyyy-mm-dd"),""))</f>
        <v/>
      </c>
      <c r="C355" s="44">
        <f>IF(_calc!$E$357="","",IF(LEN(INDEX('Licences'!$B$4:$B$503,_calc!$E$357))=0,"",INDEX('Licences'!$B$4:$B$503,_calc!$E$357)))</f>
        <v/>
      </c>
      <c r="D355" s="44">
        <f>IF(_calc!$E$357="","",IF(ISNUMBER(INDEX('Licences'!$I$4:$I$503,_calc!$E$357)),TEXT(INDEX('Licences'!$I$4:$I$503,_calc!$E$357),"yyyy-mm-dd"),""))</f>
        <v/>
      </c>
      <c r="E355" s="44">
        <f>IF(_calc!$E$357="","",IF(LEN(INDEX('Licences'!$H$4:$H$503,_calc!$E$357))=0,"",INDEX('Licences'!$H$4:$H$503,_calc!$E$357)))</f>
        <v/>
      </c>
      <c r="F355" s="44">
        <f>IF(_calc!$E$357="","",TRIM(IF(LEN(IF(LEN(INDEX('Licences'!$D$4:$D$503,_calc!$E$357))=0,"",INDEX('Licences'!$D$4:$D$503,_calc!$E$357)))=0,"","Ref: "&amp;IF(LEN(INDEX('Licences'!$D$4:$D$503,_calc!$E$357))=0,"",INDEX('Licences'!$D$4:$D$503,_calc!$E$357))&amp;". ")&amp;IF(LEN(IF(LEN(INDEX('Licences'!$C$4:$C$503,_calc!$E$357))=0,"",INDEX('Licences'!$C$4:$C$503,_calc!$E$357)))=0,"","Issuer: "&amp;IF(LEN(INDEX('Licences'!$C$4:$C$503,_calc!$E$357))=0,"",INDEX('Licences'!$C$4:$C$503,_calc!$E$357))&amp;". ")&amp;IF(LEN(IF(LEN(INDEX('Licences'!$E$4:$E$503,_calc!$E$357))=0,"",INDEX('Licences'!$E$4:$E$503,_calc!$E$357)))=0,"","Site: "&amp;IF(LEN(INDEX('Licences'!$E$4:$E$503,_calc!$E$357))=0,"",INDEX('Licences'!$E$4:$E$503,_calc!$E$357))&amp;". ")&amp;IF(LEN(IF(LEN(INDEX('Licences'!$F$4:$F$503,_calc!$E$357))=0,"",INDEX('Licences'!$F$4:$F$503,_calc!$E$357)))=0,"","Owner: "&amp;IF(LEN(INDEX('Licences'!$F$4:$F$503,_calc!$E$357))=0,"",INDEX('Licences'!$F$4:$F$503,_calc!$E$357))&amp;". ")&amp;IF(LEN(IF(LEN(INDEX('Licences'!$R$4:$R$503,_calc!$E$357))=0,"",INDEX('Licences'!$R$4:$R$503,_calc!$E$357)))=0,"",IF(LEN(INDEX('Licences'!$R$4:$R$503,_calc!$E$357))=0,"",INDEX('Licences'!$R$4:$R$503,_calc!$E$357)))))</f>
        <v/>
      </c>
      <c r="G355" s="44">
        <f>IF(_calc!$E$357="","",IF(LEN(INDEX('Licences'!$Q$4:$Q$503,_calc!$E$357))=0,"",INDEX('Licences'!$Q$4:$Q$503,_calc!$E$357)))</f>
        <v/>
      </c>
      <c r="H355" s="44">
        <f>IF(_calc!$E$357="","",IF(LEN(INDEX('Licences'!$O$4:$O$503,_calc!$E$357))=0,"",INDEX('Licences'!$O$4:$O$503,_calc!$E$357)))</f>
        <v/>
      </c>
      <c r="I355" s="44">
        <f>IF(_calc!$E$357="","",IF(LEN(INDEX('Licences'!$P$4:$P$503,_calc!$E$357))=0,"",INDEX('Licences'!$P$4:$P$503,_calc!$E$357)))</f>
        <v/>
      </c>
      <c r="K355" s="44">
        <f>IF(_calc!$E$357="","",IF(LEN(INDEX('Licences'!$G$4:$G$503,_calc!$E$357))=0,"",INDEX('Licences'!$G$4:$G$503,_calc!$E$357)))</f>
        <v/>
      </c>
    </row>
    <row r="356">
      <c r="A356" s="44">
        <f>IF(_calc!$E$358="","",IF(LEN(INDEX('Licences'!$A$4:$A$503,_calc!$E$358))=0,"",INDEX('Licences'!$A$4:$A$503,_calc!$E$358)))</f>
        <v/>
      </c>
      <c r="B356" s="44">
        <f>IF(_calc!$E$358="","",IF(ISNUMBER(INDEX('Licences'!$J$4:$J$503,_calc!$E$358)),TEXT(INDEX('Licences'!$J$4:$J$503,_calc!$E$358),"yyyy-mm-dd"),""))</f>
        <v/>
      </c>
      <c r="C356" s="44">
        <f>IF(_calc!$E$358="","",IF(LEN(INDEX('Licences'!$B$4:$B$503,_calc!$E$358))=0,"",INDEX('Licences'!$B$4:$B$503,_calc!$E$358)))</f>
        <v/>
      </c>
      <c r="D356" s="44">
        <f>IF(_calc!$E$358="","",IF(ISNUMBER(INDEX('Licences'!$I$4:$I$503,_calc!$E$358)),TEXT(INDEX('Licences'!$I$4:$I$503,_calc!$E$358),"yyyy-mm-dd"),""))</f>
        <v/>
      </c>
      <c r="E356" s="44">
        <f>IF(_calc!$E$358="","",IF(LEN(INDEX('Licences'!$H$4:$H$503,_calc!$E$358))=0,"",INDEX('Licences'!$H$4:$H$503,_calc!$E$358)))</f>
        <v/>
      </c>
      <c r="F356" s="44">
        <f>IF(_calc!$E$358="","",TRIM(IF(LEN(IF(LEN(INDEX('Licences'!$D$4:$D$503,_calc!$E$358))=0,"",INDEX('Licences'!$D$4:$D$503,_calc!$E$358)))=0,"","Ref: "&amp;IF(LEN(INDEX('Licences'!$D$4:$D$503,_calc!$E$358))=0,"",INDEX('Licences'!$D$4:$D$503,_calc!$E$358))&amp;". ")&amp;IF(LEN(IF(LEN(INDEX('Licences'!$C$4:$C$503,_calc!$E$358))=0,"",INDEX('Licences'!$C$4:$C$503,_calc!$E$358)))=0,"","Issuer: "&amp;IF(LEN(INDEX('Licences'!$C$4:$C$503,_calc!$E$358))=0,"",INDEX('Licences'!$C$4:$C$503,_calc!$E$358))&amp;". ")&amp;IF(LEN(IF(LEN(INDEX('Licences'!$E$4:$E$503,_calc!$E$358))=0,"",INDEX('Licences'!$E$4:$E$503,_calc!$E$358)))=0,"","Site: "&amp;IF(LEN(INDEX('Licences'!$E$4:$E$503,_calc!$E$358))=0,"",INDEX('Licences'!$E$4:$E$503,_calc!$E$358))&amp;". ")&amp;IF(LEN(IF(LEN(INDEX('Licences'!$F$4:$F$503,_calc!$E$358))=0,"",INDEX('Licences'!$F$4:$F$503,_calc!$E$358)))=0,"","Owner: "&amp;IF(LEN(INDEX('Licences'!$F$4:$F$503,_calc!$E$358))=0,"",INDEX('Licences'!$F$4:$F$503,_calc!$E$358))&amp;". ")&amp;IF(LEN(IF(LEN(INDEX('Licences'!$R$4:$R$503,_calc!$E$358))=0,"",INDEX('Licences'!$R$4:$R$503,_calc!$E$358)))=0,"",IF(LEN(INDEX('Licences'!$R$4:$R$503,_calc!$E$358))=0,"",INDEX('Licences'!$R$4:$R$503,_calc!$E$358)))))</f>
        <v/>
      </c>
      <c r="G356" s="44">
        <f>IF(_calc!$E$358="","",IF(LEN(INDEX('Licences'!$Q$4:$Q$503,_calc!$E$358))=0,"",INDEX('Licences'!$Q$4:$Q$503,_calc!$E$358)))</f>
        <v/>
      </c>
      <c r="H356" s="44">
        <f>IF(_calc!$E$358="","",IF(LEN(INDEX('Licences'!$O$4:$O$503,_calc!$E$358))=0,"",INDEX('Licences'!$O$4:$O$503,_calc!$E$358)))</f>
        <v/>
      </c>
      <c r="I356" s="44">
        <f>IF(_calc!$E$358="","",IF(LEN(INDEX('Licences'!$P$4:$P$503,_calc!$E$358))=0,"",INDEX('Licences'!$P$4:$P$503,_calc!$E$358)))</f>
        <v/>
      </c>
      <c r="K356" s="44">
        <f>IF(_calc!$E$358="","",IF(LEN(INDEX('Licences'!$G$4:$G$503,_calc!$E$358))=0,"",INDEX('Licences'!$G$4:$G$503,_calc!$E$358)))</f>
        <v/>
      </c>
    </row>
    <row r="357">
      <c r="A357" s="44">
        <f>IF(_calc!$E$359="","",IF(LEN(INDEX('Licences'!$A$4:$A$503,_calc!$E$359))=0,"",INDEX('Licences'!$A$4:$A$503,_calc!$E$359)))</f>
        <v/>
      </c>
      <c r="B357" s="44">
        <f>IF(_calc!$E$359="","",IF(ISNUMBER(INDEX('Licences'!$J$4:$J$503,_calc!$E$359)),TEXT(INDEX('Licences'!$J$4:$J$503,_calc!$E$359),"yyyy-mm-dd"),""))</f>
        <v/>
      </c>
      <c r="C357" s="44">
        <f>IF(_calc!$E$359="","",IF(LEN(INDEX('Licences'!$B$4:$B$503,_calc!$E$359))=0,"",INDEX('Licences'!$B$4:$B$503,_calc!$E$359)))</f>
        <v/>
      </c>
      <c r="D357" s="44">
        <f>IF(_calc!$E$359="","",IF(ISNUMBER(INDEX('Licences'!$I$4:$I$503,_calc!$E$359)),TEXT(INDEX('Licences'!$I$4:$I$503,_calc!$E$359),"yyyy-mm-dd"),""))</f>
        <v/>
      </c>
      <c r="E357" s="44">
        <f>IF(_calc!$E$359="","",IF(LEN(INDEX('Licences'!$H$4:$H$503,_calc!$E$359))=0,"",INDEX('Licences'!$H$4:$H$503,_calc!$E$359)))</f>
        <v/>
      </c>
      <c r="F357" s="44">
        <f>IF(_calc!$E$359="","",TRIM(IF(LEN(IF(LEN(INDEX('Licences'!$D$4:$D$503,_calc!$E$359))=0,"",INDEX('Licences'!$D$4:$D$503,_calc!$E$359)))=0,"","Ref: "&amp;IF(LEN(INDEX('Licences'!$D$4:$D$503,_calc!$E$359))=0,"",INDEX('Licences'!$D$4:$D$503,_calc!$E$359))&amp;". ")&amp;IF(LEN(IF(LEN(INDEX('Licences'!$C$4:$C$503,_calc!$E$359))=0,"",INDEX('Licences'!$C$4:$C$503,_calc!$E$359)))=0,"","Issuer: "&amp;IF(LEN(INDEX('Licences'!$C$4:$C$503,_calc!$E$359))=0,"",INDEX('Licences'!$C$4:$C$503,_calc!$E$359))&amp;". ")&amp;IF(LEN(IF(LEN(INDEX('Licences'!$E$4:$E$503,_calc!$E$359))=0,"",INDEX('Licences'!$E$4:$E$503,_calc!$E$359)))=0,"","Site: "&amp;IF(LEN(INDEX('Licences'!$E$4:$E$503,_calc!$E$359))=0,"",INDEX('Licences'!$E$4:$E$503,_calc!$E$359))&amp;". ")&amp;IF(LEN(IF(LEN(INDEX('Licences'!$F$4:$F$503,_calc!$E$359))=0,"",INDEX('Licences'!$F$4:$F$503,_calc!$E$359)))=0,"","Owner: "&amp;IF(LEN(INDEX('Licences'!$F$4:$F$503,_calc!$E$359))=0,"",INDEX('Licences'!$F$4:$F$503,_calc!$E$359))&amp;". ")&amp;IF(LEN(IF(LEN(INDEX('Licences'!$R$4:$R$503,_calc!$E$359))=0,"",INDEX('Licences'!$R$4:$R$503,_calc!$E$359)))=0,"",IF(LEN(INDEX('Licences'!$R$4:$R$503,_calc!$E$359))=0,"",INDEX('Licences'!$R$4:$R$503,_calc!$E$359)))))</f>
        <v/>
      </c>
      <c r="G357" s="44">
        <f>IF(_calc!$E$359="","",IF(LEN(INDEX('Licences'!$Q$4:$Q$503,_calc!$E$359))=0,"",INDEX('Licences'!$Q$4:$Q$503,_calc!$E$359)))</f>
        <v/>
      </c>
      <c r="H357" s="44">
        <f>IF(_calc!$E$359="","",IF(LEN(INDEX('Licences'!$O$4:$O$503,_calc!$E$359))=0,"",INDEX('Licences'!$O$4:$O$503,_calc!$E$359)))</f>
        <v/>
      </c>
      <c r="I357" s="44">
        <f>IF(_calc!$E$359="","",IF(LEN(INDEX('Licences'!$P$4:$P$503,_calc!$E$359))=0,"",INDEX('Licences'!$P$4:$P$503,_calc!$E$359)))</f>
        <v/>
      </c>
      <c r="K357" s="44">
        <f>IF(_calc!$E$359="","",IF(LEN(INDEX('Licences'!$G$4:$G$503,_calc!$E$359))=0,"",INDEX('Licences'!$G$4:$G$503,_calc!$E$359)))</f>
        <v/>
      </c>
    </row>
    <row r="358">
      <c r="A358" s="44">
        <f>IF(_calc!$E$360="","",IF(LEN(INDEX('Licences'!$A$4:$A$503,_calc!$E$360))=0,"",INDEX('Licences'!$A$4:$A$503,_calc!$E$360)))</f>
        <v/>
      </c>
      <c r="B358" s="44">
        <f>IF(_calc!$E$360="","",IF(ISNUMBER(INDEX('Licences'!$J$4:$J$503,_calc!$E$360)),TEXT(INDEX('Licences'!$J$4:$J$503,_calc!$E$360),"yyyy-mm-dd"),""))</f>
        <v/>
      </c>
      <c r="C358" s="44">
        <f>IF(_calc!$E$360="","",IF(LEN(INDEX('Licences'!$B$4:$B$503,_calc!$E$360))=0,"",INDEX('Licences'!$B$4:$B$503,_calc!$E$360)))</f>
        <v/>
      </c>
      <c r="D358" s="44">
        <f>IF(_calc!$E$360="","",IF(ISNUMBER(INDEX('Licences'!$I$4:$I$503,_calc!$E$360)),TEXT(INDEX('Licences'!$I$4:$I$503,_calc!$E$360),"yyyy-mm-dd"),""))</f>
        <v/>
      </c>
      <c r="E358" s="44">
        <f>IF(_calc!$E$360="","",IF(LEN(INDEX('Licences'!$H$4:$H$503,_calc!$E$360))=0,"",INDEX('Licences'!$H$4:$H$503,_calc!$E$360)))</f>
        <v/>
      </c>
      <c r="F358" s="44">
        <f>IF(_calc!$E$360="","",TRIM(IF(LEN(IF(LEN(INDEX('Licences'!$D$4:$D$503,_calc!$E$360))=0,"",INDEX('Licences'!$D$4:$D$503,_calc!$E$360)))=0,"","Ref: "&amp;IF(LEN(INDEX('Licences'!$D$4:$D$503,_calc!$E$360))=0,"",INDEX('Licences'!$D$4:$D$503,_calc!$E$360))&amp;". ")&amp;IF(LEN(IF(LEN(INDEX('Licences'!$C$4:$C$503,_calc!$E$360))=0,"",INDEX('Licences'!$C$4:$C$503,_calc!$E$360)))=0,"","Issuer: "&amp;IF(LEN(INDEX('Licences'!$C$4:$C$503,_calc!$E$360))=0,"",INDEX('Licences'!$C$4:$C$503,_calc!$E$360))&amp;". ")&amp;IF(LEN(IF(LEN(INDEX('Licences'!$E$4:$E$503,_calc!$E$360))=0,"",INDEX('Licences'!$E$4:$E$503,_calc!$E$360)))=0,"","Site: "&amp;IF(LEN(INDEX('Licences'!$E$4:$E$503,_calc!$E$360))=0,"",INDEX('Licences'!$E$4:$E$503,_calc!$E$360))&amp;". ")&amp;IF(LEN(IF(LEN(INDEX('Licences'!$F$4:$F$503,_calc!$E$360))=0,"",INDEX('Licences'!$F$4:$F$503,_calc!$E$360)))=0,"","Owner: "&amp;IF(LEN(INDEX('Licences'!$F$4:$F$503,_calc!$E$360))=0,"",INDEX('Licences'!$F$4:$F$503,_calc!$E$360))&amp;". ")&amp;IF(LEN(IF(LEN(INDEX('Licences'!$R$4:$R$503,_calc!$E$360))=0,"",INDEX('Licences'!$R$4:$R$503,_calc!$E$360)))=0,"",IF(LEN(INDEX('Licences'!$R$4:$R$503,_calc!$E$360))=0,"",INDEX('Licences'!$R$4:$R$503,_calc!$E$360)))))</f>
        <v/>
      </c>
      <c r="G358" s="44">
        <f>IF(_calc!$E$360="","",IF(LEN(INDEX('Licences'!$Q$4:$Q$503,_calc!$E$360))=0,"",INDEX('Licences'!$Q$4:$Q$503,_calc!$E$360)))</f>
        <v/>
      </c>
      <c r="H358" s="44">
        <f>IF(_calc!$E$360="","",IF(LEN(INDEX('Licences'!$O$4:$O$503,_calc!$E$360))=0,"",INDEX('Licences'!$O$4:$O$503,_calc!$E$360)))</f>
        <v/>
      </c>
      <c r="I358" s="44">
        <f>IF(_calc!$E$360="","",IF(LEN(INDEX('Licences'!$P$4:$P$503,_calc!$E$360))=0,"",INDEX('Licences'!$P$4:$P$503,_calc!$E$360)))</f>
        <v/>
      </c>
      <c r="K358" s="44">
        <f>IF(_calc!$E$360="","",IF(LEN(INDEX('Licences'!$G$4:$G$503,_calc!$E$360))=0,"",INDEX('Licences'!$G$4:$G$503,_calc!$E$360)))</f>
        <v/>
      </c>
    </row>
    <row r="359">
      <c r="A359" s="44">
        <f>IF(_calc!$E$361="","",IF(LEN(INDEX('Licences'!$A$4:$A$503,_calc!$E$361))=0,"",INDEX('Licences'!$A$4:$A$503,_calc!$E$361)))</f>
        <v/>
      </c>
      <c r="B359" s="44">
        <f>IF(_calc!$E$361="","",IF(ISNUMBER(INDEX('Licences'!$J$4:$J$503,_calc!$E$361)),TEXT(INDEX('Licences'!$J$4:$J$503,_calc!$E$361),"yyyy-mm-dd"),""))</f>
        <v/>
      </c>
      <c r="C359" s="44">
        <f>IF(_calc!$E$361="","",IF(LEN(INDEX('Licences'!$B$4:$B$503,_calc!$E$361))=0,"",INDEX('Licences'!$B$4:$B$503,_calc!$E$361)))</f>
        <v/>
      </c>
      <c r="D359" s="44">
        <f>IF(_calc!$E$361="","",IF(ISNUMBER(INDEX('Licences'!$I$4:$I$503,_calc!$E$361)),TEXT(INDEX('Licences'!$I$4:$I$503,_calc!$E$361),"yyyy-mm-dd"),""))</f>
        <v/>
      </c>
      <c r="E359" s="44">
        <f>IF(_calc!$E$361="","",IF(LEN(INDEX('Licences'!$H$4:$H$503,_calc!$E$361))=0,"",INDEX('Licences'!$H$4:$H$503,_calc!$E$361)))</f>
        <v/>
      </c>
      <c r="F359" s="44">
        <f>IF(_calc!$E$361="","",TRIM(IF(LEN(IF(LEN(INDEX('Licences'!$D$4:$D$503,_calc!$E$361))=0,"",INDEX('Licences'!$D$4:$D$503,_calc!$E$361)))=0,"","Ref: "&amp;IF(LEN(INDEX('Licences'!$D$4:$D$503,_calc!$E$361))=0,"",INDEX('Licences'!$D$4:$D$503,_calc!$E$361))&amp;". ")&amp;IF(LEN(IF(LEN(INDEX('Licences'!$C$4:$C$503,_calc!$E$361))=0,"",INDEX('Licences'!$C$4:$C$503,_calc!$E$361)))=0,"","Issuer: "&amp;IF(LEN(INDEX('Licences'!$C$4:$C$503,_calc!$E$361))=0,"",INDEX('Licences'!$C$4:$C$503,_calc!$E$361))&amp;". ")&amp;IF(LEN(IF(LEN(INDEX('Licences'!$E$4:$E$503,_calc!$E$361))=0,"",INDEX('Licences'!$E$4:$E$503,_calc!$E$361)))=0,"","Site: "&amp;IF(LEN(INDEX('Licences'!$E$4:$E$503,_calc!$E$361))=0,"",INDEX('Licences'!$E$4:$E$503,_calc!$E$361))&amp;". ")&amp;IF(LEN(IF(LEN(INDEX('Licences'!$F$4:$F$503,_calc!$E$361))=0,"",INDEX('Licences'!$F$4:$F$503,_calc!$E$361)))=0,"","Owner: "&amp;IF(LEN(INDEX('Licences'!$F$4:$F$503,_calc!$E$361))=0,"",INDEX('Licences'!$F$4:$F$503,_calc!$E$361))&amp;". ")&amp;IF(LEN(IF(LEN(INDEX('Licences'!$R$4:$R$503,_calc!$E$361))=0,"",INDEX('Licences'!$R$4:$R$503,_calc!$E$361)))=0,"",IF(LEN(INDEX('Licences'!$R$4:$R$503,_calc!$E$361))=0,"",INDEX('Licences'!$R$4:$R$503,_calc!$E$361)))))</f>
        <v/>
      </c>
      <c r="G359" s="44">
        <f>IF(_calc!$E$361="","",IF(LEN(INDEX('Licences'!$Q$4:$Q$503,_calc!$E$361))=0,"",INDEX('Licences'!$Q$4:$Q$503,_calc!$E$361)))</f>
        <v/>
      </c>
      <c r="H359" s="44">
        <f>IF(_calc!$E$361="","",IF(LEN(INDEX('Licences'!$O$4:$O$503,_calc!$E$361))=0,"",INDEX('Licences'!$O$4:$O$503,_calc!$E$361)))</f>
        <v/>
      </c>
      <c r="I359" s="44">
        <f>IF(_calc!$E$361="","",IF(LEN(INDEX('Licences'!$P$4:$P$503,_calc!$E$361))=0,"",INDEX('Licences'!$P$4:$P$503,_calc!$E$361)))</f>
        <v/>
      </c>
      <c r="K359" s="44">
        <f>IF(_calc!$E$361="","",IF(LEN(INDEX('Licences'!$G$4:$G$503,_calc!$E$361))=0,"",INDEX('Licences'!$G$4:$G$503,_calc!$E$361)))</f>
        <v/>
      </c>
    </row>
    <row r="360">
      <c r="A360" s="44">
        <f>IF(_calc!$E$362="","",IF(LEN(INDEX('Licences'!$A$4:$A$503,_calc!$E$362))=0,"",INDEX('Licences'!$A$4:$A$503,_calc!$E$362)))</f>
        <v/>
      </c>
      <c r="B360" s="44">
        <f>IF(_calc!$E$362="","",IF(ISNUMBER(INDEX('Licences'!$J$4:$J$503,_calc!$E$362)),TEXT(INDEX('Licences'!$J$4:$J$503,_calc!$E$362),"yyyy-mm-dd"),""))</f>
        <v/>
      </c>
      <c r="C360" s="44">
        <f>IF(_calc!$E$362="","",IF(LEN(INDEX('Licences'!$B$4:$B$503,_calc!$E$362))=0,"",INDEX('Licences'!$B$4:$B$503,_calc!$E$362)))</f>
        <v/>
      </c>
      <c r="D360" s="44">
        <f>IF(_calc!$E$362="","",IF(ISNUMBER(INDEX('Licences'!$I$4:$I$503,_calc!$E$362)),TEXT(INDEX('Licences'!$I$4:$I$503,_calc!$E$362),"yyyy-mm-dd"),""))</f>
        <v/>
      </c>
      <c r="E360" s="44">
        <f>IF(_calc!$E$362="","",IF(LEN(INDEX('Licences'!$H$4:$H$503,_calc!$E$362))=0,"",INDEX('Licences'!$H$4:$H$503,_calc!$E$362)))</f>
        <v/>
      </c>
      <c r="F360" s="44">
        <f>IF(_calc!$E$362="","",TRIM(IF(LEN(IF(LEN(INDEX('Licences'!$D$4:$D$503,_calc!$E$362))=0,"",INDEX('Licences'!$D$4:$D$503,_calc!$E$362)))=0,"","Ref: "&amp;IF(LEN(INDEX('Licences'!$D$4:$D$503,_calc!$E$362))=0,"",INDEX('Licences'!$D$4:$D$503,_calc!$E$362))&amp;". ")&amp;IF(LEN(IF(LEN(INDEX('Licences'!$C$4:$C$503,_calc!$E$362))=0,"",INDEX('Licences'!$C$4:$C$503,_calc!$E$362)))=0,"","Issuer: "&amp;IF(LEN(INDEX('Licences'!$C$4:$C$503,_calc!$E$362))=0,"",INDEX('Licences'!$C$4:$C$503,_calc!$E$362))&amp;". ")&amp;IF(LEN(IF(LEN(INDEX('Licences'!$E$4:$E$503,_calc!$E$362))=0,"",INDEX('Licences'!$E$4:$E$503,_calc!$E$362)))=0,"","Site: "&amp;IF(LEN(INDEX('Licences'!$E$4:$E$503,_calc!$E$362))=0,"",INDEX('Licences'!$E$4:$E$503,_calc!$E$362))&amp;". ")&amp;IF(LEN(IF(LEN(INDEX('Licences'!$F$4:$F$503,_calc!$E$362))=0,"",INDEX('Licences'!$F$4:$F$503,_calc!$E$362)))=0,"","Owner: "&amp;IF(LEN(INDEX('Licences'!$F$4:$F$503,_calc!$E$362))=0,"",INDEX('Licences'!$F$4:$F$503,_calc!$E$362))&amp;". ")&amp;IF(LEN(IF(LEN(INDEX('Licences'!$R$4:$R$503,_calc!$E$362))=0,"",INDEX('Licences'!$R$4:$R$503,_calc!$E$362)))=0,"",IF(LEN(INDEX('Licences'!$R$4:$R$503,_calc!$E$362))=0,"",INDEX('Licences'!$R$4:$R$503,_calc!$E$362)))))</f>
        <v/>
      </c>
      <c r="G360" s="44">
        <f>IF(_calc!$E$362="","",IF(LEN(INDEX('Licences'!$Q$4:$Q$503,_calc!$E$362))=0,"",INDEX('Licences'!$Q$4:$Q$503,_calc!$E$362)))</f>
        <v/>
      </c>
      <c r="H360" s="44">
        <f>IF(_calc!$E$362="","",IF(LEN(INDEX('Licences'!$O$4:$O$503,_calc!$E$362))=0,"",INDEX('Licences'!$O$4:$O$503,_calc!$E$362)))</f>
        <v/>
      </c>
      <c r="I360" s="44">
        <f>IF(_calc!$E$362="","",IF(LEN(INDEX('Licences'!$P$4:$P$503,_calc!$E$362))=0,"",INDEX('Licences'!$P$4:$P$503,_calc!$E$362)))</f>
        <v/>
      </c>
      <c r="K360" s="44">
        <f>IF(_calc!$E$362="","",IF(LEN(INDEX('Licences'!$G$4:$G$503,_calc!$E$362))=0,"",INDEX('Licences'!$G$4:$G$503,_calc!$E$362)))</f>
        <v/>
      </c>
    </row>
    <row r="361">
      <c r="A361" s="44">
        <f>IF(_calc!$E$363="","",IF(LEN(INDEX('Licences'!$A$4:$A$503,_calc!$E$363))=0,"",INDEX('Licences'!$A$4:$A$503,_calc!$E$363)))</f>
        <v/>
      </c>
      <c r="B361" s="44">
        <f>IF(_calc!$E$363="","",IF(ISNUMBER(INDEX('Licences'!$J$4:$J$503,_calc!$E$363)),TEXT(INDEX('Licences'!$J$4:$J$503,_calc!$E$363),"yyyy-mm-dd"),""))</f>
        <v/>
      </c>
      <c r="C361" s="44">
        <f>IF(_calc!$E$363="","",IF(LEN(INDEX('Licences'!$B$4:$B$503,_calc!$E$363))=0,"",INDEX('Licences'!$B$4:$B$503,_calc!$E$363)))</f>
        <v/>
      </c>
      <c r="D361" s="44">
        <f>IF(_calc!$E$363="","",IF(ISNUMBER(INDEX('Licences'!$I$4:$I$503,_calc!$E$363)),TEXT(INDEX('Licences'!$I$4:$I$503,_calc!$E$363),"yyyy-mm-dd"),""))</f>
        <v/>
      </c>
      <c r="E361" s="44">
        <f>IF(_calc!$E$363="","",IF(LEN(INDEX('Licences'!$H$4:$H$503,_calc!$E$363))=0,"",INDEX('Licences'!$H$4:$H$503,_calc!$E$363)))</f>
        <v/>
      </c>
      <c r="F361" s="44">
        <f>IF(_calc!$E$363="","",TRIM(IF(LEN(IF(LEN(INDEX('Licences'!$D$4:$D$503,_calc!$E$363))=0,"",INDEX('Licences'!$D$4:$D$503,_calc!$E$363)))=0,"","Ref: "&amp;IF(LEN(INDEX('Licences'!$D$4:$D$503,_calc!$E$363))=0,"",INDEX('Licences'!$D$4:$D$503,_calc!$E$363))&amp;". ")&amp;IF(LEN(IF(LEN(INDEX('Licences'!$C$4:$C$503,_calc!$E$363))=0,"",INDEX('Licences'!$C$4:$C$503,_calc!$E$363)))=0,"","Issuer: "&amp;IF(LEN(INDEX('Licences'!$C$4:$C$503,_calc!$E$363))=0,"",INDEX('Licences'!$C$4:$C$503,_calc!$E$363))&amp;". ")&amp;IF(LEN(IF(LEN(INDEX('Licences'!$E$4:$E$503,_calc!$E$363))=0,"",INDEX('Licences'!$E$4:$E$503,_calc!$E$363)))=0,"","Site: "&amp;IF(LEN(INDEX('Licences'!$E$4:$E$503,_calc!$E$363))=0,"",INDEX('Licences'!$E$4:$E$503,_calc!$E$363))&amp;". ")&amp;IF(LEN(IF(LEN(INDEX('Licences'!$F$4:$F$503,_calc!$E$363))=0,"",INDEX('Licences'!$F$4:$F$503,_calc!$E$363)))=0,"","Owner: "&amp;IF(LEN(INDEX('Licences'!$F$4:$F$503,_calc!$E$363))=0,"",INDEX('Licences'!$F$4:$F$503,_calc!$E$363))&amp;". ")&amp;IF(LEN(IF(LEN(INDEX('Licences'!$R$4:$R$503,_calc!$E$363))=0,"",INDEX('Licences'!$R$4:$R$503,_calc!$E$363)))=0,"",IF(LEN(INDEX('Licences'!$R$4:$R$503,_calc!$E$363))=0,"",INDEX('Licences'!$R$4:$R$503,_calc!$E$363)))))</f>
        <v/>
      </c>
      <c r="G361" s="44">
        <f>IF(_calc!$E$363="","",IF(LEN(INDEX('Licences'!$Q$4:$Q$503,_calc!$E$363))=0,"",INDEX('Licences'!$Q$4:$Q$503,_calc!$E$363)))</f>
        <v/>
      </c>
      <c r="H361" s="44">
        <f>IF(_calc!$E$363="","",IF(LEN(INDEX('Licences'!$O$4:$O$503,_calc!$E$363))=0,"",INDEX('Licences'!$O$4:$O$503,_calc!$E$363)))</f>
        <v/>
      </c>
      <c r="I361" s="44">
        <f>IF(_calc!$E$363="","",IF(LEN(INDEX('Licences'!$P$4:$P$503,_calc!$E$363))=0,"",INDEX('Licences'!$P$4:$P$503,_calc!$E$363)))</f>
        <v/>
      </c>
      <c r="K361" s="44">
        <f>IF(_calc!$E$363="","",IF(LEN(INDEX('Licences'!$G$4:$G$503,_calc!$E$363))=0,"",INDEX('Licences'!$G$4:$G$503,_calc!$E$363)))</f>
        <v/>
      </c>
    </row>
    <row r="362">
      <c r="A362" s="44">
        <f>IF(_calc!$E$364="","",IF(LEN(INDEX('Licences'!$A$4:$A$503,_calc!$E$364))=0,"",INDEX('Licences'!$A$4:$A$503,_calc!$E$364)))</f>
        <v/>
      </c>
      <c r="B362" s="44">
        <f>IF(_calc!$E$364="","",IF(ISNUMBER(INDEX('Licences'!$J$4:$J$503,_calc!$E$364)),TEXT(INDEX('Licences'!$J$4:$J$503,_calc!$E$364),"yyyy-mm-dd"),""))</f>
        <v/>
      </c>
      <c r="C362" s="44">
        <f>IF(_calc!$E$364="","",IF(LEN(INDEX('Licences'!$B$4:$B$503,_calc!$E$364))=0,"",INDEX('Licences'!$B$4:$B$503,_calc!$E$364)))</f>
        <v/>
      </c>
      <c r="D362" s="44">
        <f>IF(_calc!$E$364="","",IF(ISNUMBER(INDEX('Licences'!$I$4:$I$503,_calc!$E$364)),TEXT(INDEX('Licences'!$I$4:$I$503,_calc!$E$364),"yyyy-mm-dd"),""))</f>
        <v/>
      </c>
      <c r="E362" s="44">
        <f>IF(_calc!$E$364="","",IF(LEN(INDEX('Licences'!$H$4:$H$503,_calc!$E$364))=0,"",INDEX('Licences'!$H$4:$H$503,_calc!$E$364)))</f>
        <v/>
      </c>
      <c r="F362" s="44">
        <f>IF(_calc!$E$364="","",TRIM(IF(LEN(IF(LEN(INDEX('Licences'!$D$4:$D$503,_calc!$E$364))=0,"",INDEX('Licences'!$D$4:$D$503,_calc!$E$364)))=0,"","Ref: "&amp;IF(LEN(INDEX('Licences'!$D$4:$D$503,_calc!$E$364))=0,"",INDEX('Licences'!$D$4:$D$503,_calc!$E$364))&amp;". ")&amp;IF(LEN(IF(LEN(INDEX('Licences'!$C$4:$C$503,_calc!$E$364))=0,"",INDEX('Licences'!$C$4:$C$503,_calc!$E$364)))=0,"","Issuer: "&amp;IF(LEN(INDEX('Licences'!$C$4:$C$503,_calc!$E$364))=0,"",INDEX('Licences'!$C$4:$C$503,_calc!$E$364))&amp;". ")&amp;IF(LEN(IF(LEN(INDEX('Licences'!$E$4:$E$503,_calc!$E$364))=0,"",INDEX('Licences'!$E$4:$E$503,_calc!$E$364)))=0,"","Site: "&amp;IF(LEN(INDEX('Licences'!$E$4:$E$503,_calc!$E$364))=0,"",INDEX('Licences'!$E$4:$E$503,_calc!$E$364))&amp;". ")&amp;IF(LEN(IF(LEN(INDEX('Licences'!$F$4:$F$503,_calc!$E$364))=0,"",INDEX('Licences'!$F$4:$F$503,_calc!$E$364)))=0,"","Owner: "&amp;IF(LEN(INDEX('Licences'!$F$4:$F$503,_calc!$E$364))=0,"",INDEX('Licences'!$F$4:$F$503,_calc!$E$364))&amp;". ")&amp;IF(LEN(IF(LEN(INDEX('Licences'!$R$4:$R$503,_calc!$E$364))=0,"",INDEX('Licences'!$R$4:$R$503,_calc!$E$364)))=0,"",IF(LEN(INDEX('Licences'!$R$4:$R$503,_calc!$E$364))=0,"",INDEX('Licences'!$R$4:$R$503,_calc!$E$364)))))</f>
        <v/>
      </c>
      <c r="G362" s="44">
        <f>IF(_calc!$E$364="","",IF(LEN(INDEX('Licences'!$Q$4:$Q$503,_calc!$E$364))=0,"",INDEX('Licences'!$Q$4:$Q$503,_calc!$E$364)))</f>
        <v/>
      </c>
      <c r="H362" s="44">
        <f>IF(_calc!$E$364="","",IF(LEN(INDEX('Licences'!$O$4:$O$503,_calc!$E$364))=0,"",INDEX('Licences'!$O$4:$O$503,_calc!$E$364)))</f>
        <v/>
      </c>
      <c r="I362" s="44">
        <f>IF(_calc!$E$364="","",IF(LEN(INDEX('Licences'!$P$4:$P$503,_calc!$E$364))=0,"",INDEX('Licences'!$P$4:$P$503,_calc!$E$364)))</f>
        <v/>
      </c>
      <c r="K362" s="44">
        <f>IF(_calc!$E$364="","",IF(LEN(INDEX('Licences'!$G$4:$G$503,_calc!$E$364))=0,"",INDEX('Licences'!$G$4:$G$503,_calc!$E$364)))</f>
        <v/>
      </c>
    </row>
    <row r="363">
      <c r="A363" s="44">
        <f>IF(_calc!$E$365="","",IF(LEN(INDEX('Licences'!$A$4:$A$503,_calc!$E$365))=0,"",INDEX('Licences'!$A$4:$A$503,_calc!$E$365)))</f>
        <v/>
      </c>
      <c r="B363" s="44">
        <f>IF(_calc!$E$365="","",IF(ISNUMBER(INDEX('Licences'!$J$4:$J$503,_calc!$E$365)),TEXT(INDEX('Licences'!$J$4:$J$503,_calc!$E$365),"yyyy-mm-dd"),""))</f>
        <v/>
      </c>
      <c r="C363" s="44">
        <f>IF(_calc!$E$365="","",IF(LEN(INDEX('Licences'!$B$4:$B$503,_calc!$E$365))=0,"",INDEX('Licences'!$B$4:$B$503,_calc!$E$365)))</f>
        <v/>
      </c>
      <c r="D363" s="44">
        <f>IF(_calc!$E$365="","",IF(ISNUMBER(INDEX('Licences'!$I$4:$I$503,_calc!$E$365)),TEXT(INDEX('Licences'!$I$4:$I$503,_calc!$E$365),"yyyy-mm-dd"),""))</f>
        <v/>
      </c>
      <c r="E363" s="44">
        <f>IF(_calc!$E$365="","",IF(LEN(INDEX('Licences'!$H$4:$H$503,_calc!$E$365))=0,"",INDEX('Licences'!$H$4:$H$503,_calc!$E$365)))</f>
        <v/>
      </c>
      <c r="F363" s="44">
        <f>IF(_calc!$E$365="","",TRIM(IF(LEN(IF(LEN(INDEX('Licences'!$D$4:$D$503,_calc!$E$365))=0,"",INDEX('Licences'!$D$4:$D$503,_calc!$E$365)))=0,"","Ref: "&amp;IF(LEN(INDEX('Licences'!$D$4:$D$503,_calc!$E$365))=0,"",INDEX('Licences'!$D$4:$D$503,_calc!$E$365))&amp;". ")&amp;IF(LEN(IF(LEN(INDEX('Licences'!$C$4:$C$503,_calc!$E$365))=0,"",INDEX('Licences'!$C$4:$C$503,_calc!$E$365)))=0,"","Issuer: "&amp;IF(LEN(INDEX('Licences'!$C$4:$C$503,_calc!$E$365))=0,"",INDEX('Licences'!$C$4:$C$503,_calc!$E$365))&amp;". ")&amp;IF(LEN(IF(LEN(INDEX('Licences'!$E$4:$E$503,_calc!$E$365))=0,"",INDEX('Licences'!$E$4:$E$503,_calc!$E$365)))=0,"","Site: "&amp;IF(LEN(INDEX('Licences'!$E$4:$E$503,_calc!$E$365))=0,"",INDEX('Licences'!$E$4:$E$503,_calc!$E$365))&amp;". ")&amp;IF(LEN(IF(LEN(INDEX('Licences'!$F$4:$F$503,_calc!$E$365))=0,"",INDEX('Licences'!$F$4:$F$503,_calc!$E$365)))=0,"","Owner: "&amp;IF(LEN(INDEX('Licences'!$F$4:$F$503,_calc!$E$365))=0,"",INDEX('Licences'!$F$4:$F$503,_calc!$E$365))&amp;". ")&amp;IF(LEN(IF(LEN(INDEX('Licences'!$R$4:$R$503,_calc!$E$365))=0,"",INDEX('Licences'!$R$4:$R$503,_calc!$E$365)))=0,"",IF(LEN(INDEX('Licences'!$R$4:$R$503,_calc!$E$365))=0,"",INDEX('Licences'!$R$4:$R$503,_calc!$E$365)))))</f>
        <v/>
      </c>
      <c r="G363" s="44">
        <f>IF(_calc!$E$365="","",IF(LEN(INDEX('Licences'!$Q$4:$Q$503,_calc!$E$365))=0,"",INDEX('Licences'!$Q$4:$Q$503,_calc!$E$365)))</f>
        <v/>
      </c>
      <c r="H363" s="44">
        <f>IF(_calc!$E$365="","",IF(LEN(INDEX('Licences'!$O$4:$O$503,_calc!$E$365))=0,"",INDEX('Licences'!$O$4:$O$503,_calc!$E$365)))</f>
        <v/>
      </c>
      <c r="I363" s="44">
        <f>IF(_calc!$E$365="","",IF(LEN(INDEX('Licences'!$P$4:$P$503,_calc!$E$365))=0,"",INDEX('Licences'!$P$4:$P$503,_calc!$E$365)))</f>
        <v/>
      </c>
      <c r="K363" s="44">
        <f>IF(_calc!$E$365="","",IF(LEN(INDEX('Licences'!$G$4:$G$503,_calc!$E$365))=0,"",INDEX('Licences'!$G$4:$G$503,_calc!$E$365)))</f>
        <v/>
      </c>
    </row>
    <row r="364">
      <c r="A364" s="44">
        <f>IF(_calc!$E$366="","",IF(LEN(INDEX('Licences'!$A$4:$A$503,_calc!$E$366))=0,"",INDEX('Licences'!$A$4:$A$503,_calc!$E$366)))</f>
        <v/>
      </c>
      <c r="B364" s="44">
        <f>IF(_calc!$E$366="","",IF(ISNUMBER(INDEX('Licences'!$J$4:$J$503,_calc!$E$366)),TEXT(INDEX('Licences'!$J$4:$J$503,_calc!$E$366),"yyyy-mm-dd"),""))</f>
        <v/>
      </c>
      <c r="C364" s="44">
        <f>IF(_calc!$E$366="","",IF(LEN(INDEX('Licences'!$B$4:$B$503,_calc!$E$366))=0,"",INDEX('Licences'!$B$4:$B$503,_calc!$E$366)))</f>
        <v/>
      </c>
      <c r="D364" s="44">
        <f>IF(_calc!$E$366="","",IF(ISNUMBER(INDEX('Licences'!$I$4:$I$503,_calc!$E$366)),TEXT(INDEX('Licences'!$I$4:$I$503,_calc!$E$366),"yyyy-mm-dd"),""))</f>
        <v/>
      </c>
      <c r="E364" s="44">
        <f>IF(_calc!$E$366="","",IF(LEN(INDEX('Licences'!$H$4:$H$503,_calc!$E$366))=0,"",INDEX('Licences'!$H$4:$H$503,_calc!$E$366)))</f>
        <v/>
      </c>
      <c r="F364" s="44">
        <f>IF(_calc!$E$366="","",TRIM(IF(LEN(IF(LEN(INDEX('Licences'!$D$4:$D$503,_calc!$E$366))=0,"",INDEX('Licences'!$D$4:$D$503,_calc!$E$366)))=0,"","Ref: "&amp;IF(LEN(INDEX('Licences'!$D$4:$D$503,_calc!$E$366))=0,"",INDEX('Licences'!$D$4:$D$503,_calc!$E$366))&amp;". ")&amp;IF(LEN(IF(LEN(INDEX('Licences'!$C$4:$C$503,_calc!$E$366))=0,"",INDEX('Licences'!$C$4:$C$503,_calc!$E$366)))=0,"","Issuer: "&amp;IF(LEN(INDEX('Licences'!$C$4:$C$503,_calc!$E$366))=0,"",INDEX('Licences'!$C$4:$C$503,_calc!$E$366))&amp;". ")&amp;IF(LEN(IF(LEN(INDEX('Licences'!$E$4:$E$503,_calc!$E$366))=0,"",INDEX('Licences'!$E$4:$E$503,_calc!$E$366)))=0,"","Site: "&amp;IF(LEN(INDEX('Licences'!$E$4:$E$503,_calc!$E$366))=0,"",INDEX('Licences'!$E$4:$E$503,_calc!$E$366))&amp;". ")&amp;IF(LEN(IF(LEN(INDEX('Licences'!$F$4:$F$503,_calc!$E$366))=0,"",INDEX('Licences'!$F$4:$F$503,_calc!$E$366)))=0,"","Owner: "&amp;IF(LEN(INDEX('Licences'!$F$4:$F$503,_calc!$E$366))=0,"",INDEX('Licences'!$F$4:$F$503,_calc!$E$366))&amp;". ")&amp;IF(LEN(IF(LEN(INDEX('Licences'!$R$4:$R$503,_calc!$E$366))=0,"",INDEX('Licences'!$R$4:$R$503,_calc!$E$366)))=0,"",IF(LEN(INDEX('Licences'!$R$4:$R$503,_calc!$E$366))=0,"",INDEX('Licences'!$R$4:$R$503,_calc!$E$366)))))</f>
        <v/>
      </c>
      <c r="G364" s="44">
        <f>IF(_calc!$E$366="","",IF(LEN(INDEX('Licences'!$Q$4:$Q$503,_calc!$E$366))=0,"",INDEX('Licences'!$Q$4:$Q$503,_calc!$E$366)))</f>
        <v/>
      </c>
      <c r="H364" s="44">
        <f>IF(_calc!$E$366="","",IF(LEN(INDEX('Licences'!$O$4:$O$503,_calc!$E$366))=0,"",INDEX('Licences'!$O$4:$O$503,_calc!$E$366)))</f>
        <v/>
      </c>
      <c r="I364" s="44">
        <f>IF(_calc!$E$366="","",IF(LEN(INDEX('Licences'!$P$4:$P$503,_calc!$E$366))=0,"",INDEX('Licences'!$P$4:$P$503,_calc!$E$366)))</f>
        <v/>
      </c>
      <c r="K364" s="44">
        <f>IF(_calc!$E$366="","",IF(LEN(INDEX('Licences'!$G$4:$G$503,_calc!$E$366))=0,"",INDEX('Licences'!$G$4:$G$503,_calc!$E$366)))</f>
        <v/>
      </c>
    </row>
    <row r="365">
      <c r="A365" s="44">
        <f>IF(_calc!$E$367="","",IF(LEN(INDEX('Licences'!$A$4:$A$503,_calc!$E$367))=0,"",INDEX('Licences'!$A$4:$A$503,_calc!$E$367)))</f>
        <v/>
      </c>
      <c r="B365" s="44">
        <f>IF(_calc!$E$367="","",IF(ISNUMBER(INDEX('Licences'!$J$4:$J$503,_calc!$E$367)),TEXT(INDEX('Licences'!$J$4:$J$503,_calc!$E$367),"yyyy-mm-dd"),""))</f>
        <v/>
      </c>
      <c r="C365" s="44">
        <f>IF(_calc!$E$367="","",IF(LEN(INDEX('Licences'!$B$4:$B$503,_calc!$E$367))=0,"",INDEX('Licences'!$B$4:$B$503,_calc!$E$367)))</f>
        <v/>
      </c>
      <c r="D365" s="44">
        <f>IF(_calc!$E$367="","",IF(ISNUMBER(INDEX('Licences'!$I$4:$I$503,_calc!$E$367)),TEXT(INDEX('Licences'!$I$4:$I$503,_calc!$E$367),"yyyy-mm-dd"),""))</f>
        <v/>
      </c>
      <c r="E365" s="44">
        <f>IF(_calc!$E$367="","",IF(LEN(INDEX('Licences'!$H$4:$H$503,_calc!$E$367))=0,"",INDEX('Licences'!$H$4:$H$503,_calc!$E$367)))</f>
        <v/>
      </c>
      <c r="F365" s="44">
        <f>IF(_calc!$E$367="","",TRIM(IF(LEN(IF(LEN(INDEX('Licences'!$D$4:$D$503,_calc!$E$367))=0,"",INDEX('Licences'!$D$4:$D$503,_calc!$E$367)))=0,"","Ref: "&amp;IF(LEN(INDEX('Licences'!$D$4:$D$503,_calc!$E$367))=0,"",INDEX('Licences'!$D$4:$D$503,_calc!$E$367))&amp;". ")&amp;IF(LEN(IF(LEN(INDEX('Licences'!$C$4:$C$503,_calc!$E$367))=0,"",INDEX('Licences'!$C$4:$C$503,_calc!$E$367)))=0,"","Issuer: "&amp;IF(LEN(INDEX('Licences'!$C$4:$C$503,_calc!$E$367))=0,"",INDEX('Licences'!$C$4:$C$503,_calc!$E$367))&amp;". ")&amp;IF(LEN(IF(LEN(INDEX('Licences'!$E$4:$E$503,_calc!$E$367))=0,"",INDEX('Licences'!$E$4:$E$503,_calc!$E$367)))=0,"","Site: "&amp;IF(LEN(INDEX('Licences'!$E$4:$E$503,_calc!$E$367))=0,"",INDEX('Licences'!$E$4:$E$503,_calc!$E$367))&amp;". ")&amp;IF(LEN(IF(LEN(INDEX('Licences'!$F$4:$F$503,_calc!$E$367))=0,"",INDEX('Licences'!$F$4:$F$503,_calc!$E$367)))=0,"","Owner: "&amp;IF(LEN(INDEX('Licences'!$F$4:$F$503,_calc!$E$367))=0,"",INDEX('Licences'!$F$4:$F$503,_calc!$E$367))&amp;". ")&amp;IF(LEN(IF(LEN(INDEX('Licences'!$R$4:$R$503,_calc!$E$367))=0,"",INDEX('Licences'!$R$4:$R$503,_calc!$E$367)))=0,"",IF(LEN(INDEX('Licences'!$R$4:$R$503,_calc!$E$367))=0,"",INDEX('Licences'!$R$4:$R$503,_calc!$E$367)))))</f>
        <v/>
      </c>
      <c r="G365" s="44">
        <f>IF(_calc!$E$367="","",IF(LEN(INDEX('Licences'!$Q$4:$Q$503,_calc!$E$367))=0,"",INDEX('Licences'!$Q$4:$Q$503,_calc!$E$367)))</f>
        <v/>
      </c>
      <c r="H365" s="44">
        <f>IF(_calc!$E$367="","",IF(LEN(INDEX('Licences'!$O$4:$O$503,_calc!$E$367))=0,"",INDEX('Licences'!$O$4:$O$503,_calc!$E$367)))</f>
        <v/>
      </c>
      <c r="I365" s="44">
        <f>IF(_calc!$E$367="","",IF(LEN(INDEX('Licences'!$P$4:$P$503,_calc!$E$367))=0,"",INDEX('Licences'!$P$4:$P$503,_calc!$E$367)))</f>
        <v/>
      </c>
      <c r="K365" s="44">
        <f>IF(_calc!$E$367="","",IF(LEN(INDEX('Licences'!$G$4:$G$503,_calc!$E$367))=0,"",INDEX('Licences'!$G$4:$G$503,_calc!$E$367)))</f>
        <v/>
      </c>
    </row>
    <row r="366">
      <c r="A366" s="44">
        <f>IF(_calc!$E$368="","",IF(LEN(INDEX('Licences'!$A$4:$A$503,_calc!$E$368))=0,"",INDEX('Licences'!$A$4:$A$503,_calc!$E$368)))</f>
        <v/>
      </c>
      <c r="B366" s="44">
        <f>IF(_calc!$E$368="","",IF(ISNUMBER(INDEX('Licences'!$J$4:$J$503,_calc!$E$368)),TEXT(INDEX('Licences'!$J$4:$J$503,_calc!$E$368),"yyyy-mm-dd"),""))</f>
        <v/>
      </c>
      <c r="C366" s="44">
        <f>IF(_calc!$E$368="","",IF(LEN(INDEX('Licences'!$B$4:$B$503,_calc!$E$368))=0,"",INDEX('Licences'!$B$4:$B$503,_calc!$E$368)))</f>
        <v/>
      </c>
      <c r="D366" s="44">
        <f>IF(_calc!$E$368="","",IF(ISNUMBER(INDEX('Licences'!$I$4:$I$503,_calc!$E$368)),TEXT(INDEX('Licences'!$I$4:$I$503,_calc!$E$368),"yyyy-mm-dd"),""))</f>
        <v/>
      </c>
      <c r="E366" s="44">
        <f>IF(_calc!$E$368="","",IF(LEN(INDEX('Licences'!$H$4:$H$503,_calc!$E$368))=0,"",INDEX('Licences'!$H$4:$H$503,_calc!$E$368)))</f>
        <v/>
      </c>
      <c r="F366" s="44">
        <f>IF(_calc!$E$368="","",TRIM(IF(LEN(IF(LEN(INDEX('Licences'!$D$4:$D$503,_calc!$E$368))=0,"",INDEX('Licences'!$D$4:$D$503,_calc!$E$368)))=0,"","Ref: "&amp;IF(LEN(INDEX('Licences'!$D$4:$D$503,_calc!$E$368))=0,"",INDEX('Licences'!$D$4:$D$503,_calc!$E$368))&amp;". ")&amp;IF(LEN(IF(LEN(INDEX('Licences'!$C$4:$C$503,_calc!$E$368))=0,"",INDEX('Licences'!$C$4:$C$503,_calc!$E$368)))=0,"","Issuer: "&amp;IF(LEN(INDEX('Licences'!$C$4:$C$503,_calc!$E$368))=0,"",INDEX('Licences'!$C$4:$C$503,_calc!$E$368))&amp;". ")&amp;IF(LEN(IF(LEN(INDEX('Licences'!$E$4:$E$503,_calc!$E$368))=0,"",INDEX('Licences'!$E$4:$E$503,_calc!$E$368)))=0,"","Site: "&amp;IF(LEN(INDEX('Licences'!$E$4:$E$503,_calc!$E$368))=0,"",INDEX('Licences'!$E$4:$E$503,_calc!$E$368))&amp;". ")&amp;IF(LEN(IF(LEN(INDEX('Licences'!$F$4:$F$503,_calc!$E$368))=0,"",INDEX('Licences'!$F$4:$F$503,_calc!$E$368)))=0,"","Owner: "&amp;IF(LEN(INDEX('Licences'!$F$4:$F$503,_calc!$E$368))=0,"",INDEX('Licences'!$F$4:$F$503,_calc!$E$368))&amp;". ")&amp;IF(LEN(IF(LEN(INDEX('Licences'!$R$4:$R$503,_calc!$E$368))=0,"",INDEX('Licences'!$R$4:$R$503,_calc!$E$368)))=0,"",IF(LEN(INDEX('Licences'!$R$4:$R$503,_calc!$E$368))=0,"",INDEX('Licences'!$R$4:$R$503,_calc!$E$368)))))</f>
        <v/>
      </c>
      <c r="G366" s="44">
        <f>IF(_calc!$E$368="","",IF(LEN(INDEX('Licences'!$Q$4:$Q$503,_calc!$E$368))=0,"",INDEX('Licences'!$Q$4:$Q$503,_calc!$E$368)))</f>
        <v/>
      </c>
      <c r="H366" s="44">
        <f>IF(_calc!$E$368="","",IF(LEN(INDEX('Licences'!$O$4:$O$503,_calc!$E$368))=0,"",INDEX('Licences'!$O$4:$O$503,_calc!$E$368)))</f>
        <v/>
      </c>
      <c r="I366" s="44">
        <f>IF(_calc!$E$368="","",IF(LEN(INDEX('Licences'!$P$4:$P$503,_calc!$E$368))=0,"",INDEX('Licences'!$P$4:$P$503,_calc!$E$368)))</f>
        <v/>
      </c>
      <c r="K366" s="44">
        <f>IF(_calc!$E$368="","",IF(LEN(INDEX('Licences'!$G$4:$G$503,_calc!$E$368))=0,"",INDEX('Licences'!$G$4:$G$503,_calc!$E$368)))</f>
        <v/>
      </c>
    </row>
    <row r="367">
      <c r="A367" s="44">
        <f>IF(_calc!$E$369="","",IF(LEN(INDEX('Licences'!$A$4:$A$503,_calc!$E$369))=0,"",INDEX('Licences'!$A$4:$A$503,_calc!$E$369)))</f>
        <v/>
      </c>
      <c r="B367" s="44">
        <f>IF(_calc!$E$369="","",IF(ISNUMBER(INDEX('Licences'!$J$4:$J$503,_calc!$E$369)),TEXT(INDEX('Licences'!$J$4:$J$503,_calc!$E$369),"yyyy-mm-dd"),""))</f>
        <v/>
      </c>
      <c r="C367" s="44">
        <f>IF(_calc!$E$369="","",IF(LEN(INDEX('Licences'!$B$4:$B$503,_calc!$E$369))=0,"",INDEX('Licences'!$B$4:$B$503,_calc!$E$369)))</f>
        <v/>
      </c>
      <c r="D367" s="44">
        <f>IF(_calc!$E$369="","",IF(ISNUMBER(INDEX('Licences'!$I$4:$I$503,_calc!$E$369)),TEXT(INDEX('Licences'!$I$4:$I$503,_calc!$E$369),"yyyy-mm-dd"),""))</f>
        <v/>
      </c>
      <c r="E367" s="44">
        <f>IF(_calc!$E$369="","",IF(LEN(INDEX('Licences'!$H$4:$H$503,_calc!$E$369))=0,"",INDEX('Licences'!$H$4:$H$503,_calc!$E$369)))</f>
        <v/>
      </c>
      <c r="F367" s="44">
        <f>IF(_calc!$E$369="","",TRIM(IF(LEN(IF(LEN(INDEX('Licences'!$D$4:$D$503,_calc!$E$369))=0,"",INDEX('Licences'!$D$4:$D$503,_calc!$E$369)))=0,"","Ref: "&amp;IF(LEN(INDEX('Licences'!$D$4:$D$503,_calc!$E$369))=0,"",INDEX('Licences'!$D$4:$D$503,_calc!$E$369))&amp;". ")&amp;IF(LEN(IF(LEN(INDEX('Licences'!$C$4:$C$503,_calc!$E$369))=0,"",INDEX('Licences'!$C$4:$C$503,_calc!$E$369)))=0,"","Issuer: "&amp;IF(LEN(INDEX('Licences'!$C$4:$C$503,_calc!$E$369))=0,"",INDEX('Licences'!$C$4:$C$503,_calc!$E$369))&amp;". ")&amp;IF(LEN(IF(LEN(INDEX('Licences'!$E$4:$E$503,_calc!$E$369))=0,"",INDEX('Licences'!$E$4:$E$503,_calc!$E$369)))=0,"","Site: "&amp;IF(LEN(INDEX('Licences'!$E$4:$E$503,_calc!$E$369))=0,"",INDEX('Licences'!$E$4:$E$503,_calc!$E$369))&amp;". ")&amp;IF(LEN(IF(LEN(INDEX('Licences'!$F$4:$F$503,_calc!$E$369))=0,"",INDEX('Licences'!$F$4:$F$503,_calc!$E$369)))=0,"","Owner: "&amp;IF(LEN(INDEX('Licences'!$F$4:$F$503,_calc!$E$369))=0,"",INDEX('Licences'!$F$4:$F$503,_calc!$E$369))&amp;". ")&amp;IF(LEN(IF(LEN(INDEX('Licences'!$R$4:$R$503,_calc!$E$369))=0,"",INDEX('Licences'!$R$4:$R$503,_calc!$E$369)))=0,"",IF(LEN(INDEX('Licences'!$R$4:$R$503,_calc!$E$369))=0,"",INDEX('Licences'!$R$4:$R$503,_calc!$E$369)))))</f>
        <v/>
      </c>
      <c r="G367" s="44">
        <f>IF(_calc!$E$369="","",IF(LEN(INDEX('Licences'!$Q$4:$Q$503,_calc!$E$369))=0,"",INDEX('Licences'!$Q$4:$Q$503,_calc!$E$369)))</f>
        <v/>
      </c>
      <c r="H367" s="44">
        <f>IF(_calc!$E$369="","",IF(LEN(INDEX('Licences'!$O$4:$O$503,_calc!$E$369))=0,"",INDEX('Licences'!$O$4:$O$503,_calc!$E$369)))</f>
        <v/>
      </c>
      <c r="I367" s="44">
        <f>IF(_calc!$E$369="","",IF(LEN(INDEX('Licences'!$P$4:$P$503,_calc!$E$369))=0,"",INDEX('Licences'!$P$4:$P$503,_calc!$E$369)))</f>
        <v/>
      </c>
      <c r="K367" s="44">
        <f>IF(_calc!$E$369="","",IF(LEN(INDEX('Licences'!$G$4:$G$503,_calc!$E$369))=0,"",INDEX('Licences'!$G$4:$G$503,_calc!$E$369)))</f>
        <v/>
      </c>
    </row>
    <row r="368">
      <c r="A368" s="44">
        <f>IF(_calc!$E$370="","",IF(LEN(INDEX('Licences'!$A$4:$A$503,_calc!$E$370))=0,"",INDEX('Licences'!$A$4:$A$503,_calc!$E$370)))</f>
        <v/>
      </c>
      <c r="B368" s="44">
        <f>IF(_calc!$E$370="","",IF(ISNUMBER(INDEX('Licences'!$J$4:$J$503,_calc!$E$370)),TEXT(INDEX('Licences'!$J$4:$J$503,_calc!$E$370),"yyyy-mm-dd"),""))</f>
        <v/>
      </c>
      <c r="C368" s="44">
        <f>IF(_calc!$E$370="","",IF(LEN(INDEX('Licences'!$B$4:$B$503,_calc!$E$370))=0,"",INDEX('Licences'!$B$4:$B$503,_calc!$E$370)))</f>
        <v/>
      </c>
      <c r="D368" s="44">
        <f>IF(_calc!$E$370="","",IF(ISNUMBER(INDEX('Licences'!$I$4:$I$503,_calc!$E$370)),TEXT(INDEX('Licences'!$I$4:$I$503,_calc!$E$370),"yyyy-mm-dd"),""))</f>
        <v/>
      </c>
      <c r="E368" s="44">
        <f>IF(_calc!$E$370="","",IF(LEN(INDEX('Licences'!$H$4:$H$503,_calc!$E$370))=0,"",INDEX('Licences'!$H$4:$H$503,_calc!$E$370)))</f>
        <v/>
      </c>
      <c r="F368" s="44">
        <f>IF(_calc!$E$370="","",TRIM(IF(LEN(IF(LEN(INDEX('Licences'!$D$4:$D$503,_calc!$E$370))=0,"",INDEX('Licences'!$D$4:$D$503,_calc!$E$370)))=0,"","Ref: "&amp;IF(LEN(INDEX('Licences'!$D$4:$D$503,_calc!$E$370))=0,"",INDEX('Licences'!$D$4:$D$503,_calc!$E$370))&amp;". ")&amp;IF(LEN(IF(LEN(INDEX('Licences'!$C$4:$C$503,_calc!$E$370))=0,"",INDEX('Licences'!$C$4:$C$503,_calc!$E$370)))=0,"","Issuer: "&amp;IF(LEN(INDEX('Licences'!$C$4:$C$503,_calc!$E$370))=0,"",INDEX('Licences'!$C$4:$C$503,_calc!$E$370))&amp;". ")&amp;IF(LEN(IF(LEN(INDEX('Licences'!$E$4:$E$503,_calc!$E$370))=0,"",INDEX('Licences'!$E$4:$E$503,_calc!$E$370)))=0,"","Site: "&amp;IF(LEN(INDEX('Licences'!$E$4:$E$503,_calc!$E$370))=0,"",INDEX('Licences'!$E$4:$E$503,_calc!$E$370))&amp;". ")&amp;IF(LEN(IF(LEN(INDEX('Licences'!$F$4:$F$503,_calc!$E$370))=0,"",INDEX('Licences'!$F$4:$F$503,_calc!$E$370)))=0,"","Owner: "&amp;IF(LEN(INDEX('Licences'!$F$4:$F$503,_calc!$E$370))=0,"",INDEX('Licences'!$F$4:$F$503,_calc!$E$370))&amp;". ")&amp;IF(LEN(IF(LEN(INDEX('Licences'!$R$4:$R$503,_calc!$E$370))=0,"",INDEX('Licences'!$R$4:$R$503,_calc!$E$370)))=0,"",IF(LEN(INDEX('Licences'!$R$4:$R$503,_calc!$E$370))=0,"",INDEX('Licences'!$R$4:$R$503,_calc!$E$370)))))</f>
        <v/>
      </c>
      <c r="G368" s="44">
        <f>IF(_calc!$E$370="","",IF(LEN(INDEX('Licences'!$Q$4:$Q$503,_calc!$E$370))=0,"",INDEX('Licences'!$Q$4:$Q$503,_calc!$E$370)))</f>
        <v/>
      </c>
      <c r="H368" s="44">
        <f>IF(_calc!$E$370="","",IF(LEN(INDEX('Licences'!$O$4:$O$503,_calc!$E$370))=0,"",INDEX('Licences'!$O$4:$O$503,_calc!$E$370)))</f>
        <v/>
      </c>
      <c r="I368" s="44">
        <f>IF(_calc!$E$370="","",IF(LEN(INDEX('Licences'!$P$4:$P$503,_calc!$E$370))=0,"",INDEX('Licences'!$P$4:$P$503,_calc!$E$370)))</f>
        <v/>
      </c>
      <c r="K368" s="44">
        <f>IF(_calc!$E$370="","",IF(LEN(INDEX('Licences'!$G$4:$G$503,_calc!$E$370))=0,"",INDEX('Licences'!$G$4:$G$503,_calc!$E$370)))</f>
        <v/>
      </c>
    </row>
    <row r="369">
      <c r="A369" s="44">
        <f>IF(_calc!$E$371="","",IF(LEN(INDEX('Licences'!$A$4:$A$503,_calc!$E$371))=0,"",INDEX('Licences'!$A$4:$A$503,_calc!$E$371)))</f>
        <v/>
      </c>
      <c r="B369" s="44">
        <f>IF(_calc!$E$371="","",IF(ISNUMBER(INDEX('Licences'!$J$4:$J$503,_calc!$E$371)),TEXT(INDEX('Licences'!$J$4:$J$503,_calc!$E$371),"yyyy-mm-dd"),""))</f>
        <v/>
      </c>
      <c r="C369" s="44">
        <f>IF(_calc!$E$371="","",IF(LEN(INDEX('Licences'!$B$4:$B$503,_calc!$E$371))=0,"",INDEX('Licences'!$B$4:$B$503,_calc!$E$371)))</f>
        <v/>
      </c>
      <c r="D369" s="44">
        <f>IF(_calc!$E$371="","",IF(ISNUMBER(INDEX('Licences'!$I$4:$I$503,_calc!$E$371)),TEXT(INDEX('Licences'!$I$4:$I$503,_calc!$E$371),"yyyy-mm-dd"),""))</f>
        <v/>
      </c>
      <c r="E369" s="44">
        <f>IF(_calc!$E$371="","",IF(LEN(INDEX('Licences'!$H$4:$H$503,_calc!$E$371))=0,"",INDEX('Licences'!$H$4:$H$503,_calc!$E$371)))</f>
        <v/>
      </c>
      <c r="F369" s="44">
        <f>IF(_calc!$E$371="","",TRIM(IF(LEN(IF(LEN(INDEX('Licences'!$D$4:$D$503,_calc!$E$371))=0,"",INDEX('Licences'!$D$4:$D$503,_calc!$E$371)))=0,"","Ref: "&amp;IF(LEN(INDEX('Licences'!$D$4:$D$503,_calc!$E$371))=0,"",INDEX('Licences'!$D$4:$D$503,_calc!$E$371))&amp;". ")&amp;IF(LEN(IF(LEN(INDEX('Licences'!$C$4:$C$503,_calc!$E$371))=0,"",INDEX('Licences'!$C$4:$C$503,_calc!$E$371)))=0,"","Issuer: "&amp;IF(LEN(INDEX('Licences'!$C$4:$C$503,_calc!$E$371))=0,"",INDEX('Licences'!$C$4:$C$503,_calc!$E$371))&amp;". ")&amp;IF(LEN(IF(LEN(INDEX('Licences'!$E$4:$E$503,_calc!$E$371))=0,"",INDEX('Licences'!$E$4:$E$503,_calc!$E$371)))=0,"","Site: "&amp;IF(LEN(INDEX('Licences'!$E$4:$E$503,_calc!$E$371))=0,"",INDEX('Licences'!$E$4:$E$503,_calc!$E$371))&amp;". ")&amp;IF(LEN(IF(LEN(INDEX('Licences'!$F$4:$F$503,_calc!$E$371))=0,"",INDEX('Licences'!$F$4:$F$503,_calc!$E$371)))=0,"","Owner: "&amp;IF(LEN(INDEX('Licences'!$F$4:$F$503,_calc!$E$371))=0,"",INDEX('Licences'!$F$4:$F$503,_calc!$E$371))&amp;". ")&amp;IF(LEN(IF(LEN(INDEX('Licences'!$R$4:$R$503,_calc!$E$371))=0,"",INDEX('Licences'!$R$4:$R$503,_calc!$E$371)))=0,"",IF(LEN(INDEX('Licences'!$R$4:$R$503,_calc!$E$371))=0,"",INDEX('Licences'!$R$4:$R$503,_calc!$E$371)))))</f>
        <v/>
      </c>
      <c r="G369" s="44">
        <f>IF(_calc!$E$371="","",IF(LEN(INDEX('Licences'!$Q$4:$Q$503,_calc!$E$371))=0,"",INDEX('Licences'!$Q$4:$Q$503,_calc!$E$371)))</f>
        <v/>
      </c>
      <c r="H369" s="44">
        <f>IF(_calc!$E$371="","",IF(LEN(INDEX('Licences'!$O$4:$O$503,_calc!$E$371))=0,"",INDEX('Licences'!$O$4:$O$503,_calc!$E$371)))</f>
        <v/>
      </c>
      <c r="I369" s="44">
        <f>IF(_calc!$E$371="","",IF(LEN(INDEX('Licences'!$P$4:$P$503,_calc!$E$371))=0,"",INDEX('Licences'!$P$4:$P$503,_calc!$E$371)))</f>
        <v/>
      </c>
      <c r="K369" s="44">
        <f>IF(_calc!$E$371="","",IF(LEN(INDEX('Licences'!$G$4:$G$503,_calc!$E$371))=0,"",INDEX('Licences'!$G$4:$G$503,_calc!$E$371)))</f>
        <v/>
      </c>
    </row>
    <row r="370">
      <c r="A370" s="44">
        <f>IF(_calc!$E$372="","",IF(LEN(INDEX('Licences'!$A$4:$A$503,_calc!$E$372))=0,"",INDEX('Licences'!$A$4:$A$503,_calc!$E$372)))</f>
        <v/>
      </c>
      <c r="B370" s="44">
        <f>IF(_calc!$E$372="","",IF(ISNUMBER(INDEX('Licences'!$J$4:$J$503,_calc!$E$372)),TEXT(INDEX('Licences'!$J$4:$J$503,_calc!$E$372),"yyyy-mm-dd"),""))</f>
        <v/>
      </c>
      <c r="C370" s="44">
        <f>IF(_calc!$E$372="","",IF(LEN(INDEX('Licences'!$B$4:$B$503,_calc!$E$372))=0,"",INDEX('Licences'!$B$4:$B$503,_calc!$E$372)))</f>
        <v/>
      </c>
      <c r="D370" s="44">
        <f>IF(_calc!$E$372="","",IF(ISNUMBER(INDEX('Licences'!$I$4:$I$503,_calc!$E$372)),TEXT(INDEX('Licences'!$I$4:$I$503,_calc!$E$372),"yyyy-mm-dd"),""))</f>
        <v/>
      </c>
      <c r="E370" s="44">
        <f>IF(_calc!$E$372="","",IF(LEN(INDEX('Licences'!$H$4:$H$503,_calc!$E$372))=0,"",INDEX('Licences'!$H$4:$H$503,_calc!$E$372)))</f>
        <v/>
      </c>
      <c r="F370" s="44">
        <f>IF(_calc!$E$372="","",TRIM(IF(LEN(IF(LEN(INDEX('Licences'!$D$4:$D$503,_calc!$E$372))=0,"",INDEX('Licences'!$D$4:$D$503,_calc!$E$372)))=0,"","Ref: "&amp;IF(LEN(INDEX('Licences'!$D$4:$D$503,_calc!$E$372))=0,"",INDEX('Licences'!$D$4:$D$503,_calc!$E$372))&amp;". ")&amp;IF(LEN(IF(LEN(INDEX('Licences'!$C$4:$C$503,_calc!$E$372))=0,"",INDEX('Licences'!$C$4:$C$503,_calc!$E$372)))=0,"","Issuer: "&amp;IF(LEN(INDEX('Licences'!$C$4:$C$503,_calc!$E$372))=0,"",INDEX('Licences'!$C$4:$C$503,_calc!$E$372))&amp;". ")&amp;IF(LEN(IF(LEN(INDEX('Licences'!$E$4:$E$503,_calc!$E$372))=0,"",INDEX('Licences'!$E$4:$E$503,_calc!$E$372)))=0,"","Site: "&amp;IF(LEN(INDEX('Licences'!$E$4:$E$503,_calc!$E$372))=0,"",INDEX('Licences'!$E$4:$E$503,_calc!$E$372))&amp;". ")&amp;IF(LEN(IF(LEN(INDEX('Licences'!$F$4:$F$503,_calc!$E$372))=0,"",INDEX('Licences'!$F$4:$F$503,_calc!$E$372)))=0,"","Owner: "&amp;IF(LEN(INDEX('Licences'!$F$4:$F$503,_calc!$E$372))=0,"",INDEX('Licences'!$F$4:$F$503,_calc!$E$372))&amp;". ")&amp;IF(LEN(IF(LEN(INDEX('Licences'!$R$4:$R$503,_calc!$E$372))=0,"",INDEX('Licences'!$R$4:$R$503,_calc!$E$372)))=0,"",IF(LEN(INDEX('Licences'!$R$4:$R$503,_calc!$E$372))=0,"",INDEX('Licences'!$R$4:$R$503,_calc!$E$372)))))</f>
        <v/>
      </c>
      <c r="G370" s="44">
        <f>IF(_calc!$E$372="","",IF(LEN(INDEX('Licences'!$Q$4:$Q$503,_calc!$E$372))=0,"",INDEX('Licences'!$Q$4:$Q$503,_calc!$E$372)))</f>
        <v/>
      </c>
      <c r="H370" s="44">
        <f>IF(_calc!$E$372="","",IF(LEN(INDEX('Licences'!$O$4:$O$503,_calc!$E$372))=0,"",INDEX('Licences'!$O$4:$O$503,_calc!$E$372)))</f>
        <v/>
      </c>
      <c r="I370" s="44">
        <f>IF(_calc!$E$372="","",IF(LEN(INDEX('Licences'!$P$4:$P$503,_calc!$E$372))=0,"",INDEX('Licences'!$P$4:$P$503,_calc!$E$372)))</f>
        <v/>
      </c>
      <c r="K370" s="44">
        <f>IF(_calc!$E$372="","",IF(LEN(INDEX('Licences'!$G$4:$G$503,_calc!$E$372))=0,"",INDEX('Licences'!$G$4:$G$503,_calc!$E$372)))</f>
        <v/>
      </c>
    </row>
    <row r="371">
      <c r="A371" s="44">
        <f>IF(_calc!$E$373="","",IF(LEN(INDEX('Licences'!$A$4:$A$503,_calc!$E$373))=0,"",INDEX('Licences'!$A$4:$A$503,_calc!$E$373)))</f>
        <v/>
      </c>
      <c r="B371" s="44">
        <f>IF(_calc!$E$373="","",IF(ISNUMBER(INDEX('Licences'!$J$4:$J$503,_calc!$E$373)),TEXT(INDEX('Licences'!$J$4:$J$503,_calc!$E$373),"yyyy-mm-dd"),""))</f>
        <v/>
      </c>
      <c r="C371" s="44">
        <f>IF(_calc!$E$373="","",IF(LEN(INDEX('Licences'!$B$4:$B$503,_calc!$E$373))=0,"",INDEX('Licences'!$B$4:$B$503,_calc!$E$373)))</f>
        <v/>
      </c>
      <c r="D371" s="44">
        <f>IF(_calc!$E$373="","",IF(ISNUMBER(INDEX('Licences'!$I$4:$I$503,_calc!$E$373)),TEXT(INDEX('Licences'!$I$4:$I$503,_calc!$E$373),"yyyy-mm-dd"),""))</f>
        <v/>
      </c>
      <c r="E371" s="44">
        <f>IF(_calc!$E$373="","",IF(LEN(INDEX('Licences'!$H$4:$H$503,_calc!$E$373))=0,"",INDEX('Licences'!$H$4:$H$503,_calc!$E$373)))</f>
        <v/>
      </c>
      <c r="F371" s="44">
        <f>IF(_calc!$E$373="","",TRIM(IF(LEN(IF(LEN(INDEX('Licences'!$D$4:$D$503,_calc!$E$373))=0,"",INDEX('Licences'!$D$4:$D$503,_calc!$E$373)))=0,"","Ref: "&amp;IF(LEN(INDEX('Licences'!$D$4:$D$503,_calc!$E$373))=0,"",INDEX('Licences'!$D$4:$D$503,_calc!$E$373))&amp;". ")&amp;IF(LEN(IF(LEN(INDEX('Licences'!$C$4:$C$503,_calc!$E$373))=0,"",INDEX('Licences'!$C$4:$C$503,_calc!$E$373)))=0,"","Issuer: "&amp;IF(LEN(INDEX('Licences'!$C$4:$C$503,_calc!$E$373))=0,"",INDEX('Licences'!$C$4:$C$503,_calc!$E$373))&amp;". ")&amp;IF(LEN(IF(LEN(INDEX('Licences'!$E$4:$E$503,_calc!$E$373))=0,"",INDEX('Licences'!$E$4:$E$503,_calc!$E$373)))=0,"","Site: "&amp;IF(LEN(INDEX('Licences'!$E$4:$E$503,_calc!$E$373))=0,"",INDEX('Licences'!$E$4:$E$503,_calc!$E$373))&amp;". ")&amp;IF(LEN(IF(LEN(INDEX('Licences'!$F$4:$F$503,_calc!$E$373))=0,"",INDEX('Licences'!$F$4:$F$503,_calc!$E$373)))=0,"","Owner: "&amp;IF(LEN(INDEX('Licences'!$F$4:$F$503,_calc!$E$373))=0,"",INDEX('Licences'!$F$4:$F$503,_calc!$E$373))&amp;". ")&amp;IF(LEN(IF(LEN(INDEX('Licences'!$R$4:$R$503,_calc!$E$373))=0,"",INDEX('Licences'!$R$4:$R$503,_calc!$E$373)))=0,"",IF(LEN(INDEX('Licences'!$R$4:$R$503,_calc!$E$373))=0,"",INDEX('Licences'!$R$4:$R$503,_calc!$E$373)))))</f>
        <v/>
      </c>
      <c r="G371" s="44">
        <f>IF(_calc!$E$373="","",IF(LEN(INDEX('Licences'!$Q$4:$Q$503,_calc!$E$373))=0,"",INDEX('Licences'!$Q$4:$Q$503,_calc!$E$373)))</f>
        <v/>
      </c>
      <c r="H371" s="44">
        <f>IF(_calc!$E$373="","",IF(LEN(INDEX('Licences'!$O$4:$O$503,_calc!$E$373))=0,"",INDEX('Licences'!$O$4:$O$503,_calc!$E$373)))</f>
        <v/>
      </c>
      <c r="I371" s="44">
        <f>IF(_calc!$E$373="","",IF(LEN(INDEX('Licences'!$P$4:$P$503,_calc!$E$373))=0,"",INDEX('Licences'!$P$4:$P$503,_calc!$E$373)))</f>
        <v/>
      </c>
      <c r="K371" s="44">
        <f>IF(_calc!$E$373="","",IF(LEN(INDEX('Licences'!$G$4:$G$503,_calc!$E$373))=0,"",INDEX('Licences'!$G$4:$G$503,_calc!$E$373)))</f>
        <v/>
      </c>
    </row>
    <row r="372">
      <c r="A372" s="44">
        <f>IF(_calc!$E$374="","",IF(LEN(INDEX('Licences'!$A$4:$A$503,_calc!$E$374))=0,"",INDEX('Licences'!$A$4:$A$503,_calc!$E$374)))</f>
        <v/>
      </c>
      <c r="B372" s="44">
        <f>IF(_calc!$E$374="","",IF(ISNUMBER(INDEX('Licences'!$J$4:$J$503,_calc!$E$374)),TEXT(INDEX('Licences'!$J$4:$J$503,_calc!$E$374),"yyyy-mm-dd"),""))</f>
        <v/>
      </c>
      <c r="C372" s="44">
        <f>IF(_calc!$E$374="","",IF(LEN(INDEX('Licences'!$B$4:$B$503,_calc!$E$374))=0,"",INDEX('Licences'!$B$4:$B$503,_calc!$E$374)))</f>
        <v/>
      </c>
      <c r="D372" s="44">
        <f>IF(_calc!$E$374="","",IF(ISNUMBER(INDEX('Licences'!$I$4:$I$503,_calc!$E$374)),TEXT(INDEX('Licences'!$I$4:$I$503,_calc!$E$374),"yyyy-mm-dd"),""))</f>
        <v/>
      </c>
      <c r="E372" s="44">
        <f>IF(_calc!$E$374="","",IF(LEN(INDEX('Licences'!$H$4:$H$503,_calc!$E$374))=0,"",INDEX('Licences'!$H$4:$H$503,_calc!$E$374)))</f>
        <v/>
      </c>
      <c r="F372" s="44">
        <f>IF(_calc!$E$374="","",TRIM(IF(LEN(IF(LEN(INDEX('Licences'!$D$4:$D$503,_calc!$E$374))=0,"",INDEX('Licences'!$D$4:$D$503,_calc!$E$374)))=0,"","Ref: "&amp;IF(LEN(INDEX('Licences'!$D$4:$D$503,_calc!$E$374))=0,"",INDEX('Licences'!$D$4:$D$503,_calc!$E$374))&amp;". ")&amp;IF(LEN(IF(LEN(INDEX('Licences'!$C$4:$C$503,_calc!$E$374))=0,"",INDEX('Licences'!$C$4:$C$503,_calc!$E$374)))=0,"","Issuer: "&amp;IF(LEN(INDEX('Licences'!$C$4:$C$503,_calc!$E$374))=0,"",INDEX('Licences'!$C$4:$C$503,_calc!$E$374))&amp;". ")&amp;IF(LEN(IF(LEN(INDEX('Licences'!$E$4:$E$503,_calc!$E$374))=0,"",INDEX('Licences'!$E$4:$E$503,_calc!$E$374)))=0,"","Site: "&amp;IF(LEN(INDEX('Licences'!$E$4:$E$503,_calc!$E$374))=0,"",INDEX('Licences'!$E$4:$E$503,_calc!$E$374))&amp;". ")&amp;IF(LEN(IF(LEN(INDEX('Licences'!$F$4:$F$503,_calc!$E$374))=0,"",INDEX('Licences'!$F$4:$F$503,_calc!$E$374)))=0,"","Owner: "&amp;IF(LEN(INDEX('Licences'!$F$4:$F$503,_calc!$E$374))=0,"",INDEX('Licences'!$F$4:$F$503,_calc!$E$374))&amp;". ")&amp;IF(LEN(IF(LEN(INDEX('Licences'!$R$4:$R$503,_calc!$E$374))=0,"",INDEX('Licences'!$R$4:$R$503,_calc!$E$374)))=0,"",IF(LEN(INDEX('Licences'!$R$4:$R$503,_calc!$E$374))=0,"",INDEX('Licences'!$R$4:$R$503,_calc!$E$374)))))</f>
        <v/>
      </c>
      <c r="G372" s="44">
        <f>IF(_calc!$E$374="","",IF(LEN(INDEX('Licences'!$Q$4:$Q$503,_calc!$E$374))=0,"",INDEX('Licences'!$Q$4:$Q$503,_calc!$E$374)))</f>
        <v/>
      </c>
      <c r="H372" s="44">
        <f>IF(_calc!$E$374="","",IF(LEN(INDEX('Licences'!$O$4:$O$503,_calc!$E$374))=0,"",INDEX('Licences'!$O$4:$O$503,_calc!$E$374)))</f>
        <v/>
      </c>
      <c r="I372" s="44">
        <f>IF(_calc!$E$374="","",IF(LEN(INDEX('Licences'!$P$4:$P$503,_calc!$E$374))=0,"",INDEX('Licences'!$P$4:$P$503,_calc!$E$374)))</f>
        <v/>
      </c>
      <c r="K372" s="44">
        <f>IF(_calc!$E$374="","",IF(LEN(INDEX('Licences'!$G$4:$G$503,_calc!$E$374))=0,"",INDEX('Licences'!$G$4:$G$503,_calc!$E$374)))</f>
        <v/>
      </c>
    </row>
    <row r="373">
      <c r="A373" s="44">
        <f>IF(_calc!$E$375="","",IF(LEN(INDEX('Licences'!$A$4:$A$503,_calc!$E$375))=0,"",INDEX('Licences'!$A$4:$A$503,_calc!$E$375)))</f>
        <v/>
      </c>
      <c r="B373" s="44">
        <f>IF(_calc!$E$375="","",IF(ISNUMBER(INDEX('Licences'!$J$4:$J$503,_calc!$E$375)),TEXT(INDEX('Licences'!$J$4:$J$503,_calc!$E$375),"yyyy-mm-dd"),""))</f>
        <v/>
      </c>
      <c r="C373" s="44">
        <f>IF(_calc!$E$375="","",IF(LEN(INDEX('Licences'!$B$4:$B$503,_calc!$E$375))=0,"",INDEX('Licences'!$B$4:$B$503,_calc!$E$375)))</f>
        <v/>
      </c>
      <c r="D373" s="44">
        <f>IF(_calc!$E$375="","",IF(ISNUMBER(INDEX('Licences'!$I$4:$I$503,_calc!$E$375)),TEXT(INDEX('Licences'!$I$4:$I$503,_calc!$E$375),"yyyy-mm-dd"),""))</f>
        <v/>
      </c>
      <c r="E373" s="44">
        <f>IF(_calc!$E$375="","",IF(LEN(INDEX('Licences'!$H$4:$H$503,_calc!$E$375))=0,"",INDEX('Licences'!$H$4:$H$503,_calc!$E$375)))</f>
        <v/>
      </c>
      <c r="F373" s="44">
        <f>IF(_calc!$E$375="","",TRIM(IF(LEN(IF(LEN(INDEX('Licences'!$D$4:$D$503,_calc!$E$375))=0,"",INDEX('Licences'!$D$4:$D$503,_calc!$E$375)))=0,"","Ref: "&amp;IF(LEN(INDEX('Licences'!$D$4:$D$503,_calc!$E$375))=0,"",INDEX('Licences'!$D$4:$D$503,_calc!$E$375))&amp;". ")&amp;IF(LEN(IF(LEN(INDEX('Licences'!$C$4:$C$503,_calc!$E$375))=0,"",INDEX('Licences'!$C$4:$C$503,_calc!$E$375)))=0,"","Issuer: "&amp;IF(LEN(INDEX('Licences'!$C$4:$C$503,_calc!$E$375))=0,"",INDEX('Licences'!$C$4:$C$503,_calc!$E$375))&amp;". ")&amp;IF(LEN(IF(LEN(INDEX('Licences'!$E$4:$E$503,_calc!$E$375))=0,"",INDEX('Licences'!$E$4:$E$503,_calc!$E$375)))=0,"","Site: "&amp;IF(LEN(INDEX('Licences'!$E$4:$E$503,_calc!$E$375))=0,"",INDEX('Licences'!$E$4:$E$503,_calc!$E$375))&amp;". ")&amp;IF(LEN(IF(LEN(INDEX('Licences'!$F$4:$F$503,_calc!$E$375))=0,"",INDEX('Licences'!$F$4:$F$503,_calc!$E$375)))=0,"","Owner: "&amp;IF(LEN(INDEX('Licences'!$F$4:$F$503,_calc!$E$375))=0,"",INDEX('Licences'!$F$4:$F$503,_calc!$E$375))&amp;". ")&amp;IF(LEN(IF(LEN(INDEX('Licences'!$R$4:$R$503,_calc!$E$375))=0,"",INDEX('Licences'!$R$4:$R$503,_calc!$E$375)))=0,"",IF(LEN(INDEX('Licences'!$R$4:$R$503,_calc!$E$375))=0,"",INDEX('Licences'!$R$4:$R$503,_calc!$E$375)))))</f>
        <v/>
      </c>
      <c r="G373" s="44">
        <f>IF(_calc!$E$375="","",IF(LEN(INDEX('Licences'!$Q$4:$Q$503,_calc!$E$375))=0,"",INDEX('Licences'!$Q$4:$Q$503,_calc!$E$375)))</f>
        <v/>
      </c>
      <c r="H373" s="44">
        <f>IF(_calc!$E$375="","",IF(LEN(INDEX('Licences'!$O$4:$O$503,_calc!$E$375))=0,"",INDEX('Licences'!$O$4:$O$503,_calc!$E$375)))</f>
        <v/>
      </c>
      <c r="I373" s="44">
        <f>IF(_calc!$E$375="","",IF(LEN(INDEX('Licences'!$P$4:$P$503,_calc!$E$375))=0,"",INDEX('Licences'!$P$4:$P$503,_calc!$E$375)))</f>
        <v/>
      </c>
      <c r="K373" s="44">
        <f>IF(_calc!$E$375="","",IF(LEN(INDEX('Licences'!$G$4:$G$503,_calc!$E$375))=0,"",INDEX('Licences'!$G$4:$G$503,_calc!$E$375)))</f>
        <v/>
      </c>
    </row>
    <row r="374">
      <c r="A374" s="44">
        <f>IF(_calc!$E$376="","",IF(LEN(INDEX('Licences'!$A$4:$A$503,_calc!$E$376))=0,"",INDEX('Licences'!$A$4:$A$503,_calc!$E$376)))</f>
        <v/>
      </c>
      <c r="B374" s="44">
        <f>IF(_calc!$E$376="","",IF(ISNUMBER(INDEX('Licences'!$J$4:$J$503,_calc!$E$376)),TEXT(INDEX('Licences'!$J$4:$J$503,_calc!$E$376),"yyyy-mm-dd"),""))</f>
        <v/>
      </c>
      <c r="C374" s="44">
        <f>IF(_calc!$E$376="","",IF(LEN(INDEX('Licences'!$B$4:$B$503,_calc!$E$376))=0,"",INDEX('Licences'!$B$4:$B$503,_calc!$E$376)))</f>
        <v/>
      </c>
      <c r="D374" s="44">
        <f>IF(_calc!$E$376="","",IF(ISNUMBER(INDEX('Licences'!$I$4:$I$503,_calc!$E$376)),TEXT(INDEX('Licences'!$I$4:$I$503,_calc!$E$376),"yyyy-mm-dd"),""))</f>
        <v/>
      </c>
      <c r="E374" s="44">
        <f>IF(_calc!$E$376="","",IF(LEN(INDEX('Licences'!$H$4:$H$503,_calc!$E$376))=0,"",INDEX('Licences'!$H$4:$H$503,_calc!$E$376)))</f>
        <v/>
      </c>
      <c r="F374" s="44">
        <f>IF(_calc!$E$376="","",TRIM(IF(LEN(IF(LEN(INDEX('Licences'!$D$4:$D$503,_calc!$E$376))=0,"",INDEX('Licences'!$D$4:$D$503,_calc!$E$376)))=0,"","Ref: "&amp;IF(LEN(INDEX('Licences'!$D$4:$D$503,_calc!$E$376))=0,"",INDEX('Licences'!$D$4:$D$503,_calc!$E$376))&amp;". ")&amp;IF(LEN(IF(LEN(INDEX('Licences'!$C$4:$C$503,_calc!$E$376))=0,"",INDEX('Licences'!$C$4:$C$503,_calc!$E$376)))=0,"","Issuer: "&amp;IF(LEN(INDEX('Licences'!$C$4:$C$503,_calc!$E$376))=0,"",INDEX('Licences'!$C$4:$C$503,_calc!$E$376))&amp;". ")&amp;IF(LEN(IF(LEN(INDEX('Licences'!$E$4:$E$503,_calc!$E$376))=0,"",INDEX('Licences'!$E$4:$E$503,_calc!$E$376)))=0,"","Site: "&amp;IF(LEN(INDEX('Licences'!$E$4:$E$503,_calc!$E$376))=0,"",INDEX('Licences'!$E$4:$E$503,_calc!$E$376))&amp;". ")&amp;IF(LEN(IF(LEN(INDEX('Licences'!$F$4:$F$503,_calc!$E$376))=0,"",INDEX('Licences'!$F$4:$F$503,_calc!$E$376)))=0,"","Owner: "&amp;IF(LEN(INDEX('Licences'!$F$4:$F$503,_calc!$E$376))=0,"",INDEX('Licences'!$F$4:$F$503,_calc!$E$376))&amp;". ")&amp;IF(LEN(IF(LEN(INDEX('Licences'!$R$4:$R$503,_calc!$E$376))=0,"",INDEX('Licences'!$R$4:$R$503,_calc!$E$376)))=0,"",IF(LEN(INDEX('Licences'!$R$4:$R$503,_calc!$E$376))=0,"",INDEX('Licences'!$R$4:$R$503,_calc!$E$376)))))</f>
        <v/>
      </c>
      <c r="G374" s="44">
        <f>IF(_calc!$E$376="","",IF(LEN(INDEX('Licences'!$Q$4:$Q$503,_calc!$E$376))=0,"",INDEX('Licences'!$Q$4:$Q$503,_calc!$E$376)))</f>
        <v/>
      </c>
      <c r="H374" s="44">
        <f>IF(_calc!$E$376="","",IF(LEN(INDEX('Licences'!$O$4:$O$503,_calc!$E$376))=0,"",INDEX('Licences'!$O$4:$O$503,_calc!$E$376)))</f>
        <v/>
      </c>
      <c r="I374" s="44">
        <f>IF(_calc!$E$376="","",IF(LEN(INDEX('Licences'!$P$4:$P$503,_calc!$E$376))=0,"",INDEX('Licences'!$P$4:$P$503,_calc!$E$376)))</f>
        <v/>
      </c>
      <c r="K374" s="44">
        <f>IF(_calc!$E$376="","",IF(LEN(INDEX('Licences'!$G$4:$G$503,_calc!$E$376))=0,"",INDEX('Licences'!$G$4:$G$503,_calc!$E$376)))</f>
        <v/>
      </c>
    </row>
    <row r="375">
      <c r="A375" s="44">
        <f>IF(_calc!$E$377="","",IF(LEN(INDEX('Licences'!$A$4:$A$503,_calc!$E$377))=0,"",INDEX('Licences'!$A$4:$A$503,_calc!$E$377)))</f>
        <v/>
      </c>
      <c r="B375" s="44">
        <f>IF(_calc!$E$377="","",IF(ISNUMBER(INDEX('Licences'!$J$4:$J$503,_calc!$E$377)),TEXT(INDEX('Licences'!$J$4:$J$503,_calc!$E$377),"yyyy-mm-dd"),""))</f>
        <v/>
      </c>
      <c r="C375" s="44">
        <f>IF(_calc!$E$377="","",IF(LEN(INDEX('Licences'!$B$4:$B$503,_calc!$E$377))=0,"",INDEX('Licences'!$B$4:$B$503,_calc!$E$377)))</f>
        <v/>
      </c>
      <c r="D375" s="44">
        <f>IF(_calc!$E$377="","",IF(ISNUMBER(INDEX('Licences'!$I$4:$I$503,_calc!$E$377)),TEXT(INDEX('Licences'!$I$4:$I$503,_calc!$E$377),"yyyy-mm-dd"),""))</f>
        <v/>
      </c>
      <c r="E375" s="44">
        <f>IF(_calc!$E$377="","",IF(LEN(INDEX('Licences'!$H$4:$H$503,_calc!$E$377))=0,"",INDEX('Licences'!$H$4:$H$503,_calc!$E$377)))</f>
        <v/>
      </c>
      <c r="F375" s="44">
        <f>IF(_calc!$E$377="","",TRIM(IF(LEN(IF(LEN(INDEX('Licences'!$D$4:$D$503,_calc!$E$377))=0,"",INDEX('Licences'!$D$4:$D$503,_calc!$E$377)))=0,"","Ref: "&amp;IF(LEN(INDEX('Licences'!$D$4:$D$503,_calc!$E$377))=0,"",INDEX('Licences'!$D$4:$D$503,_calc!$E$377))&amp;". ")&amp;IF(LEN(IF(LEN(INDEX('Licences'!$C$4:$C$503,_calc!$E$377))=0,"",INDEX('Licences'!$C$4:$C$503,_calc!$E$377)))=0,"","Issuer: "&amp;IF(LEN(INDEX('Licences'!$C$4:$C$503,_calc!$E$377))=0,"",INDEX('Licences'!$C$4:$C$503,_calc!$E$377))&amp;". ")&amp;IF(LEN(IF(LEN(INDEX('Licences'!$E$4:$E$503,_calc!$E$377))=0,"",INDEX('Licences'!$E$4:$E$503,_calc!$E$377)))=0,"","Site: "&amp;IF(LEN(INDEX('Licences'!$E$4:$E$503,_calc!$E$377))=0,"",INDEX('Licences'!$E$4:$E$503,_calc!$E$377))&amp;". ")&amp;IF(LEN(IF(LEN(INDEX('Licences'!$F$4:$F$503,_calc!$E$377))=0,"",INDEX('Licences'!$F$4:$F$503,_calc!$E$377)))=0,"","Owner: "&amp;IF(LEN(INDEX('Licences'!$F$4:$F$503,_calc!$E$377))=0,"",INDEX('Licences'!$F$4:$F$503,_calc!$E$377))&amp;". ")&amp;IF(LEN(IF(LEN(INDEX('Licences'!$R$4:$R$503,_calc!$E$377))=0,"",INDEX('Licences'!$R$4:$R$503,_calc!$E$377)))=0,"",IF(LEN(INDEX('Licences'!$R$4:$R$503,_calc!$E$377))=0,"",INDEX('Licences'!$R$4:$R$503,_calc!$E$377)))))</f>
        <v/>
      </c>
      <c r="G375" s="44">
        <f>IF(_calc!$E$377="","",IF(LEN(INDEX('Licences'!$Q$4:$Q$503,_calc!$E$377))=0,"",INDEX('Licences'!$Q$4:$Q$503,_calc!$E$377)))</f>
        <v/>
      </c>
      <c r="H375" s="44">
        <f>IF(_calc!$E$377="","",IF(LEN(INDEX('Licences'!$O$4:$O$503,_calc!$E$377))=0,"",INDEX('Licences'!$O$4:$O$503,_calc!$E$377)))</f>
        <v/>
      </c>
      <c r="I375" s="44">
        <f>IF(_calc!$E$377="","",IF(LEN(INDEX('Licences'!$P$4:$P$503,_calc!$E$377))=0,"",INDEX('Licences'!$P$4:$P$503,_calc!$E$377)))</f>
        <v/>
      </c>
      <c r="K375" s="44">
        <f>IF(_calc!$E$377="","",IF(LEN(INDEX('Licences'!$G$4:$G$503,_calc!$E$377))=0,"",INDEX('Licences'!$G$4:$G$503,_calc!$E$377)))</f>
        <v/>
      </c>
    </row>
    <row r="376">
      <c r="A376" s="44">
        <f>IF(_calc!$E$378="","",IF(LEN(INDEX('Licences'!$A$4:$A$503,_calc!$E$378))=0,"",INDEX('Licences'!$A$4:$A$503,_calc!$E$378)))</f>
        <v/>
      </c>
      <c r="B376" s="44">
        <f>IF(_calc!$E$378="","",IF(ISNUMBER(INDEX('Licences'!$J$4:$J$503,_calc!$E$378)),TEXT(INDEX('Licences'!$J$4:$J$503,_calc!$E$378),"yyyy-mm-dd"),""))</f>
        <v/>
      </c>
      <c r="C376" s="44">
        <f>IF(_calc!$E$378="","",IF(LEN(INDEX('Licences'!$B$4:$B$503,_calc!$E$378))=0,"",INDEX('Licences'!$B$4:$B$503,_calc!$E$378)))</f>
        <v/>
      </c>
      <c r="D376" s="44">
        <f>IF(_calc!$E$378="","",IF(ISNUMBER(INDEX('Licences'!$I$4:$I$503,_calc!$E$378)),TEXT(INDEX('Licences'!$I$4:$I$503,_calc!$E$378),"yyyy-mm-dd"),""))</f>
        <v/>
      </c>
      <c r="E376" s="44">
        <f>IF(_calc!$E$378="","",IF(LEN(INDEX('Licences'!$H$4:$H$503,_calc!$E$378))=0,"",INDEX('Licences'!$H$4:$H$503,_calc!$E$378)))</f>
        <v/>
      </c>
      <c r="F376" s="44">
        <f>IF(_calc!$E$378="","",TRIM(IF(LEN(IF(LEN(INDEX('Licences'!$D$4:$D$503,_calc!$E$378))=0,"",INDEX('Licences'!$D$4:$D$503,_calc!$E$378)))=0,"","Ref: "&amp;IF(LEN(INDEX('Licences'!$D$4:$D$503,_calc!$E$378))=0,"",INDEX('Licences'!$D$4:$D$503,_calc!$E$378))&amp;". ")&amp;IF(LEN(IF(LEN(INDEX('Licences'!$C$4:$C$503,_calc!$E$378))=0,"",INDEX('Licences'!$C$4:$C$503,_calc!$E$378)))=0,"","Issuer: "&amp;IF(LEN(INDEX('Licences'!$C$4:$C$503,_calc!$E$378))=0,"",INDEX('Licences'!$C$4:$C$503,_calc!$E$378))&amp;". ")&amp;IF(LEN(IF(LEN(INDEX('Licences'!$E$4:$E$503,_calc!$E$378))=0,"",INDEX('Licences'!$E$4:$E$503,_calc!$E$378)))=0,"","Site: "&amp;IF(LEN(INDEX('Licences'!$E$4:$E$503,_calc!$E$378))=0,"",INDEX('Licences'!$E$4:$E$503,_calc!$E$378))&amp;". ")&amp;IF(LEN(IF(LEN(INDEX('Licences'!$F$4:$F$503,_calc!$E$378))=0,"",INDEX('Licences'!$F$4:$F$503,_calc!$E$378)))=0,"","Owner: "&amp;IF(LEN(INDEX('Licences'!$F$4:$F$503,_calc!$E$378))=0,"",INDEX('Licences'!$F$4:$F$503,_calc!$E$378))&amp;". ")&amp;IF(LEN(IF(LEN(INDEX('Licences'!$R$4:$R$503,_calc!$E$378))=0,"",INDEX('Licences'!$R$4:$R$503,_calc!$E$378)))=0,"",IF(LEN(INDEX('Licences'!$R$4:$R$503,_calc!$E$378))=0,"",INDEX('Licences'!$R$4:$R$503,_calc!$E$378)))))</f>
        <v/>
      </c>
      <c r="G376" s="44">
        <f>IF(_calc!$E$378="","",IF(LEN(INDEX('Licences'!$Q$4:$Q$503,_calc!$E$378))=0,"",INDEX('Licences'!$Q$4:$Q$503,_calc!$E$378)))</f>
        <v/>
      </c>
      <c r="H376" s="44">
        <f>IF(_calc!$E$378="","",IF(LEN(INDEX('Licences'!$O$4:$O$503,_calc!$E$378))=0,"",INDEX('Licences'!$O$4:$O$503,_calc!$E$378)))</f>
        <v/>
      </c>
      <c r="I376" s="44">
        <f>IF(_calc!$E$378="","",IF(LEN(INDEX('Licences'!$P$4:$P$503,_calc!$E$378))=0,"",INDEX('Licences'!$P$4:$P$503,_calc!$E$378)))</f>
        <v/>
      </c>
      <c r="K376" s="44">
        <f>IF(_calc!$E$378="","",IF(LEN(INDEX('Licences'!$G$4:$G$503,_calc!$E$378))=0,"",INDEX('Licences'!$G$4:$G$503,_calc!$E$378)))</f>
        <v/>
      </c>
    </row>
    <row r="377">
      <c r="A377" s="44">
        <f>IF(_calc!$E$379="","",IF(LEN(INDEX('Licences'!$A$4:$A$503,_calc!$E$379))=0,"",INDEX('Licences'!$A$4:$A$503,_calc!$E$379)))</f>
        <v/>
      </c>
      <c r="B377" s="44">
        <f>IF(_calc!$E$379="","",IF(ISNUMBER(INDEX('Licences'!$J$4:$J$503,_calc!$E$379)),TEXT(INDEX('Licences'!$J$4:$J$503,_calc!$E$379),"yyyy-mm-dd"),""))</f>
        <v/>
      </c>
      <c r="C377" s="44">
        <f>IF(_calc!$E$379="","",IF(LEN(INDEX('Licences'!$B$4:$B$503,_calc!$E$379))=0,"",INDEX('Licences'!$B$4:$B$503,_calc!$E$379)))</f>
        <v/>
      </c>
      <c r="D377" s="44">
        <f>IF(_calc!$E$379="","",IF(ISNUMBER(INDEX('Licences'!$I$4:$I$503,_calc!$E$379)),TEXT(INDEX('Licences'!$I$4:$I$503,_calc!$E$379),"yyyy-mm-dd"),""))</f>
        <v/>
      </c>
      <c r="E377" s="44">
        <f>IF(_calc!$E$379="","",IF(LEN(INDEX('Licences'!$H$4:$H$503,_calc!$E$379))=0,"",INDEX('Licences'!$H$4:$H$503,_calc!$E$379)))</f>
        <v/>
      </c>
      <c r="F377" s="44">
        <f>IF(_calc!$E$379="","",TRIM(IF(LEN(IF(LEN(INDEX('Licences'!$D$4:$D$503,_calc!$E$379))=0,"",INDEX('Licences'!$D$4:$D$503,_calc!$E$379)))=0,"","Ref: "&amp;IF(LEN(INDEX('Licences'!$D$4:$D$503,_calc!$E$379))=0,"",INDEX('Licences'!$D$4:$D$503,_calc!$E$379))&amp;". ")&amp;IF(LEN(IF(LEN(INDEX('Licences'!$C$4:$C$503,_calc!$E$379))=0,"",INDEX('Licences'!$C$4:$C$503,_calc!$E$379)))=0,"","Issuer: "&amp;IF(LEN(INDEX('Licences'!$C$4:$C$503,_calc!$E$379))=0,"",INDEX('Licences'!$C$4:$C$503,_calc!$E$379))&amp;". ")&amp;IF(LEN(IF(LEN(INDEX('Licences'!$E$4:$E$503,_calc!$E$379))=0,"",INDEX('Licences'!$E$4:$E$503,_calc!$E$379)))=0,"","Site: "&amp;IF(LEN(INDEX('Licences'!$E$4:$E$503,_calc!$E$379))=0,"",INDEX('Licences'!$E$4:$E$503,_calc!$E$379))&amp;". ")&amp;IF(LEN(IF(LEN(INDEX('Licences'!$F$4:$F$503,_calc!$E$379))=0,"",INDEX('Licences'!$F$4:$F$503,_calc!$E$379)))=0,"","Owner: "&amp;IF(LEN(INDEX('Licences'!$F$4:$F$503,_calc!$E$379))=0,"",INDEX('Licences'!$F$4:$F$503,_calc!$E$379))&amp;". ")&amp;IF(LEN(IF(LEN(INDEX('Licences'!$R$4:$R$503,_calc!$E$379))=0,"",INDEX('Licences'!$R$4:$R$503,_calc!$E$379)))=0,"",IF(LEN(INDEX('Licences'!$R$4:$R$503,_calc!$E$379))=0,"",INDEX('Licences'!$R$4:$R$503,_calc!$E$379)))))</f>
        <v/>
      </c>
      <c r="G377" s="44">
        <f>IF(_calc!$E$379="","",IF(LEN(INDEX('Licences'!$Q$4:$Q$503,_calc!$E$379))=0,"",INDEX('Licences'!$Q$4:$Q$503,_calc!$E$379)))</f>
        <v/>
      </c>
      <c r="H377" s="44">
        <f>IF(_calc!$E$379="","",IF(LEN(INDEX('Licences'!$O$4:$O$503,_calc!$E$379))=0,"",INDEX('Licences'!$O$4:$O$503,_calc!$E$379)))</f>
        <v/>
      </c>
      <c r="I377" s="44">
        <f>IF(_calc!$E$379="","",IF(LEN(INDEX('Licences'!$P$4:$P$503,_calc!$E$379))=0,"",INDEX('Licences'!$P$4:$P$503,_calc!$E$379)))</f>
        <v/>
      </c>
      <c r="K377" s="44">
        <f>IF(_calc!$E$379="","",IF(LEN(INDEX('Licences'!$G$4:$G$503,_calc!$E$379))=0,"",INDEX('Licences'!$G$4:$G$503,_calc!$E$379)))</f>
        <v/>
      </c>
    </row>
    <row r="378">
      <c r="A378" s="44">
        <f>IF(_calc!$E$380="","",IF(LEN(INDEX('Licences'!$A$4:$A$503,_calc!$E$380))=0,"",INDEX('Licences'!$A$4:$A$503,_calc!$E$380)))</f>
        <v/>
      </c>
      <c r="B378" s="44">
        <f>IF(_calc!$E$380="","",IF(ISNUMBER(INDEX('Licences'!$J$4:$J$503,_calc!$E$380)),TEXT(INDEX('Licences'!$J$4:$J$503,_calc!$E$380),"yyyy-mm-dd"),""))</f>
        <v/>
      </c>
      <c r="C378" s="44">
        <f>IF(_calc!$E$380="","",IF(LEN(INDEX('Licences'!$B$4:$B$503,_calc!$E$380))=0,"",INDEX('Licences'!$B$4:$B$503,_calc!$E$380)))</f>
        <v/>
      </c>
      <c r="D378" s="44">
        <f>IF(_calc!$E$380="","",IF(ISNUMBER(INDEX('Licences'!$I$4:$I$503,_calc!$E$380)),TEXT(INDEX('Licences'!$I$4:$I$503,_calc!$E$380),"yyyy-mm-dd"),""))</f>
        <v/>
      </c>
      <c r="E378" s="44">
        <f>IF(_calc!$E$380="","",IF(LEN(INDEX('Licences'!$H$4:$H$503,_calc!$E$380))=0,"",INDEX('Licences'!$H$4:$H$503,_calc!$E$380)))</f>
        <v/>
      </c>
      <c r="F378" s="44">
        <f>IF(_calc!$E$380="","",TRIM(IF(LEN(IF(LEN(INDEX('Licences'!$D$4:$D$503,_calc!$E$380))=0,"",INDEX('Licences'!$D$4:$D$503,_calc!$E$380)))=0,"","Ref: "&amp;IF(LEN(INDEX('Licences'!$D$4:$D$503,_calc!$E$380))=0,"",INDEX('Licences'!$D$4:$D$503,_calc!$E$380))&amp;". ")&amp;IF(LEN(IF(LEN(INDEX('Licences'!$C$4:$C$503,_calc!$E$380))=0,"",INDEX('Licences'!$C$4:$C$503,_calc!$E$380)))=0,"","Issuer: "&amp;IF(LEN(INDEX('Licences'!$C$4:$C$503,_calc!$E$380))=0,"",INDEX('Licences'!$C$4:$C$503,_calc!$E$380))&amp;". ")&amp;IF(LEN(IF(LEN(INDEX('Licences'!$E$4:$E$503,_calc!$E$380))=0,"",INDEX('Licences'!$E$4:$E$503,_calc!$E$380)))=0,"","Site: "&amp;IF(LEN(INDEX('Licences'!$E$4:$E$503,_calc!$E$380))=0,"",INDEX('Licences'!$E$4:$E$503,_calc!$E$380))&amp;". ")&amp;IF(LEN(IF(LEN(INDEX('Licences'!$F$4:$F$503,_calc!$E$380))=0,"",INDEX('Licences'!$F$4:$F$503,_calc!$E$380)))=0,"","Owner: "&amp;IF(LEN(INDEX('Licences'!$F$4:$F$503,_calc!$E$380))=0,"",INDEX('Licences'!$F$4:$F$503,_calc!$E$380))&amp;". ")&amp;IF(LEN(IF(LEN(INDEX('Licences'!$R$4:$R$503,_calc!$E$380))=0,"",INDEX('Licences'!$R$4:$R$503,_calc!$E$380)))=0,"",IF(LEN(INDEX('Licences'!$R$4:$R$503,_calc!$E$380))=0,"",INDEX('Licences'!$R$4:$R$503,_calc!$E$380)))))</f>
        <v/>
      </c>
      <c r="G378" s="44">
        <f>IF(_calc!$E$380="","",IF(LEN(INDEX('Licences'!$Q$4:$Q$503,_calc!$E$380))=0,"",INDEX('Licences'!$Q$4:$Q$503,_calc!$E$380)))</f>
        <v/>
      </c>
      <c r="H378" s="44">
        <f>IF(_calc!$E$380="","",IF(LEN(INDEX('Licences'!$O$4:$O$503,_calc!$E$380))=0,"",INDEX('Licences'!$O$4:$O$503,_calc!$E$380)))</f>
        <v/>
      </c>
      <c r="I378" s="44">
        <f>IF(_calc!$E$380="","",IF(LEN(INDEX('Licences'!$P$4:$P$503,_calc!$E$380))=0,"",INDEX('Licences'!$P$4:$P$503,_calc!$E$380)))</f>
        <v/>
      </c>
      <c r="K378" s="44">
        <f>IF(_calc!$E$380="","",IF(LEN(INDEX('Licences'!$G$4:$G$503,_calc!$E$380))=0,"",INDEX('Licences'!$G$4:$G$503,_calc!$E$380)))</f>
        <v/>
      </c>
    </row>
    <row r="379">
      <c r="A379" s="44">
        <f>IF(_calc!$E$381="","",IF(LEN(INDEX('Licences'!$A$4:$A$503,_calc!$E$381))=0,"",INDEX('Licences'!$A$4:$A$503,_calc!$E$381)))</f>
        <v/>
      </c>
      <c r="B379" s="44">
        <f>IF(_calc!$E$381="","",IF(ISNUMBER(INDEX('Licences'!$J$4:$J$503,_calc!$E$381)),TEXT(INDEX('Licences'!$J$4:$J$503,_calc!$E$381),"yyyy-mm-dd"),""))</f>
        <v/>
      </c>
      <c r="C379" s="44">
        <f>IF(_calc!$E$381="","",IF(LEN(INDEX('Licences'!$B$4:$B$503,_calc!$E$381))=0,"",INDEX('Licences'!$B$4:$B$503,_calc!$E$381)))</f>
        <v/>
      </c>
      <c r="D379" s="44">
        <f>IF(_calc!$E$381="","",IF(ISNUMBER(INDEX('Licences'!$I$4:$I$503,_calc!$E$381)),TEXT(INDEX('Licences'!$I$4:$I$503,_calc!$E$381),"yyyy-mm-dd"),""))</f>
        <v/>
      </c>
      <c r="E379" s="44">
        <f>IF(_calc!$E$381="","",IF(LEN(INDEX('Licences'!$H$4:$H$503,_calc!$E$381))=0,"",INDEX('Licences'!$H$4:$H$503,_calc!$E$381)))</f>
        <v/>
      </c>
      <c r="F379" s="44">
        <f>IF(_calc!$E$381="","",TRIM(IF(LEN(IF(LEN(INDEX('Licences'!$D$4:$D$503,_calc!$E$381))=0,"",INDEX('Licences'!$D$4:$D$503,_calc!$E$381)))=0,"","Ref: "&amp;IF(LEN(INDEX('Licences'!$D$4:$D$503,_calc!$E$381))=0,"",INDEX('Licences'!$D$4:$D$503,_calc!$E$381))&amp;". ")&amp;IF(LEN(IF(LEN(INDEX('Licences'!$C$4:$C$503,_calc!$E$381))=0,"",INDEX('Licences'!$C$4:$C$503,_calc!$E$381)))=0,"","Issuer: "&amp;IF(LEN(INDEX('Licences'!$C$4:$C$503,_calc!$E$381))=0,"",INDEX('Licences'!$C$4:$C$503,_calc!$E$381))&amp;". ")&amp;IF(LEN(IF(LEN(INDEX('Licences'!$E$4:$E$503,_calc!$E$381))=0,"",INDEX('Licences'!$E$4:$E$503,_calc!$E$381)))=0,"","Site: "&amp;IF(LEN(INDEX('Licences'!$E$4:$E$503,_calc!$E$381))=0,"",INDEX('Licences'!$E$4:$E$503,_calc!$E$381))&amp;". ")&amp;IF(LEN(IF(LEN(INDEX('Licences'!$F$4:$F$503,_calc!$E$381))=0,"",INDEX('Licences'!$F$4:$F$503,_calc!$E$381)))=0,"","Owner: "&amp;IF(LEN(INDEX('Licences'!$F$4:$F$503,_calc!$E$381))=0,"",INDEX('Licences'!$F$4:$F$503,_calc!$E$381))&amp;". ")&amp;IF(LEN(IF(LEN(INDEX('Licences'!$R$4:$R$503,_calc!$E$381))=0,"",INDEX('Licences'!$R$4:$R$503,_calc!$E$381)))=0,"",IF(LEN(INDEX('Licences'!$R$4:$R$503,_calc!$E$381))=0,"",INDEX('Licences'!$R$4:$R$503,_calc!$E$381)))))</f>
        <v/>
      </c>
      <c r="G379" s="44">
        <f>IF(_calc!$E$381="","",IF(LEN(INDEX('Licences'!$Q$4:$Q$503,_calc!$E$381))=0,"",INDEX('Licences'!$Q$4:$Q$503,_calc!$E$381)))</f>
        <v/>
      </c>
      <c r="H379" s="44">
        <f>IF(_calc!$E$381="","",IF(LEN(INDEX('Licences'!$O$4:$O$503,_calc!$E$381))=0,"",INDEX('Licences'!$O$4:$O$503,_calc!$E$381)))</f>
        <v/>
      </c>
      <c r="I379" s="44">
        <f>IF(_calc!$E$381="","",IF(LEN(INDEX('Licences'!$P$4:$P$503,_calc!$E$381))=0,"",INDEX('Licences'!$P$4:$P$503,_calc!$E$381)))</f>
        <v/>
      </c>
      <c r="K379" s="44">
        <f>IF(_calc!$E$381="","",IF(LEN(INDEX('Licences'!$G$4:$G$503,_calc!$E$381))=0,"",INDEX('Licences'!$G$4:$G$503,_calc!$E$381)))</f>
        <v/>
      </c>
    </row>
    <row r="380">
      <c r="A380" s="44">
        <f>IF(_calc!$E$382="","",IF(LEN(INDEX('Licences'!$A$4:$A$503,_calc!$E$382))=0,"",INDEX('Licences'!$A$4:$A$503,_calc!$E$382)))</f>
        <v/>
      </c>
      <c r="B380" s="44">
        <f>IF(_calc!$E$382="","",IF(ISNUMBER(INDEX('Licences'!$J$4:$J$503,_calc!$E$382)),TEXT(INDEX('Licences'!$J$4:$J$503,_calc!$E$382),"yyyy-mm-dd"),""))</f>
        <v/>
      </c>
      <c r="C380" s="44">
        <f>IF(_calc!$E$382="","",IF(LEN(INDEX('Licences'!$B$4:$B$503,_calc!$E$382))=0,"",INDEX('Licences'!$B$4:$B$503,_calc!$E$382)))</f>
        <v/>
      </c>
      <c r="D380" s="44">
        <f>IF(_calc!$E$382="","",IF(ISNUMBER(INDEX('Licences'!$I$4:$I$503,_calc!$E$382)),TEXT(INDEX('Licences'!$I$4:$I$503,_calc!$E$382),"yyyy-mm-dd"),""))</f>
        <v/>
      </c>
      <c r="E380" s="44">
        <f>IF(_calc!$E$382="","",IF(LEN(INDEX('Licences'!$H$4:$H$503,_calc!$E$382))=0,"",INDEX('Licences'!$H$4:$H$503,_calc!$E$382)))</f>
        <v/>
      </c>
      <c r="F380" s="44">
        <f>IF(_calc!$E$382="","",TRIM(IF(LEN(IF(LEN(INDEX('Licences'!$D$4:$D$503,_calc!$E$382))=0,"",INDEX('Licences'!$D$4:$D$503,_calc!$E$382)))=0,"","Ref: "&amp;IF(LEN(INDEX('Licences'!$D$4:$D$503,_calc!$E$382))=0,"",INDEX('Licences'!$D$4:$D$503,_calc!$E$382))&amp;". ")&amp;IF(LEN(IF(LEN(INDEX('Licences'!$C$4:$C$503,_calc!$E$382))=0,"",INDEX('Licences'!$C$4:$C$503,_calc!$E$382)))=0,"","Issuer: "&amp;IF(LEN(INDEX('Licences'!$C$4:$C$503,_calc!$E$382))=0,"",INDEX('Licences'!$C$4:$C$503,_calc!$E$382))&amp;". ")&amp;IF(LEN(IF(LEN(INDEX('Licences'!$E$4:$E$503,_calc!$E$382))=0,"",INDEX('Licences'!$E$4:$E$503,_calc!$E$382)))=0,"","Site: "&amp;IF(LEN(INDEX('Licences'!$E$4:$E$503,_calc!$E$382))=0,"",INDEX('Licences'!$E$4:$E$503,_calc!$E$382))&amp;". ")&amp;IF(LEN(IF(LEN(INDEX('Licences'!$F$4:$F$503,_calc!$E$382))=0,"",INDEX('Licences'!$F$4:$F$503,_calc!$E$382)))=0,"","Owner: "&amp;IF(LEN(INDEX('Licences'!$F$4:$F$503,_calc!$E$382))=0,"",INDEX('Licences'!$F$4:$F$503,_calc!$E$382))&amp;". ")&amp;IF(LEN(IF(LEN(INDEX('Licences'!$R$4:$R$503,_calc!$E$382))=0,"",INDEX('Licences'!$R$4:$R$503,_calc!$E$382)))=0,"",IF(LEN(INDEX('Licences'!$R$4:$R$503,_calc!$E$382))=0,"",INDEX('Licences'!$R$4:$R$503,_calc!$E$382)))))</f>
        <v/>
      </c>
      <c r="G380" s="44">
        <f>IF(_calc!$E$382="","",IF(LEN(INDEX('Licences'!$Q$4:$Q$503,_calc!$E$382))=0,"",INDEX('Licences'!$Q$4:$Q$503,_calc!$E$382)))</f>
        <v/>
      </c>
      <c r="H380" s="44">
        <f>IF(_calc!$E$382="","",IF(LEN(INDEX('Licences'!$O$4:$O$503,_calc!$E$382))=0,"",INDEX('Licences'!$O$4:$O$503,_calc!$E$382)))</f>
        <v/>
      </c>
      <c r="I380" s="44">
        <f>IF(_calc!$E$382="","",IF(LEN(INDEX('Licences'!$P$4:$P$503,_calc!$E$382))=0,"",INDEX('Licences'!$P$4:$P$503,_calc!$E$382)))</f>
        <v/>
      </c>
      <c r="K380" s="44">
        <f>IF(_calc!$E$382="","",IF(LEN(INDEX('Licences'!$G$4:$G$503,_calc!$E$382))=0,"",INDEX('Licences'!$G$4:$G$503,_calc!$E$382)))</f>
        <v/>
      </c>
    </row>
    <row r="381">
      <c r="A381" s="44">
        <f>IF(_calc!$E$383="","",IF(LEN(INDEX('Licences'!$A$4:$A$503,_calc!$E$383))=0,"",INDEX('Licences'!$A$4:$A$503,_calc!$E$383)))</f>
        <v/>
      </c>
      <c r="B381" s="44">
        <f>IF(_calc!$E$383="","",IF(ISNUMBER(INDEX('Licences'!$J$4:$J$503,_calc!$E$383)),TEXT(INDEX('Licences'!$J$4:$J$503,_calc!$E$383),"yyyy-mm-dd"),""))</f>
        <v/>
      </c>
      <c r="C381" s="44">
        <f>IF(_calc!$E$383="","",IF(LEN(INDEX('Licences'!$B$4:$B$503,_calc!$E$383))=0,"",INDEX('Licences'!$B$4:$B$503,_calc!$E$383)))</f>
        <v/>
      </c>
      <c r="D381" s="44">
        <f>IF(_calc!$E$383="","",IF(ISNUMBER(INDEX('Licences'!$I$4:$I$503,_calc!$E$383)),TEXT(INDEX('Licences'!$I$4:$I$503,_calc!$E$383),"yyyy-mm-dd"),""))</f>
        <v/>
      </c>
      <c r="E381" s="44">
        <f>IF(_calc!$E$383="","",IF(LEN(INDEX('Licences'!$H$4:$H$503,_calc!$E$383))=0,"",INDEX('Licences'!$H$4:$H$503,_calc!$E$383)))</f>
        <v/>
      </c>
      <c r="F381" s="44">
        <f>IF(_calc!$E$383="","",TRIM(IF(LEN(IF(LEN(INDEX('Licences'!$D$4:$D$503,_calc!$E$383))=0,"",INDEX('Licences'!$D$4:$D$503,_calc!$E$383)))=0,"","Ref: "&amp;IF(LEN(INDEX('Licences'!$D$4:$D$503,_calc!$E$383))=0,"",INDEX('Licences'!$D$4:$D$503,_calc!$E$383))&amp;". ")&amp;IF(LEN(IF(LEN(INDEX('Licences'!$C$4:$C$503,_calc!$E$383))=0,"",INDEX('Licences'!$C$4:$C$503,_calc!$E$383)))=0,"","Issuer: "&amp;IF(LEN(INDEX('Licences'!$C$4:$C$503,_calc!$E$383))=0,"",INDEX('Licences'!$C$4:$C$503,_calc!$E$383))&amp;". ")&amp;IF(LEN(IF(LEN(INDEX('Licences'!$E$4:$E$503,_calc!$E$383))=0,"",INDEX('Licences'!$E$4:$E$503,_calc!$E$383)))=0,"","Site: "&amp;IF(LEN(INDEX('Licences'!$E$4:$E$503,_calc!$E$383))=0,"",INDEX('Licences'!$E$4:$E$503,_calc!$E$383))&amp;". ")&amp;IF(LEN(IF(LEN(INDEX('Licences'!$F$4:$F$503,_calc!$E$383))=0,"",INDEX('Licences'!$F$4:$F$503,_calc!$E$383)))=0,"","Owner: "&amp;IF(LEN(INDEX('Licences'!$F$4:$F$503,_calc!$E$383))=0,"",INDEX('Licences'!$F$4:$F$503,_calc!$E$383))&amp;". ")&amp;IF(LEN(IF(LEN(INDEX('Licences'!$R$4:$R$503,_calc!$E$383))=0,"",INDEX('Licences'!$R$4:$R$503,_calc!$E$383)))=0,"",IF(LEN(INDEX('Licences'!$R$4:$R$503,_calc!$E$383))=0,"",INDEX('Licences'!$R$4:$R$503,_calc!$E$383)))))</f>
        <v/>
      </c>
      <c r="G381" s="44">
        <f>IF(_calc!$E$383="","",IF(LEN(INDEX('Licences'!$Q$4:$Q$503,_calc!$E$383))=0,"",INDEX('Licences'!$Q$4:$Q$503,_calc!$E$383)))</f>
        <v/>
      </c>
      <c r="H381" s="44">
        <f>IF(_calc!$E$383="","",IF(LEN(INDEX('Licences'!$O$4:$O$503,_calc!$E$383))=0,"",INDEX('Licences'!$O$4:$O$503,_calc!$E$383)))</f>
        <v/>
      </c>
      <c r="I381" s="44">
        <f>IF(_calc!$E$383="","",IF(LEN(INDEX('Licences'!$P$4:$P$503,_calc!$E$383))=0,"",INDEX('Licences'!$P$4:$P$503,_calc!$E$383)))</f>
        <v/>
      </c>
      <c r="K381" s="44">
        <f>IF(_calc!$E$383="","",IF(LEN(INDEX('Licences'!$G$4:$G$503,_calc!$E$383))=0,"",INDEX('Licences'!$G$4:$G$503,_calc!$E$383)))</f>
        <v/>
      </c>
    </row>
    <row r="382">
      <c r="A382" s="44">
        <f>IF(_calc!$E$384="","",IF(LEN(INDEX('Licences'!$A$4:$A$503,_calc!$E$384))=0,"",INDEX('Licences'!$A$4:$A$503,_calc!$E$384)))</f>
        <v/>
      </c>
      <c r="B382" s="44">
        <f>IF(_calc!$E$384="","",IF(ISNUMBER(INDEX('Licences'!$J$4:$J$503,_calc!$E$384)),TEXT(INDEX('Licences'!$J$4:$J$503,_calc!$E$384),"yyyy-mm-dd"),""))</f>
        <v/>
      </c>
      <c r="C382" s="44">
        <f>IF(_calc!$E$384="","",IF(LEN(INDEX('Licences'!$B$4:$B$503,_calc!$E$384))=0,"",INDEX('Licences'!$B$4:$B$503,_calc!$E$384)))</f>
        <v/>
      </c>
      <c r="D382" s="44">
        <f>IF(_calc!$E$384="","",IF(ISNUMBER(INDEX('Licences'!$I$4:$I$503,_calc!$E$384)),TEXT(INDEX('Licences'!$I$4:$I$503,_calc!$E$384),"yyyy-mm-dd"),""))</f>
        <v/>
      </c>
      <c r="E382" s="44">
        <f>IF(_calc!$E$384="","",IF(LEN(INDEX('Licences'!$H$4:$H$503,_calc!$E$384))=0,"",INDEX('Licences'!$H$4:$H$503,_calc!$E$384)))</f>
        <v/>
      </c>
      <c r="F382" s="44">
        <f>IF(_calc!$E$384="","",TRIM(IF(LEN(IF(LEN(INDEX('Licences'!$D$4:$D$503,_calc!$E$384))=0,"",INDEX('Licences'!$D$4:$D$503,_calc!$E$384)))=0,"","Ref: "&amp;IF(LEN(INDEX('Licences'!$D$4:$D$503,_calc!$E$384))=0,"",INDEX('Licences'!$D$4:$D$503,_calc!$E$384))&amp;". ")&amp;IF(LEN(IF(LEN(INDEX('Licences'!$C$4:$C$503,_calc!$E$384))=0,"",INDEX('Licences'!$C$4:$C$503,_calc!$E$384)))=0,"","Issuer: "&amp;IF(LEN(INDEX('Licences'!$C$4:$C$503,_calc!$E$384))=0,"",INDEX('Licences'!$C$4:$C$503,_calc!$E$384))&amp;". ")&amp;IF(LEN(IF(LEN(INDEX('Licences'!$E$4:$E$503,_calc!$E$384))=0,"",INDEX('Licences'!$E$4:$E$503,_calc!$E$384)))=0,"","Site: "&amp;IF(LEN(INDEX('Licences'!$E$4:$E$503,_calc!$E$384))=0,"",INDEX('Licences'!$E$4:$E$503,_calc!$E$384))&amp;". ")&amp;IF(LEN(IF(LEN(INDEX('Licences'!$F$4:$F$503,_calc!$E$384))=0,"",INDEX('Licences'!$F$4:$F$503,_calc!$E$384)))=0,"","Owner: "&amp;IF(LEN(INDEX('Licences'!$F$4:$F$503,_calc!$E$384))=0,"",INDEX('Licences'!$F$4:$F$503,_calc!$E$384))&amp;". ")&amp;IF(LEN(IF(LEN(INDEX('Licences'!$R$4:$R$503,_calc!$E$384))=0,"",INDEX('Licences'!$R$4:$R$503,_calc!$E$384)))=0,"",IF(LEN(INDEX('Licences'!$R$4:$R$503,_calc!$E$384))=0,"",INDEX('Licences'!$R$4:$R$503,_calc!$E$384)))))</f>
        <v/>
      </c>
      <c r="G382" s="44">
        <f>IF(_calc!$E$384="","",IF(LEN(INDEX('Licences'!$Q$4:$Q$503,_calc!$E$384))=0,"",INDEX('Licences'!$Q$4:$Q$503,_calc!$E$384)))</f>
        <v/>
      </c>
      <c r="H382" s="44">
        <f>IF(_calc!$E$384="","",IF(LEN(INDEX('Licences'!$O$4:$O$503,_calc!$E$384))=0,"",INDEX('Licences'!$O$4:$O$503,_calc!$E$384)))</f>
        <v/>
      </c>
      <c r="I382" s="44">
        <f>IF(_calc!$E$384="","",IF(LEN(INDEX('Licences'!$P$4:$P$503,_calc!$E$384))=0,"",INDEX('Licences'!$P$4:$P$503,_calc!$E$384)))</f>
        <v/>
      </c>
      <c r="K382" s="44">
        <f>IF(_calc!$E$384="","",IF(LEN(INDEX('Licences'!$G$4:$G$503,_calc!$E$384))=0,"",INDEX('Licences'!$G$4:$G$503,_calc!$E$384)))</f>
        <v/>
      </c>
    </row>
    <row r="383">
      <c r="A383" s="44">
        <f>IF(_calc!$E$385="","",IF(LEN(INDEX('Licences'!$A$4:$A$503,_calc!$E$385))=0,"",INDEX('Licences'!$A$4:$A$503,_calc!$E$385)))</f>
        <v/>
      </c>
      <c r="B383" s="44">
        <f>IF(_calc!$E$385="","",IF(ISNUMBER(INDEX('Licences'!$J$4:$J$503,_calc!$E$385)),TEXT(INDEX('Licences'!$J$4:$J$503,_calc!$E$385),"yyyy-mm-dd"),""))</f>
        <v/>
      </c>
      <c r="C383" s="44">
        <f>IF(_calc!$E$385="","",IF(LEN(INDEX('Licences'!$B$4:$B$503,_calc!$E$385))=0,"",INDEX('Licences'!$B$4:$B$503,_calc!$E$385)))</f>
        <v/>
      </c>
      <c r="D383" s="44">
        <f>IF(_calc!$E$385="","",IF(ISNUMBER(INDEX('Licences'!$I$4:$I$503,_calc!$E$385)),TEXT(INDEX('Licences'!$I$4:$I$503,_calc!$E$385),"yyyy-mm-dd"),""))</f>
        <v/>
      </c>
      <c r="E383" s="44">
        <f>IF(_calc!$E$385="","",IF(LEN(INDEX('Licences'!$H$4:$H$503,_calc!$E$385))=0,"",INDEX('Licences'!$H$4:$H$503,_calc!$E$385)))</f>
        <v/>
      </c>
      <c r="F383" s="44">
        <f>IF(_calc!$E$385="","",TRIM(IF(LEN(IF(LEN(INDEX('Licences'!$D$4:$D$503,_calc!$E$385))=0,"",INDEX('Licences'!$D$4:$D$503,_calc!$E$385)))=0,"","Ref: "&amp;IF(LEN(INDEX('Licences'!$D$4:$D$503,_calc!$E$385))=0,"",INDEX('Licences'!$D$4:$D$503,_calc!$E$385))&amp;". ")&amp;IF(LEN(IF(LEN(INDEX('Licences'!$C$4:$C$503,_calc!$E$385))=0,"",INDEX('Licences'!$C$4:$C$503,_calc!$E$385)))=0,"","Issuer: "&amp;IF(LEN(INDEX('Licences'!$C$4:$C$503,_calc!$E$385))=0,"",INDEX('Licences'!$C$4:$C$503,_calc!$E$385))&amp;". ")&amp;IF(LEN(IF(LEN(INDEX('Licences'!$E$4:$E$503,_calc!$E$385))=0,"",INDEX('Licences'!$E$4:$E$503,_calc!$E$385)))=0,"","Site: "&amp;IF(LEN(INDEX('Licences'!$E$4:$E$503,_calc!$E$385))=0,"",INDEX('Licences'!$E$4:$E$503,_calc!$E$385))&amp;". ")&amp;IF(LEN(IF(LEN(INDEX('Licences'!$F$4:$F$503,_calc!$E$385))=0,"",INDEX('Licences'!$F$4:$F$503,_calc!$E$385)))=0,"","Owner: "&amp;IF(LEN(INDEX('Licences'!$F$4:$F$503,_calc!$E$385))=0,"",INDEX('Licences'!$F$4:$F$503,_calc!$E$385))&amp;". ")&amp;IF(LEN(IF(LEN(INDEX('Licences'!$R$4:$R$503,_calc!$E$385))=0,"",INDEX('Licences'!$R$4:$R$503,_calc!$E$385)))=0,"",IF(LEN(INDEX('Licences'!$R$4:$R$503,_calc!$E$385))=0,"",INDEX('Licences'!$R$4:$R$503,_calc!$E$385)))))</f>
        <v/>
      </c>
      <c r="G383" s="44">
        <f>IF(_calc!$E$385="","",IF(LEN(INDEX('Licences'!$Q$4:$Q$503,_calc!$E$385))=0,"",INDEX('Licences'!$Q$4:$Q$503,_calc!$E$385)))</f>
        <v/>
      </c>
      <c r="H383" s="44">
        <f>IF(_calc!$E$385="","",IF(LEN(INDEX('Licences'!$O$4:$O$503,_calc!$E$385))=0,"",INDEX('Licences'!$O$4:$O$503,_calc!$E$385)))</f>
        <v/>
      </c>
      <c r="I383" s="44">
        <f>IF(_calc!$E$385="","",IF(LEN(INDEX('Licences'!$P$4:$P$503,_calc!$E$385))=0,"",INDEX('Licences'!$P$4:$P$503,_calc!$E$385)))</f>
        <v/>
      </c>
      <c r="K383" s="44">
        <f>IF(_calc!$E$385="","",IF(LEN(INDEX('Licences'!$G$4:$G$503,_calc!$E$385))=0,"",INDEX('Licences'!$G$4:$G$503,_calc!$E$385)))</f>
        <v/>
      </c>
    </row>
    <row r="384">
      <c r="A384" s="44">
        <f>IF(_calc!$E$386="","",IF(LEN(INDEX('Licences'!$A$4:$A$503,_calc!$E$386))=0,"",INDEX('Licences'!$A$4:$A$503,_calc!$E$386)))</f>
        <v/>
      </c>
      <c r="B384" s="44">
        <f>IF(_calc!$E$386="","",IF(ISNUMBER(INDEX('Licences'!$J$4:$J$503,_calc!$E$386)),TEXT(INDEX('Licences'!$J$4:$J$503,_calc!$E$386),"yyyy-mm-dd"),""))</f>
        <v/>
      </c>
      <c r="C384" s="44">
        <f>IF(_calc!$E$386="","",IF(LEN(INDEX('Licences'!$B$4:$B$503,_calc!$E$386))=0,"",INDEX('Licences'!$B$4:$B$503,_calc!$E$386)))</f>
        <v/>
      </c>
      <c r="D384" s="44">
        <f>IF(_calc!$E$386="","",IF(ISNUMBER(INDEX('Licences'!$I$4:$I$503,_calc!$E$386)),TEXT(INDEX('Licences'!$I$4:$I$503,_calc!$E$386),"yyyy-mm-dd"),""))</f>
        <v/>
      </c>
      <c r="E384" s="44">
        <f>IF(_calc!$E$386="","",IF(LEN(INDEX('Licences'!$H$4:$H$503,_calc!$E$386))=0,"",INDEX('Licences'!$H$4:$H$503,_calc!$E$386)))</f>
        <v/>
      </c>
      <c r="F384" s="44">
        <f>IF(_calc!$E$386="","",TRIM(IF(LEN(IF(LEN(INDEX('Licences'!$D$4:$D$503,_calc!$E$386))=0,"",INDEX('Licences'!$D$4:$D$503,_calc!$E$386)))=0,"","Ref: "&amp;IF(LEN(INDEX('Licences'!$D$4:$D$503,_calc!$E$386))=0,"",INDEX('Licences'!$D$4:$D$503,_calc!$E$386))&amp;". ")&amp;IF(LEN(IF(LEN(INDEX('Licences'!$C$4:$C$503,_calc!$E$386))=0,"",INDEX('Licences'!$C$4:$C$503,_calc!$E$386)))=0,"","Issuer: "&amp;IF(LEN(INDEX('Licences'!$C$4:$C$503,_calc!$E$386))=0,"",INDEX('Licences'!$C$4:$C$503,_calc!$E$386))&amp;". ")&amp;IF(LEN(IF(LEN(INDEX('Licences'!$E$4:$E$503,_calc!$E$386))=0,"",INDEX('Licences'!$E$4:$E$503,_calc!$E$386)))=0,"","Site: "&amp;IF(LEN(INDEX('Licences'!$E$4:$E$503,_calc!$E$386))=0,"",INDEX('Licences'!$E$4:$E$503,_calc!$E$386))&amp;". ")&amp;IF(LEN(IF(LEN(INDEX('Licences'!$F$4:$F$503,_calc!$E$386))=0,"",INDEX('Licences'!$F$4:$F$503,_calc!$E$386)))=0,"","Owner: "&amp;IF(LEN(INDEX('Licences'!$F$4:$F$503,_calc!$E$386))=0,"",INDEX('Licences'!$F$4:$F$503,_calc!$E$386))&amp;". ")&amp;IF(LEN(IF(LEN(INDEX('Licences'!$R$4:$R$503,_calc!$E$386))=0,"",INDEX('Licences'!$R$4:$R$503,_calc!$E$386)))=0,"",IF(LEN(INDEX('Licences'!$R$4:$R$503,_calc!$E$386))=0,"",INDEX('Licences'!$R$4:$R$503,_calc!$E$386)))))</f>
        <v/>
      </c>
      <c r="G384" s="44">
        <f>IF(_calc!$E$386="","",IF(LEN(INDEX('Licences'!$Q$4:$Q$503,_calc!$E$386))=0,"",INDEX('Licences'!$Q$4:$Q$503,_calc!$E$386)))</f>
        <v/>
      </c>
      <c r="H384" s="44">
        <f>IF(_calc!$E$386="","",IF(LEN(INDEX('Licences'!$O$4:$O$503,_calc!$E$386))=0,"",INDEX('Licences'!$O$4:$O$503,_calc!$E$386)))</f>
        <v/>
      </c>
      <c r="I384" s="44">
        <f>IF(_calc!$E$386="","",IF(LEN(INDEX('Licences'!$P$4:$P$503,_calc!$E$386))=0,"",INDEX('Licences'!$P$4:$P$503,_calc!$E$386)))</f>
        <v/>
      </c>
      <c r="K384" s="44">
        <f>IF(_calc!$E$386="","",IF(LEN(INDEX('Licences'!$G$4:$G$503,_calc!$E$386))=0,"",INDEX('Licences'!$G$4:$G$503,_calc!$E$386)))</f>
        <v/>
      </c>
    </row>
    <row r="385">
      <c r="A385" s="44">
        <f>IF(_calc!$E$387="","",IF(LEN(INDEX('Licences'!$A$4:$A$503,_calc!$E$387))=0,"",INDEX('Licences'!$A$4:$A$503,_calc!$E$387)))</f>
        <v/>
      </c>
      <c r="B385" s="44">
        <f>IF(_calc!$E$387="","",IF(ISNUMBER(INDEX('Licences'!$J$4:$J$503,_calc!$E$387)),TEXT(INDEX('Licences'!$J$4:$J$503,_calc!$E$387),"yyyy-mm-dd"),""))</f>
        <v/>
      </c>
      <c r="C385" s="44">
        <f>IF(_calc!$E$387="","",IF(LEN(INDEX('Licences'!$B$4:$B$503,_calc!$E$387))=0,"",INDEX('Licences'!$B$4:$B$503,_calc!$E$387)))</f>
        <v/>
      </c>
      <c r="D385" s="44">
        <f>IF(_calc!$E$387="","",IF(ISNUMBER(INDEX('Licences'!$I$4:$I$503,_calc!$E$387)),TEXT(INDEX('Licences'!$I$4:$I$503,_calc!$E$387),"yyyy-mm-dd"),""))</f>
        <v/>
      </c>
      <c r="E385" s="44">
        <f>IF(_calc!$E$387="","",IF(LEN(INDEX('Licences'!$H$4:$H$503,_calc!$E$387))=0,"",INDEX('Licences'!$H$4:$H$503,_calc!$E$387)))</f>
        <v/>
      </c>
      <c r="F385" s="44">
        <f>IF(_calc!$E$387="","",TRIM(IF(LEN(IF(LEN(INDEX('Licences'!$D$4:$D$503,_calc!$E$387))=0,"",INDEX('Licences'!$D$4:$D$503,_calc!$E$387)))=0,"","Ref: "&amp;IF(LEN(INDEX('Licences'!$D$4:$D$503,_calc!$E$387))=0,"",INDEX('Licences'!$D$4:$D$503,_calc!$E$387))&amp;". ")&amp;IF(LEN(IF(LEN(INDEX('Licences'!$C$4:$C$503,_calc!$E$387))=0,"",INDEX('Licences'!$C$4:$C$503,_calc!$E$387)))=0,"","Issuer: "&amp;IF(LEN(INDEX('Licences'!$C$4:$C$503,_calc!$E$387))=0,"",INDEX('Licences'!$C$4:$C$503,_calc!$E$387))&amp;". ")&amp;IF(LEN(IF(LEN(INDEX('Licences'!$E$4:$E$503,_calc!$E$387))=0,"",INDEX('Licences'!$E$4:$E$503,_calc!$E$387)))=0,"","Site: "&amp;IF(LEN(INDEX('Licences'!$E$4:$E$503,_calc!$E$387))=0,"",INDEX('Licences'!$E$4:$E$503,_calc!$E$387))&amp;". ")&amp;IF(LEN(IF(LEN(INDEX('Licences'!$F$4:$F$503,_calc!$E$387))=0,"",INDEX('Licences'!$F$4:$F$503,_calc!$E$387)))=0,"","Owner: "&amp;IF(LEN(INDEX('Licences'!$F$4:$F$503,_calc!$E$387))=0,"",INDEX('Licences'!$F$4:$F$503,_calc!$E$387))&amp;". ")&amp;IF(LEN(IF(LEN(INDEX('Licences'!$R$4:$R$503,_calc!$E$387))=0,"",INDEX('Licences'!$R$4:$R$503,_calc!$E$387)))=0,"",IF(LEN(INDEX('Licences'!$R$4:$R$503,_calc!$E$387))=0,"",INDEX('Licences'!$R$4:$R$503,_calc!$E$387)))))</f>
        <v/>
      </c>
      <c r="G385" s="44">
        <f>IF(_calc!$E$387="","",IF(LEN(INDEX('Licences'!$Q$4:$Q$503,_calc!$E$387))=0,"",INDEX('Licences'!$Q$4:$Q$503,_calc!$E$387)))</f>
        <v/>
      </c>
      <c r="H385" s="44">
        <f>IF(_calc!$E$387="","",IF(LEN(INDEX('Licences'!$O$4:$O$503,_calc!$E$387))=0,"",INDEX('Licences'!$O$4:$O$503,_calc!$E$387)))</f>
        <v/>
      </c>
      <c r="I385" s="44">
        <f>IF(_calc!$E$387="","",IF(LEN(INDEX('Licences'!$P$4:$P$503,_calc!$E$387))=0,"",INDEX('Licences'!$P$4:$P$503,_calc!$E$387)))</f>
        <v/>
      </c>
      <c r="K385" s="44">
        <f>IF(_calc!$E$387="","",IF(LEN(INDEX('Licences'!$G$4:$G$503,_calc!$E$387))=0,"",INDEX('Licences'!$G$4:$G$503,_calc!$E$387)))</f>
        <v/>
      </c>
    </row>
    <row r="386">
      <c r="A386" s="44">
        <f>IF(_calc!$E$388="","",IF(LEN(INDEX('Licences'!$A$4:$A$503,_calc!$E$388))=0,"",INDEX('Licences'!$A$4:$A$503,_calc!$E$388)))</f>
        <v/>
      </c>
      <c r="B386" s="44">
        <f>IF(_calc!$E$388="","",IF(ISNUMBER(INDEX('Licences'!$J$4:$J$503,_calc!$E$388)),TEXT(INDEX('Licences'!$J$4:$J$503,_calc!$E$388),"yyyy-mm-dd"),""))</f>
        <v/>
      </c>
      <c r="C386" s="44">
        <f>IF(_calc!$E$388="","",IF(LEN(INDEX('Licences'!$B$4:$B$503,_calc!$E$388))=0,"",INDEX('Licences'!$B$4:$B$503,_calc!$E$388)))</f>
        <v/>
      </c>
      <c r="D386" s="44">
        <f>IF(_calc!$E$388="","",IF(ISNUMBER(INDEX('Licences'!$I$4:$I$503,_calc!$E$388)),TEXT(INDEX('Licences'!$I$4:$I$503,_calc!$E$388),"yyyy-mm-dd"),""))</f>
        <v/>
      </c>
      <c r="E386" s="44">
        <f>IF(_calc!$E$388="","",IF(LEN(INDEX('Licences'!$H$4:$H$503,_calc!$E$388))=0,"",INDEX('Licences'!$H$4:$H$503,_calc!$E$388)))</f>
        <v/>
      </c>
      <c r="F386" s="44">
        <f>IF(_calc!$E$388="","",TRIM(IF(LEN(IF(LEN(INDEX('Licences'!$D$4:$D$503,_calc!$E$388))=0,"",INDEX('Licences'!$D$4:$D$503,_calc!$E$388)))=0,"","Ref: "&amp;IF(LEN(INDEX('Licences'!$D$4:$D$503,_calc!$E$388))=0,"",INDEX('Licences'!$D$4:$D$503,_calc!$E$388))&amp;". ")&amp;IF(LEN(IF(LEN(INDEX('Licences'!$C$4:$C$503,_calc!$E$388))=0,"",INDEX('Licences'!$C$4:$C$503,_calc!$E$388)))=0,"","Issuer: "&amp;IF(LEN(INDEX('Licences'!$C$4:$C$503,_calc!$E$388))=0,"",INDEX('Licences'!$C$4:$C$503,_calc!$E$388))&amp;". ")&amp;IF(LEN(IF(LEN(INDEX('Licences'!$E$4:$E$503,_calc!$E$388))=0,"",INDEX('Licences'!$E$4:$E$503,_calc!$E$388)))=0,"","Site: "&amp;IF(LEN(INDEX('Licences'!$E$4:$E$503,_calc!$E$388))=0,"",INDEX('Licences'!$E$4:$E$503,_calc!$E$388))&amp;". ")&amp;IF(LEN(IF(LEN(INDEX('Licences'!$F$4:$F$503,_calc!$E$388))=0,"",INDEX('Licences'!$F$4:$F$503,_calc!$E$388)))=0,"","Owner: "&amp;IF(LEN(INDEX('Licences'!$F$4:$F$503,_calc!$E$388))=0,"",INDEX('Licences'!$F$4:$F$503,_calc!$E$388))&amp;". ")&amp;IF(LEN(IF(LEN(INDEX('Licences'!$R$4:$R$503,_calc!$E$388))=0,"",INDEX('Licences'!$R$4:$R$503,_calc!$E$388)))=0,"",IF(LEN(INDEX('Licences'!$R$4:$R$503,_calc!$E$388))=0,"",INDEX('Licences'!$R$4:$R$503,_calc!$E$388)))))</f>
        <v/>
      </c>
      <c r="G386" s="44">
        <f>IF(_calc!$E$388="","",IF(LEN(INDEX('Licences'!$Q$4:$Q$503,_calc!$E$388))=0,"",INDEX('Licences'!$Q$4:$Q$503,_calc!$E$388)))</f>
        <v/>
      </c>
      <c r="H386" s="44">
        <f>IF(_calc!$E$388="","",IF(LEN(INDEX('Licences'!$O$4:$O$503,_calc!$E$388))=0,"",INDEX('Licences'!$O$4:$O$503,_calc!$E$388)))</f>
        <v/>
      </c>
      <c r="I386" s="44">
        <f>IF(_calc!$E$388="","",IF(LEN(INDEX('Licences'!$P$4:$P$503,_calc!$E$388))=0,"",INDEX('Licences'!$P$4:$P$503,_calc!$E$388)))</f>
        <v/>
      </c>
      <c r="K386" s="44">
        <f>IF(_calc!$E$388="","",IF(LEN(INDEX('Licences'!$G$4:$G$503,_calc!$E$388))=0,"",INDEX('Licences'!$G$4:$G$503,_calc!$E$388)))</f>
        <v/>
      </c>
    </row>
    <row r="387">
      <c r="A387" s="44">
        <f>IF(_calc!$E$389="","",IF(LEN(INDEX('Licences'!$A$4:$A$503,_calc!$E$389))=0,"",INDEX('Licences'!$A$4:$A$503,_calc!$E$389)))</f>
        <v/>
      </c>
      <c r="B387" s="44">
        <f>IF(_calc!$E$389="","",IF(ISNUMBER(INDEX('Licences'!$J$4:$J$503,_calc!$E$389)),TEXT(INDEX('Licences'!$J$4:$J$503,_calc!$E$389),"yyyy-mm-dd"),""))</f>
        <v/>
      </c>
      <c r="C387" s="44">
        <f>IF(_calc!$E$389="","",IF(LEN(INDEX('Licences'!$B$4:$B$503,_calc!$E$389))=0,"",INDEX('Licences'!$B$4:$B$503,_calc!$E$389)))</f>
        <v/>
      </c>
      <c r="D387" s="44">
        <f>IF(_calc!$E$389="","",IF(ISNUMBER(INDEX('Licences'!$I$4:$I$503,_calc!$E$389)),TEXT(INDEX('Licences'!$I$4:$I$503,_calc!$E$389),"yyyy-mm-dd"),""))</f>
        <v/>
      </c>
      <c r="E387" s="44">
        <f>IF(_calc!$E$389="","",IF(LEN(INDEX('Licences'!$H$4:$H$503,_calc!$E$389))=0,"",INDEX('Licences'!$H$4:$H$503,_calc!$E$389)))</f>
        <v/>
      </c>
      <c r="F387" s="44">
        <f>IF(_calc!$E$389="","",TRIM(IF(LEN(IF(LEN(INDEX('Licences'!$D$4:$D$503,_calc!$E$389))=0,"",INDEX('Licences'!$D$4:$D$503,_calc!$E$389)))=0,"","Ref: "&amp;IF(LEN(INDEX('Licences'!$D$4:$D$503,_calc!$E$389))=0,"",INDEX('Licences'!$D$4:$D$503,_calc!$E$389))&amp;". ")&amp;IF(LEN(IF(LEN(INDEX('Licences'!$C$4:$C$503,_calc!$E$389))=0,"",INDEX('Licences'!$C$4:$C$503,_calc!$E$389)))=0,"","Issuer: "&amp;IF(LEN(INDEX('Licences'!$C$4:$C$503,_calc!$E$389))=0,"",INDEX('Licences'!$C$4:$C$503,_calc!$E$389))&amp;". ")&amp;IF(LEN(IF(LEN(INDEX('Licences'!$E$4:$E$503,_calc!$E$389))=0,"",INDEX('Licences'!$E$4:$E$503,_calc!$E$389)))=0,"","Site: "&amp;IF(LEN(INDEX('Licences'!$E$4:$E$503,_calc!$E$389))=0,"",INDEX('Licences'!$E$4:$E$503,_calc!$E$389))&amp;". ")&amp;IF(LEN(IF(LEN(INDEX('Licences'!$F$4:$F$503,_calc!$E$389))=0,"",INDEX('Licences'!$F$4:$F$503,_calc!$E$389)))=0,"","Owner: "&amp;IF(LEN(INDEX('Licences'!$F$4:$F$503,_calc!$E$389))=0,"",INDEX('Licences'!$F$4:$F$503,_calc!$E$389))&amp;". ")&amp;IF(LEN(IF(LEN(INDEX('Licences'!$R$4:$R$503,_calc!$E$389))=0,"",INDEX('Licences'!$R$4:$R$503,_calc!$E$389)))=0,"",IF(LEN(INDEX('Licences'!$R$4:$R$503,_calc!$E$389))=0,"",INDEX('Licences'!$R$4:$R$503,_calc!$E$389)))))</f>
        <v/>
      </c>
      <c r="G387" s="44">
        <f>IF(_calc!$E$389="","",IF(LEN(INDEX('Licences'!$Q$4:$Q$503,_calc!$E$389))=0,"",INDEX('Licences'!$Q$4:$Q$503,_calc!$E$389)))</f>
        <v/>
      </c>
      <c r="H387" s="44">
        <f>IF(_calc!$E$389="","",IF(LEN(INDEX('Licences'!$O$4:$O$503,_calc!$E$389))=0,"",INDEX('Licences'!$O$4:$O$503,_calc!$E$389)))</f>
        <v/>
      </c>
      <c r="I387" s="44">
        <f>IF(_calc!$E$389="","",IF(LEN(INDEX('Licences'!$P$4:$P$503,_calc!$E$389))=0,"",INDEX('Licences'!$P$4:$P$503,_calc!$E$389)))</f>
        <v/>
      </c>
      <c r="K387" s="44">
        <f>IF(_calc!$E$389="","",IF(LEN(INDEX('Licences'!$G$4:$G$503,_calc!$E$389))=0,"",INDEX('Licences'!$G$4:$G$503,_calc!$E$389)))</f>
        <v/>
      </c>
    </row>
    <row r="388">
      <c r="A388" s="44">
        <f>IF(_calc!$E$390="","",IF(LEN(INDEX('Licences'!$A$4:$A$503,_calc!$E$390))=0,"",INDEX('Licences'!$A$4:$A$503,_calc!$E$390)))</f>
        <v/>
      </c>
      <c r="B388" s="44">
        <f>IF(_calc!$E$390="","",IF(ISNUMBER(INDEX('Licences'!$J$4:$J$503,_calc!$E$390)),TEXT(INDEX('Licences'!$J$4:$J$503,_calc!$E$390),"yyyy-mm-dd"),""))</f>
        <v/>
      </c>
      <c r="C388" s="44">
        <f>IF(_calc!$E$390="","",IF(LEN(INDEX('Licences'!$B$4:$B$503,_calc!$E$390))=0,"",INDEX('Licences'!$B$4:$B$503,_calc!$E$390)))</f>
        <v/>
      </c>
      <c r="D388" s="44">
        <f>IF(_calc!$E$390="","",IF(ISNUMBER(INDEX('Licences'!$I$4:$I$503,_calc!$E$390)),TEXT(INDEX('Licences'!$I$4:$I$503,_calc!$E$390),"yyyy-mm-dd"),""))</f>
        <v/>
      </c>
      <c r="E388" s="44">
        <f>IF(_calc!$E$390="","",IF(LEN(INDEX('Licences'!$H$4:$H$503,_calc!$E$390))=0,"",INDEX('Licences'!$H$4:$H$503,_calc!$E$390)))</f>
        <v/>
      </c>
      <c r="F388" s="44">
        <f>IF(_calc!$E$390="","",TRIM(IF(LEN(IF(LEN(INDEX('Licences'!$D$4:$D$503,_calc!$E$390))=0,"",INDEX('Licences'!$D$4:$D$503,_calc!$E$390)))=0,"","Ref: "&amp;IF(LEN(INDEX('Licences'!$D$4:$D$503,_calc!$E$390))=0,"",INDEX('Licences'!$D$4:$D$503,_calc!$E$390))&amp;". ")&amp;IF(LEN(IF(LEN(INDEX('Licences'!$C$4:$C$503,_calc!$E$390))=0,"",INDEX('Licences'!$C$4:$C$503,_calc!$E$390)))=0,"","Issuer: "&amp;IF(LEN(INDEX('Licences'!$C$4:$C$503,_calc!$E$390))=0,"",INDEX('Licences'!$C$4:$C$503,_calc!$E$390))&amp;". ")&amp;IF(LEN(IF(LEN(INDEX('Licences'!$E$4:$E$503,_calc!$E$390))=0,"",INDEX('Licences'!$E$4:$E$503,_calc!$E$390)))=0,"","Site: "&amp;IF(LEN(INDEX('Licences'!$E$4:$E$503,_calc!$E$390))=0,"",INDEX('Licences'!$E$4:$E$503,_calc!$E$390))&amp;". ")&amp;IF(LEN(IF(LEN(INDEX('Licences'!$F$4:$F$503,_calc!$E$390))=0,"",INDEX('Licences'!$F$4:$F$503,_calc!$E$390)))=0,"","Owner: "&amp;IF(LEN(INDEX('Licences'!$F$4:$F$503,_calc!$E$390))=0,"",INDEX('Licences'!$F$4:$F$503,_calc!$E$390))&amp;". ")&amp;IF(LEN(IF(LEN(INDEX('Licences'!$R$4:$R$503,_calc!$E$390))=0,"",INDEX('Licences'!$R$4:$R$503,_calc!$E$390)))=0,"",IF(LEN(INDEX('Licences'!$R$4:$R$503,_calc!$E$390))=0,"",INDEX('Licences'!$R$4:$R$503,_calc!$E$390)))))</f>
        <v/>
      </c>
      <c r="G388" s="44">
        <f>IF(_calc!$E$390="","",IF(LEN(INDEX('Licences'!$Q$4:$Q$503,_calc!$E$390))=0,"",INDEX('Licences'!$Q$4:$Q$503,_calc!$E$390)))</f>
        <v/>
      </c>
      <c r="H388" s="44">
        <f>IF(_calc!$E$390="","",IF(LEN(INDEX('Licences'!$O$4:$O$503,_calc!$E$390))=0,"",INDEX('Licences'!$O$4:$O$503,_calc!$E$390)))</f>
        <v/>
      </c>
      <c r="I388" s="44">
        <f>IF(_calc!$E$390="","",IF(LEN(INDEX('Licences'!$P$4:$P$503,_calc!$E$390))=0,"",INDEX('Licences'!$P$4:$P$503,_calc!$E$390)))</f>
        <v/>
      </c>
      <c r="K388" s="44">
        <f>IF(_calc!$E$390="","",IF(LEN(INDEX('Licences'!$G$4:$G$503,_calc!$E$390))=0,"",INDEX('Licences'!$G$4:$G$503,_calc!$E$390)))</f>
        <v/>
      </c>
    </row>
    <row r="389">
      <c r="A389" s="44">
        <f>IF(_calc!$E$391="","",IF(LEN(INDEX('Licences'!$A$4:$A$503,_calc!$E$391))=0,"",INDEX('Licences'!$A$4:$A$503,_calc!$E$391)))</f>
        <v/>
      </c>
      <c r="B389" s="44">
        <f>IF(_calc!$E$391="","",IF(ISNUMBER(INDEX('Licences'!$J$4:$J$503,_calc!$E$391)),TEXT(INDEX('Licences'!$J$4:$J$503,_calc!$E$391),"yyyy-mm-dd"),""))</f>
        <v/>
      </c>
      <c r="C389" s="44">
        <f>IF(_calc!$E$391="","",IF(LEN(INDEX('Licences'!$B$4:$B$503,_calc!$E$391))=0,"",INDEX('Licences'!$B$4:$B$503,_calc!$E$391)))</f>
        <v/>
      </c>
      <c r="D389" s="44">
        <f>IF(_calc!$E$391="","",IF(ISNUMBER(INDEX('Licences'!$I$4:$I$503,_calc!$E$391)),TEXT(INDEX('Licences'!$I$4:$I$503,_calc!$E$391),"yyyy-mm-dd"),""))</f>
        <v/>
      </c>
      <c r="E389" s="44">
        <f>IF(_calc!$E$391="","",IF(LEN(INDEX('Licences'!$H$4:$H$503,_calc!$E$391))=0,"",INDEX('Licences'!$H$4:$H$503,_calc!$E$391)))</f>
        <v/>
      </c>
      <c r="F389" s="44">
        <f>IF(_calc!$E$391="","",TRIM(IF(LEN(IF(LEN(INDEX('Licences'!$D$4:$D$503,_calc!$E$391))=0,"",INDEX('Licences'!$D$4:$D$503,_calc!$E$391)))=0,"","Ref: "&amp;IF(LEN(INDEX('Licences'!$D$4:$D$503,_calc!$E$391))=0,"",INDEX('Licences'!$D$4:$D$503,_calc!$E$391))&amp;". ")&amp;IF(LEN(IF(LEN(INDEX('Licences'!$C$4:$C$503,_calc!$E$391))=0,"",INDEX('Licences'!$C$4:$C$503,_calc!$E$391)))=0,"","Issuer: "&amp;IF(LEN(INDEX('Licences'!$C$4:$C$503,_calc!$E$391))=0,"",INDEX('Licences'!$C$4:$C$503,_calc!$E$391))&amp;". ")&amp;IF(LEN(IF(LEN(INDEX('Licences'!$E$4:$E$503,_calc!$E$391))=0,"",INDEX('Licences'!$E$4:$E$503,_calc!$E$391)))=0,"","Site: "&amp;IF(LEN(INDEX('Licences'!$E$4:$E$503,_calc!$E$391))=0,"",INDEX('Licences'!$E$4:$E$503,_calc!$E$391))&amp;". ")&amp;IF(LEN(IF(LEN(INDEX('Licences'!$F$4:$F$503,_calc!$E$391))=0,"",INDEX('Licences'!$F$4:$F$503,_calc!$E$391)))=0,"","Owner: "&amp;IF(LEN(INDEX('Licences'!$F$4:$F$503,_calc!$E$391))=0,"",INDEX('Licences'!$F$4:$F$503,_calc!$E$391))&amp;". ")&amp;IF(LEN(IF(LEN(INDEX('Licences'!$R$4:$R$503,_calc!$E$391))=0,"",INDEX('Licences'!$R$4:$R$503,_calc!$E$391)))=0,"",IF(LEN(INDEX('Licences'!$R$4:$R$503,_calc!$E$391))=0,"",INDEX('Licences'!$R$4:$R$503,_calc!$E$391)))))</f>
        <v/>
      </c>
      <c r="G389" s="44">
        <f>IF(_calc!$E$391="","",IF(LEN(INDEX('Licences'!$Q$4:$Q$503,_calc!$E$391))=0,"",INDEX('Licences'!$Q$4:$Q$503,_calc!$E$391)))</f>
        <v/>
      </c>
      <c r="H389" s="44">
        <f>IF(_calc!$E$391="","",IF(LEN(INDEX('Licences'!$O$4:$O$503,_calc!$E$391))=0,"",INDEX('Licences'!$O$4:$O$503,_calc!$E$391)))</f>
        <v/>
      </c>
      <c r="I389" s="44">
        <f>IF(_calc!$E$391="","",IF(LEN(INDEX('Licences'!$P$4:$P$503,_calc!$E$391))=0,"",INDEX('Licences'!$P$4:$P$503,_calc!$E$391)))</f>
        <v/>
      </c>
      <c r="K389" s="44">
        <f>IF(_calc!$E$391="","",IF(LEN(INDEX('Licences'!$G$4:$G$503,_calc!$E$391))=0,"",INDEX('Licences'!$G$4:$G$503,_calc!$E$391)))</f>
        <v/>
      </c>
    </row>
    <row r="390">
      <c r="A390" s="44">
        <f>IF(_calc!$E$392="","",IF(LEN(INDEX('Licences'!$A$4:$A$503,_calc!$E$392))=0,"",INDEX('Licences'!$A$4:$A$503,_calc!$E$392)))</f>
        <v/>
      </c>
      <c r="B390" s="44">
        <f>IF(_calc!$E$392="","",IF(ISNUMBER(INDEX('Licences'!$J$4:$J$503,_calc!$E$392)),TEXT(INDEX('Licences'!$J$4:$J$503,_calc!$E$392),"yyyy-mm-dd"),""))</f>
        <v/>
      </c>
      <c r="C390" s="44">
        <f>IF(_calc!$E$392="","",IF(LEN(INDEX('Licences'!$B$4:$B$503,_calc!$E$392))=0,"",INDEX('Licences'!$B$4:$B$503,_calc!$E$392)))</f>
        <v/>
      </c>
      <c r="D390" s="44">
        <f>IF(_calc!$E$392="","",IF(ISNUMBER(INDEX('Licences'!$I$4:$I$503,_calc!$E$392)),TEXT(INDEX('Licences'!$I$4:$I$503,_calc!$E$392),"yyyy-mm-dd"),""))</f>
        <v/>
      </c>
      <c r="E390" s="44">
        <f>IF(_calc!$E$392="","",IF(LEN(INDEX('Licences'!$H$4:$H$503,_calc!$E$392))=0,"",INDEX('Licences'!$H$4:$H$503,_calc!$E$392)))</f>
        <v/>
      </c>
      <c r="F390" s="44">
        <f>IF(_calc!$E$392="","",TRIM(IF(LEN(IF(LEN(INDEX('Licences'!$D$4:$D$503,_calc!$E$392))=0,"",INDEX('Licences'!$D$4:$D$503,_calc!$E$392)))=0,"","Ref: "&amp;IF(LEN(INDEX('Licences'!$D$4:$D$503,_calc!$E$392))=0,"",INDEX('Licences'!$D$4:$D$503,_calc!$E$392))&amp;". ")&amp;IF(LEN(IF(LEN(INDEX('Licences'!$C$4:$C$503,_calc!$E$392))=0,"",INDEX('Licences'!$C$4:$C$503,_calc!$E$392)))=0,"","Issuer: "&amp;IF(LEN(INDEX('Licences'!$C$4:$C$503,_calc!$E$392))=0,"",INDEX('Licences'!$C$4:$C$503,_calc!$E$392))&amp;". ")&amp;IF(LEN(IF(LEN(INDEX('Licences'!$E$4:$E$503,_calc!$E$392))=0,"",INDEX('Licences'!$E$4:$E$503,_calc!$E$392)))=0,"","Site: "&amp;IF(LEN(INDEX('Licences'!$E$4:$E$503,_calc!$E$392))=0,"",INDEX('Licences'!$E$4:$E$503,_calc!$E$392))&amp;". ")&amp;IF(LEN(IF(LEN(INDEX('Licences'!$F$4:$F$503,_calc!$E$392))=0,"",INDEX('Licences'!$F$4:$F$503,_calc!$E$392)))=0,"","Owner: "&amp;IF(LEN(INDEX('Licences'!$F$4:$F$503,_calc!$E$392))=0,"",INDEX('Licences'!$F$4:$F$503,_calc!$E$392))&amp;". ")&amp;IF(LEN(IF(LEN(INDEX('Licences'!$R$4:$R$503,_calc!$E$392))=0,"",INDEX('Licences'!$R$4:$R$503,_calc!$E$392)))=0,"",IF(LEN(INDEX('Licences'!$R$4:$R$503,_calc!$E$392))=0,"",INDEX('Licences'!$R$4:$R$503,_calc!$E$392)))))</f>
        <v/>
      </c>
      <c r="G390" s="44">
        <f>IF(_calc!$E$392="","",IF(LEN(INDEX('Licences'!$Q$4:$Q$503,_calc!$E$392))=0,"",INDEX('Licences'!$Q$4:$Q$503,_calc!$E$392)))</f>
        <v/>
      </c>
      <c r="H390" s="44">
        <f>IF(_calc!$E$392="","",IF(LEN(INDEX('Licences'!$O$4:$O$503,_calc!$E$392))=0,"",INDEX('Licences'!$O$4:$O$503,_calc!$E$392)))</f>
        <v/>
      </c>
      <c r="I390" s="44">
        <f>IF(_calc!$E$392="","",IF(LEN(INDEX('Licences'!$P$4:$P$503,_calc!$E$392))=0,"",INDEX('Licences'!$P$4:$P$503,_calc!$E$392)))</f>
        <v/>
      </c>
      <c r="K390" s="44">
        <f>IF(_calc!$E$392="","",IF(LEN(INDEX('Licences'!$G$4:$G$503,_calc!$E$392))=0,"",INDEX('Licences'!$G$4:$G$503,_calc!$E$392)))</f>
        <v/>
      </c>
    </row>
    <row r="391">
      <c r="A391" s="44">
        <f>IF(_calc!$E$393="","",IF(LEN(INDEX('Licences'!$A$4:$A$503,_calc!$E$393))=0,"",INDEX('Licences'!$A$4:$A$503,_calc!$E$393)))</f>
        <v/>
      </c>
      <c r="B391" s="44">
        <f>IF(_calc!$E$393="","",IF(ISNUMBER(INDEX('Licences'!$J$4:$J$503,_calc!$E$393)),TEXT(INDEX('Licences'!$J$4:$J$503,_calc!$E$393),"yyyy-mm-dd"),""))</f>
        <v/>
      </c>
      <c r="C391" s="44">
        <f>IF(_calc!$E$393="","",IF(LEN(INDEX('Licences'!$B$4:$B$503,_calc!$E$393))=0,"",INDEX('Licences'!$B$4:$B$503,_calc!$E$393)))</f>
        <v/>
      </c>
      <c r="D391" s="44">
        <f>IF(_calc!$E$393="","",IF(ISNUMBER(INDEX('Licences'!$I$4:$I$503,_calc!$E$393)),TEXT(INDEX('Licences'!$I$4:$I$503,_calc!$E$393),"yyyy-mm-dd"),""))</f>
        <v/>
      </c>
      <c r="E391" s="44">
        <f>IF(_calc!$E$393="","",IF(LEN(INDEX('Licences'!$H$4:$H$503,_calc!$E$393))=0,"",INDEX('Licences'!$H$4:$H$503,_calc!$E$393)))</f>
        <v/>
      </c>
      <c r="F391" s="44">
        <f>IF(_calc!$E$393="","",TRIM(IF(LEN(IF(LEN(INDEX('Licences'!$D$4:$D$503,_calc!$E$393))=0,"",INDEX('Licences'!$D$4:$D$503,_calc!$E$393)))=0,"","Ref: "&amp;IF(LEN(INDEX('Licences'!$D$4:$D$503,_calc!$E$393))=0,"",INDEX('Licences'!$D$4:$D$503,_calc!$E$393))&amp;". ")&amp;IF(LEN(IF(LEN(INDEX('Licences'!$C$4:$C$503,_calc!$E$393))=0,"",INDEX('Licences'!$C$4:$C$503,_calc!$E$393)))=0,"","Issuer: "&amp;IF(LEN(INDEX('Licences'!$C$4:$C$503,_calc!$E$393))=0,"",INDEX('Licences'!$C$4:$C$503,_calc!$E$393))&amp;". ")&amp;IF(LEN(IF(LEN(INDEX('Licences'!$E$4:$E$503,_calc!$E$393))=0,"",INDEX('Licences'!$E$4:$E$503,_calc!$E$393)))=0,"","Site: "&amp;IF(LEN(INDEX('Licences'!$E$4:$E$503,_calc!$E$393))=0,"",INDEX('Licences'!$E$4:$E$503,_calc!$E$393))&amp;". ")&amp;IF(LEN(IF(LEN(INDEX('Licences'!$F$4:$F$503,_calc!$E$393))=0,"",INDEX('Licences'!$F$4:$F$503,_calc!$E$393)))=0,"","Owner: "&amp;IF(LEN(INDEX('Licences'!$F$4:$F$503,_calc!$E$393))=0,"",INDEX('Licences'!$F$4:$F$503,_calc!$E$393))&amp;". ")&amp;IF(LEN(IF(LEN(INDEX('Licences'!$R$4:$R$503,_calc!$E$393))=0,"",INDEX('Licences'!$R$4:$R$503,_calc!$E$393)))=0,"",IF(LEN(INDEX('Licences'!$R$4:$R$503,_calc!$E$393))=0,"",INDEX('Licences'!$R$4:$R$503,_calc!$E$393)))))</f>
        <v/>
      </c>
      <c r="G391" s="44">
        <f>IF(_calc!$E$393="","",IF(LEN(INDEX('Licences'!$Q$4:$Q$503,_calc!$E$393))=0,"",INDEX('Licences'!$Q$4:$Q$503,_calc!$E$393)))</f>
        <v/>
      </c>
      <c r="H391" s="44">
        <f>IF(_calc!$E$393="","",IF(LEN(INDEX('Licences'!$O$4:$O$503,_calc!$E$393))=0,"",INDEX('Licences'!$O$4:$O$503,_calc!$E$393)))</f>
        <v/>
      </c>
      <c r="I391" s="44">
        <f>IF(_calc!$E$393="","",IF(LEN(INDEX('Licences'!$P$4:$P$503,_calc!$E$393))=0,"",INDEX('Licences'!$P$4:$P$503,_calc!$E$393)))</f>
        <v/>
      </c>
      <c r="K391" s="44">
        <f>IF(_calc!$E$393="","",IF(LEN(INDEX('Licences'!$G$4:$G$503,_calc!$E$393))=0,"",INDEX('Licences'!$G$4:$G$503,_calc!$E$393)))</f>
        <v/>
      </c>
    </row>
    <row r="392">
      <c r="A392" s="44">
        <f>IF(_calc!$E$394="","",IF(LEN(INDEX('Licences'!$A$4:$A$503,_calc!$E$394))=0,"",INDEX('Licences'!$A$4:$A$503,_calc!$E$394)))</f>
        <v/>
      </c>
      <c r="B392" s="44">
        <f>IF(_calc!$E$394="","",IF(ISNUMBER(INDEX('Licences'!$J$4:$J$503,_calc!$E$394)),TEXT(INDEX('Licences'!$J$4:$J$503,_calc!$E$394),"yyyy-mm-dd"),""))</f>
        <v/>
      </c>
      <c r="C392" s="44">
        <f>IF(_calc!$E$394="","",IF(LEN(INDEX('Licences'!$B$4:$B$503,_calc!$E$394))=0,"",INDEX('Licences'!$B$4:$B$503,_calc!$E$394)))</f>
        <v/>
      </c>
      <c r="D392" s="44">
        <f>IF(_calc!$E$394="","",IF(ISNUMBER(INDEX('Licences'!$I$4:$I$503,_calc!$E$394)),TEXT(INDEX('Licences'!$I$4:$I$503,_calc!$E$394),"yyyy-mm-dd"),""))</f>
        <v/>
      </c>
      <c r="E392" s="44">
        <f>IF(_calc!$E$394="","",IF(LEN(INDEX('Licences'!$H$4:$H$503,_calc!$E$394))=0,"",INDEX('Licences'!$H$4:$H$503,_calc!$E$394)))</f>
        <v/>
      </c>
      <c r="F392" s="44">
        <f>IF(_calc!$E$394="","",TRIM(IF(LEN(IF(LEN(INDEX('Licences'!$D$4:$D$503,_calc!$E$394))=0,"",INDEX('Licences'!$D$4:$D$503,_calc!$E$394)))=0,"","Ref: "&amp;IF(LEN(INDEX('Licences'!$D$4:$D$503,_calc!$E$394))=0,"",INDEX('Licences'!$D$4:$D$503,_calc!$E$394))&amp;". ")&amp;IF(LEN(IF(LEN(INDEX('Licences'!$C$4:$C$503,_calc!$E$394))=0,"",INDEX('Licences'!$C$4:$C$503,_calc!$E$394)))=0,"","Issuer: "&amp;IF(LEN(INDEX('Licences'!$C$4:$C$503,_calc!$E$394))=0,"",INDEX('Licences'!$C$4:$C$503,_calc!$E$394))&amp;". ")&amp;IF(LEN(IF(LEN(INDEX('Licences'!$E$4:$E$503,_calc!$E$394))=0,"",INDEX('Licences'!$E$4:$E$503,_calc!$E$394)))=0,"","Site: "&amp;IF(LEN(INDEX('Licences'!$E$4:$E$503,_calc!$E$394))=0,"",INDEX('Licences'!$E$4:$E$503,_calc!$E$394))&amp;". ")&amp;IF(LEN(IF(LEN(INDEX('Licences'!$F$4:$F$503,_calc!$E$394))=0,"",INDEX('Licences'!$F$4:$F$503,_calc!$E$394)))=0,"","Owner: "&amp;IF(LEN(INDEX('Licences'!$F$4:$F$503,_calc!$E$394))=0,"",INDEX('Licences'!$F$4:$F$503,_calc!$E$394))&amp;". ")&amp;IF(LEN(IF(LEN(INDEX('Licences'!$R$4:$R$503,_calc!$E$394))=0,"",INDEX('Licences'!$R$4:$R$503,_calc!$E$394)))=0,"",IF(LEN(INDEX('Licences'!$R$4:$R$503,_calc!$E$394))=0,"",INDEX('Licences'!$R$4:$R$503,_calc!$E$394)))))</f>
        <v/>
      </c>
      <c r="G392" s="44">
        <f>IF(_calc!$E$394="","",IF(LEN(INDEX('Licences'!$Q$4:$Q$503,_calc!$E$394))=0,"",INDEX('Licences'!$Q$4:$Q$503,_calc!$E$394)))</f>
        <v/>
      </c>
      <c r="H392" s="44">
        <f>IF(_calc!$E$394="","",IF(LEN(INDEX('Licences'!$O$4:$O$503,_calc!$E$394))=0,"",INDEX('Licences'!$O$4:$O$503,_calc!$E$394)))</f>
        <v/>
      </c>
      <c r="I392" s="44">
        <f>IF(_calc!$E$394="","",IF(LEN(INDEX('Licences'!$P$4:$P$503,_calc!$E$394))=0,"",INDEX('Licences'!$P$4:$P$503,_calc!$E$394)))</f>
        <v/>
      </c>
      <c r="K392" s="44">
        <f>IF(_calc!$E$394="","",IF(LEN(INDEX('Licences'!$G$4:$G$503,_calc!$E$394))=0,"",INDEX('Licences'!$G$4:$G$503,_calc!$E$394)))</f>
        <v/>
      </c>
    </row>
    <row r="393">
      <c r="A393" s="44">
        <f>IF(_calc!$E$395="","",IF(LEN(INDEX('Licences'!$A$4:$A$503,_calc!$E$395))=0,"",INDEX('Licences'!$A$4:$A$503,_calc!$E$395)))</f>
        <v/>
      </c>
      <c r="B393" s="44">
        <f>IF(_calc!$E$395="","",IF(ISNUMBER(INDEX('Licences'!$J$4:$J$503,_calc!$E$395)),TEXT(INDEX('Licences'!$J$4:$J$503,_calc!$E$395),"yyyy-mm-dd"),""))</f>
        <v/>
      </c>
      <c r="C393" s="44">
        <f>IF(_calc!$E$395="","",IF(LEN(INDEX('Licences'!$B$4:$B$503,_calc!$E$395))=0,"",INDEX('Licences'!$B$4:$B$503,_calc!$E$395)))</f>
        <v/>
      </c>
      <c r="D393" s="44">
        <f>IF(_calc!$E$395="","",IF(ISNUMBER(INDEX('Licences'!$I$4:$I$503,_calc!$E$395)),TEXT(INDEX('Licences'!$I$4:$I$503,_calc!$E$395),"yyyy-mm-dd"),""))</f>
        <v/>
      </c>
      <c r="E393" s="44">
        <f>IF(_calc!$E$395="","",IF(LEN(INDEX('Licences'!$H$4:$H$503,_calc!$E$395))=0,"",INDEX('Licences'!$H$4:$H$503,_calc!$E$395)))</f>
        <v/>
      </c>
      <c r="F393" s="44">
        <f>IF(_calc!$E$395="","",TRIM(IF(LEN(IF(LEN(INDEX('Licences'!$D$4:$D$503,_calc!$E$395))=0,"",INDEX('Licences'!$D$4:$D$503,_calc!$E$395)))=0,"","Ref: "&amp;IF(LEN(INDEX('Licences'!$D$4:$D$503,_calc!$E$395))=0,"",INDEX('Licences'!$D$4:$D$503,_calc!$E$395))&amp;". ")&amp;IF(LEN(IF(LEN(INDEX('Licences'!$C$4:$C$503,_calc!$E$395))=0,"",INDEX('Licences'!$C$4:$C$503,_calc!$E$395)))=0,"","Issuer: "&amp;IF(LEN(INDEX('Licences'!$C$4:$C$503,_calc!$E$395))=0,"",INDEX('Licences'!$C$4:$C$503,_calc!$E$395))&amp;". ")&amp;IF(LEN(IF(LEN(INDEX('Licences'!$E$4:$E$503,_calc!$E$395))=0,"",INDEX('Licences'!$E$4:$E$503,_calc!$E$395)))=0,"","Site: "&amp;IF(LEN(INDEX('Licences'!$E$4:$E$503,_calc!$E$395))=0,"",INDEX('Licences'!$E$4:$E$503,_calc!$E$395))&amp;". ")&amp;IF(LEN(IF(LEN(INDEX('Licences'!$F$4:$F$503,_calc!$E$395))=0,"",INDEX('Licences'!$F$4:$F$503,_calc!$E$395)))=0,"","Owner: "&amp;IF(LEN(INDEX('Licences'!$F$4:$F$503,_calc!$E$395))=0,"",INDEX('Licences'!$F$4:$F$503,_calc!$E$395))&amp;". ")&amp;IF(LEN(IF(LEN(INDEX('Licences'!$R$4:$R$503,_calc!$E$395))=0,"",INDEX('Licences'!$R$4:$R$503,_calc!$E$395)))=0,"",IF(LEN(INDEX('Licences'!$R$4:$R$503,_calc!$E$395))=0,"",INDEX('Licences'!$R$4:$R$503,_calc!$E$395)))))</f>
        <v/>
      </c>
      <c r="G393" s="44">
        <f>IF(_calc!$E$395="","",IF(LEN(INDEX('Licences'!$Q$4:$Q$503,_calc!$E$395))=0,"",INDEX('Licences'!$Q$4:$Q$503,_calc!$E$395)))</f>
        <v/>
      </c>
      <c r="H393" s="44">
        <f>IF(_calc!$E$395="","",IF(LEN(INDEX('Licences'!$O$4:$O$503,_calc!$E$395))=0,"",INDEX('Licences'!$O$4:$O$503,_calc!$E$395)))</f>
        <v/>
      </c>
      <c r="I393" s="44">
        <f>IF(_calc!$E$395="","",IF(LEN(INDEX('Licences'!$P$4:$P$503,_calc!$E$395))=0,"",INDEX('Licences'!$P$4:$P$503,_calc!$E$395)))</f>
        <v/>
      </c>
      <c r="K393" s="44">
        <f>IF(_calc!$E$395="","",IF(LEN(INDEX('Licences'!$G$4:$G$503,_calc!$E$395))=0,"",INDEX('Licences'!$G$4:$G$503,_calc!$E$395)))</f>
        <v/>
      </c>
    </row>
    <row r="394">
      <c r="A394" s="44">
        <f>IF(_calc!$E$396="","",IF(LEN(INDEX('Licences'!$A$4:$A$503,_calc!$E$396))=0,"",INDEX('Licences'!$A$4:$A$503,_calc!$E$396)))</f>
        <v/>
      </c>
      <c r="B394" s="44">
        <f>IF(_calc!$E$396="","",IF(ISNUMBER(INDEX('Licences'!$J$4:$J$503,_calc!$E$396)),TEXT(INDEX('Licences'!$J$4:$J$503,_calc!$E$396),"yyyy-mm-dd"),""))</f>
        <v/>
      </c>
      <c r="C394" s="44">
        <f>IF(_calc!$E$396="","",IF(LEN(INDEX('Licences'!$B$4:$B$503,_calc!$E$396))=0,"",INDEX('Licences'!$B$4:$B$503,_calc!$E$396)))</f>
        <v/>
      </c>
      <c r="D394" s="44">
        <f>IF(_calc!$E$396="","",IF(ISNUMBER(INDEX('Licences'!$I$4:$I$503,_calc!$E$396)),TEXT(INDEX('Licences'!$I$4:$I$503,_calc!$E$396),"yyyy-mm-dd"),""))</f>
        <v/>
      </c>
      <c r="E394" s="44">
        <f>IF(_calc!$E$396="","",IF(LEN(INDEX('Licences'!$H$4:$H$503,_calc!$E$396))=0,"",INDEX('Licences'!$H$4:$H$503,_calc!$E$396)))</f>
        <v/>
      </c>
      <c r="F394" s="44">
        <f>IF(_calc!$E$396="","",TRIM(IF(LEN(IF(LEN(INDEX('Licences'!$D$4:$D$503,_calc!$E$396))=0,"",INDEX('Licences'!$D$4:$D$503,_calc!$E$396)))=0,"","Ref: "&amp;IF(LEN(INDEX('Licences'!$D$4:$D$503,_calc!$E$396))=0,"",INDEX('Licences'!$D$4:$D$503,_calc!$E$396))&amp;". ")&amp;IF(LEN(IF(LEN(INDEX('Licences'!$C$4:$C$503,_calc!$E$396))=0,"",INDEX('Licences'!$C$4:$C$503,_calc!$E$396)))=0,"","Issuer: "&amp;IF(LEN(INDEX('Licences'!$C$4:$C$503,_calc!$E$396))=0,"",INDEX('Licences'!$C$4:$C$503,_calc!$E$396))&amp;". ")&amp;IF(LEN(IF(LEN(INDEX('Licences'!$E$4:$E$503,_calc!$E$396))=0,"",INDEX('Licences'!$E$4:$E$503,_calc!$E$396)))=0,"","Site: "&amp;IF(LEN(INDEX('Licences'!$E$4:$E$503,_calc!$E$396))=0,"",INDEX('Licences'!$E$4:$E$503,_calc!$E$396))&amp;". ")&amp;IF(LEN(IF(LEN(INDEX('Licences'!$F$4:$F$503,_calc!$E$396))=0,"",INDEX('Licences'!$F$4:$F$503,_calc!$E$396)))=0,"","Owner: "&amp;IF(LEN(INDEX('Licences'!$F$4:$F$503,_calc!$E$396))=0,"",INDEX('Licences'!$F$4:$F$503,_calc!$E$396))&amp;". ")&amp;IF(LEN(IF(LEN(INDEX('Licences'!$R$4:$R$503,_calc!$E$396))=0,"",INDEX('Licences'!$R$4:$R$503,_calc!$E$396)))=0,"",IF(LEN(INDEX('Licences'!$R$4:$R$503,_calc!$E$396))=0,"",INDEX('Licences'!$R$4:$R$503,_calc!$E$396)))))</f>
        <v/>
      </c>
      <c r="G394" s="44">
        <f>IF(_calc!$E$396="","",IF(LEN(INDEX('Licences'!$Q$4:$Q$503,_calc!$E$396))=0,"",INDEX('Licences'!$Q$4:$Q$503,_calc!$E$396)))</f>
        <v/>
      </c>
      <c r="H394" s="44">
        <f>IF(_calc!$E$396="","",IF(LEN(INDEX('Licences'!$O$4:$O$503,_calc!$E$396))=0,"",INDEX('Licences'!$O$4:$O$503,_calc!$E$396)))</f>
        <v/>
      </c>
      <c r="I394" s="44">
        <f>IF(_calc!$E$396="","",IF(LEN(INDEX('Licences'!$P$4:$P$503,_calc!$E$396))=0,"",INDEX('Licences'!$P$4:$P$503,_calc!$E$396)))</f>
        <v/>
      </c>
      <c r="K394" s="44">
        <f>IF(_calc!$E$396="","",IF(LEN(INDEX('Licences'!$G$4:$G$503,_calc!$E$396))=0,"",INDEX('Licences'!$G$4:$G$503,_calc!$E$396)))</f>
        <v/>
      </c>
    </row>
    <row r="395">
      <c r="A395" s="44">
        <f>IF(_calc!$E$397="","",IF(LEN(INDEX('Licences'!$A$4:$A$503,_calc!$E$397))=0,"",INDEX('Licences'!$A$4:$A$503,_calc!$E$397)))</f>
        <v/>
      </c>
      <c r="B395" s="44">
        <f>IF(_calc!$E$397="","",IF(ISNUMBER(INDEX('Licences'!$J$4:$J$503,_calc!$E$397)),TEXT(INDEX('Licences'!$J$4:$J$503,_calc!$E$397),"yyyy-mm-dd"),""))</f>
        <v/>
      </c>
      <c r="C395" s="44">
        <f>IF(_calc!$E$397="","",IF(LEN(INDEX('Licences'!$B$4:$B$503,_calc!$E$397))=0,"",INDEX('Licences'!$B$4:$B$503,_calc!$E$397)))</f>
        <v/>
      </c>
      <c r="D395" s="44">
        <f>IF(_calc!$E$397="","",IF(ISNUMBER(INDEX('Licences'!$I$4:$I$503,_calc!$E$397)),TEXT(INDEX('Licences'!$I$4:$I$503,_calc!$E$397),"yyyy-mm-dd"),""))</f>
        <v/>
      </c>
      <c r="E395" s="44">
        <f>IF(_calc!$E$397="","",IF(LEN(INDEX('Licences'!$H$4:$H$503,_calc!$E$397))=0,"",INDEX('Licences'!$H$4:$H$503,_calc!$E$397)))</f>
        <v/>
      </c>
      <c r="F395" s="44">
        <f>IF(_calc!$E$397="","",TRIM(IF(LEN(IF(LEN(INDEX('Licences'!$D$4:$D$503,_calc!$E$397))=0,"",INDEX('Licences'!$D$4:$D$503,_calc!$E$397)))=0,"","Ref: "&amp;IF(LEN(INDEX('Licences'!$D$4:$D$503,_calc!$E$397))=0,"",INDEX('Licences'!$D$4:$D$503,_calc!$E$397))&amp;". ")&amp;IF(LEN(IF(LEN(INDEX('Licences'!$C$4:$C$503,_calc!$E$397))=0,"",INDEX('Licences'!$C$4:$C$503,_calc!$E$397)))=0,"","Issuer: "&amp;IF(LEN(INDEX('Licences'!$C$4:$C$503,_calc!$E$397))=0,"",INDEX('Licences'!$C$4:$C$503,_calc!$E$397))&amp;". ")&amp;IF(LEN(IF(LEN(INDEX('Licences'!$E$4:$E$503,_calc!$E$397))=0,"",INDEX('Licences'!$E$4:$E$503,_calc!$E$397)))=0,"","Site: "&amp;IF(LEN(INDEX('Licences'!$E$4:$E$503,_calc!$E$397))=0,"",INDEX('Licences'!$E$4:$E$503,_calc!$E$397))&amp;". ")&amp;IF(LEN(IF(LEN(INDEX('Licences'!$F$4:$F$503,_calc!$E$397))=0,"",INDEX('Licences'!$F$4:$F$503,_calc!$E$397)))=0,"","Owner: "&amp;IF(LEN(INDEX('Licences'!$F$4:$F$503,_calc!$E$397))=0,"",INDEX('Licences'!$F$4:$F$503,_calc!$E$397))&amp;". ")&amp;IF(LEN(IF(LEN(INDEX('Licences'!$R$4:$R$503,_calc!$E$397))=0,"",INDEX('Licences'!$R$4:$R$503,_calc!$E$397)))=0,"",IF(LEN(INDEX('Licences'!$R$4:$R$503,_calc!$E$397))=0,"",INDEX('Licences'!$R$4:$R$503,_calc!$E$397)))))</f>
        <v/>
      </c>
      <c r="G395" s="44">
        <f>IF(_calc!$E$397="","",IF(LEN(INDEX('Licences'!$Q$4:$Q$503,_calc!$E$397))=0,"",INDEX('Licences'!$Q$4:$Q$503,_calc!$E$397)))</f>
        <v/>
      </c>
      <c r="H395" s="44">
        <f>IF(_calc!$E$397="","",IF(LEN(INDEX('Licences'!$O$4:$O$503,_calc!$E$397))=0,"",INDEX('Licences'!$O$4:$O$503,_calc!$E$397)))</f>
        <v/>
      </c>
      <c r="I395" s="44">
        <f>IF(_calc!$E$397="","",IF(LEN(INDEX('Licences'!$P$4:$P$503,_calc!$E$397))=0,"",INDEX('Licences'!$P$4:$P$503,_calc!$E$397)))</f>
        <v/>
      </c>
      <c r="K395" s="44">
        <f>IF(_calc!$E$397="","",IF(LEN(INDEX('Licences'!$G$4:$G$503,_calc!$E$397))=0,"",INDEX('Licences'!$G$4:$G$503,_calc!$E$397)))</f>
        <v/>
      </c>
    </row>
    <row r="396">
      <c r="A396" s="44">
        <f>IF(_calc!$E$398="","",IF(LEN(INDEX('Licences'!$A$4:$A$503,_calc!$E$398))=0,"",INDEX('Licences'!$A$4:$A$503,_calc!$E$398)))</f>
        <v/>
      </c>
      <c r="B396" s="44">
        <f>IF(_calc!$E$398="","",IF(ISNUMBER(INDEX('Licences'!$J$4:$J$503,_calc!$E$398)),TEXT(INDEX('Licences'!$J$4:$J$503,_calc!$E$398),"yyyy-mm-dd"),""))</f>
        <v/>
      </c>
      <c r="C396" s="44">
        <f>IF(_calc!$E$398="","",IF(LEN(INDEX('Licences'!$B$4:$B$503,_calc!$E$398))=0,"",INDEX('Licences'!$B$4:$B$503,_calc!$E$398)))</f>
        <v/>
      </c>
      <c r="D396" s="44">
        <f>IF(_calc!$E$398="","",IF(ISNUMBER(INDEX('Licences'!$I$4:$I$503,_calc!$E$398)),TEXT(INDEX('Licences'!$I$4:$I$503,_calc!$E$398),"yyyy-mm-dd"),""))</f>
        <v/>
      </c>
      <c r="E396" s="44">
        <f>IF(_calc!$E$398="","",IF(LEN(INDEX('Licences'!$H$4:$H$503,_calc!$E$398))=0,"",INDEX('Licences'!$H$4:$H$503,_calc!$E$398)))</f>
        <v/>
      </c>
      <c r="F396" s="44">
        <f>IF(_calc!$E$398="","",TRIM(IF(LEN(IF(LEN(INDEX('Licences'!$D$4:$D$503,_calc!$E$398))=0,"",INDEX('Licences'!$D$4:$D$503,_calc!$E$398)))=0,"","Ref: "&amp;IF(LEN(INDEX('Licences'!$D$4:$D$503,_calc!$E$398))=0,"",INDEX('Licences'!$D$4:$D$503,_calc!$E$398))&amp;". ")&amp;IF(LEN(IF(LEN(INDEX('Licences'!$C$4:$C$503,_calc!$E$398))=0,"",INDEX('Licences'!$C$4:$C$503,_calc!$E$398)))=0,"","Issuer: "&amp;IF(LEN(INDEX('Licences'!$C$4:$C$503,_calc!$E$398))=0,"",INDEX('Licences'!$C$4:$C$503,_calc!$E$398))&amp;". ")&amp;IF(LEN(IF(LEN(INDEX('Licences'!$E$4:$E$503,_calc!$E$398))=0,"",INDEX('Licences'!$E$4:$E$503,_calc!$E$398)))=0,"","Site: "&amp;IF(LEN(INDEX('Licences'!$E$4:$E$503,_calc!$E$398))=0,"",INDEX('Licences'!$E$4:$E$503,_calc!$E$398))&amp;". ")&amp;IF(LEN(IF(LEN(INDEX('Licences'!$F$4:$F$503,_calc!$E$398))=0,"",INDEX('Licences'!$F$4:$F$503,_calc!$E$398)))=0,"","Owner: "&amp;IF(LEN(INDEX('Licences'!$F$4:$F$503,_calc!$E$398))=0,"",INDEX('Licences'!$F$4:$F$503,_calc!$E$398))&amp;". ")&amp;IF(LEN(IF(LEN(INDEX('Licences'!$R$4:$R$503,_calc!$E$398))=0,"",INDEX('Licences'!$R$4:$R$503,_calc!$E$398)))=0,"",IF(LEN(INDEX('Licences'!$R$4:$R$503,_calc!$E$398))=0,"",INDEX('Licences'!$R$4:$R$503,_calc!$E$398)))))</f>
        <v/>
      </c>
      <c r="G396" s="44">
        <f>IF(_calc!$E$398="","",IF(LEN(INDEX('Licences'!$Q$4:$Q$503,_calc!$E$398))=0,"",INDEX('Licences'!$Q$4:$Q$503,_calc!$E$398)))</f>
        <v/>
      </c>
      <c r="H396" s="44">
        <f>IF(_calc!$E$398="","",IF(LEN(INDEX('Licences'!$O$4:$O$503,_calc!$E$398))=0,"",INDEX('Licences'!$O$4:$O$503,_calc!$E$398)))</f>
        <v/>
      </c>
      <c r="I396" s="44">
        <f>IF(_calc!$E$398="","",IF(LEN(INDEX('Licences'!$P$4:$P$503,_calc!$E$398))=0,"",INDEX('Licences'!$P$4:$P$503,_calc!$E$398)))</f>
        <v/>
      </c>
      <c r="K396" s="44">
        <f>IF(_calc!$E$398="","",IF(LEN(INDEX('Licences'!$G$4:$G$503,_calc!$E$398))=0,"",INDEX('Licences'!$G$4:$G$503,_calc!$E$398)))</f>
        <v/>
      </c>
    </row>
    <row r="397">
      <c r="A397" s="44">
        <f>IF(_calc!$E$399="","",IF(LEN(INDEX('Licences'!$A$4:$A$503,_calc!$E$399))=0,"",INDEX('Licences'!$A$4:$A$503,_calc!$E$399)))</f>
        <v/>
      </c>
      <c r="B397" s="44">
        <f>IF(_calc!$E$399="","",IF(ISNUMBER(INDEX('Licences'!$J$4:$J$503,_calc!$E$399)),TEXT(INDEX('Licences'!$J$4:$J$503,_calc!$E$399),"yyyy-mm-dd"),""))</f>
        <v/>
      </c>
      <c r="C397" s="44">
        <f>IF(_calc!$E$399="","",IF(LEN(INDEX('Licences'!$B$4:$B$503,_calc!$E$399))=0,"",INDEX('Licences'!$B$4:$B$503,_calc!$E$399)))</f>
        <v/>
      </c>
      <c r="D397" s="44">
        <f>IF(_calc!$E$399="","",IF(ISNUMBER(INDEX('Licences'!$I$4:$I$503,_calc!$E$399)),TEXT(INDEX('Licences'!$I$4:$I$503,_calc!$E$399),"yyyy-mm-dd"),""))</f>
        <v/>
      </c>
      <c r="E397" s="44">
        <f>IF(_calc!$E$399="","",IF(LEN(INDEX('Licences'!$H$4:$H$503,_calc!$E$399))=0,"",INDEX('Licences'!$H$4:$H$503,_calc!$E$399)))</f>
        <v/>
      </c>
      <c r="F397" s="44">
        <f>IF(_calc!$E$399="","",TRIM(IF(LEN(IF(LEN(INDEX('Licences'!$D$4:$D$503,_calc!$E$399))=0,"",INDEX('Licences'!$D$4:$D$503,_calc!$E$399)))=0,"","Ref: "&amp;IF(LEN(INDEX('Licences'!$D$4:$D$503,_calc!$E$399))=0,"",INDEX('Licences'!$D$4:$D$503,_calc!$E$399))&amp;". ")&amp;IF(LEN(IF(LEN(INDEX('Licences'!$C$4:$C$503,_calc!$E$399))=0,"",INDEX('Licences'!$C$4:$C$503,_calc!$E$399)))=0,"","Issuer: "&amp;IF(LEN(INDEX('Licences'!$C$4:$C$503,_calc!$E$399))=0,"",INDEX('Licences'!$C$4:$C$503,_calc!$E$399))&amp;". ")&amp;IF(LEN(IF(LEN(INDEX('Licences'!$E$4:$E$503,_calc!$E$399))=0,"",INDEX('Licences'!$E$4:$E$503,_calc!$E$399)))=0,"","Site: "&amp;IF(LEN(INDEX('Licences'!$E$4:$E$503,_calc!$E$399))=0,"",INDEX('Licences'!$E$4:$E$503,_calc!$E$399))&amp;". ")&amp;IF(LEN(IF(LEN(INDEX('Licences'!$F$4:$F$503,_calc!$E$399))=0,"",INDEX('Licences'!$F$4:$F$503,_calc!$E$399)))=0,"","Owner: "&amp;IF(LEN(INDEX('Licences'!$F$4:$F$503,_calc!$E$399))=0,"",INDEX('Licences'!$F$4:$F$503,_calc!$E$399))&amp;". ")&amp;IF(LEN(IF(LEN(INDEX('Licences'!$R$4:$R$503,_calc!$E$399))=0,"",INDEX('Licences'!$R$4:$R$503,_calc!$E$399)))=0,"",IF(LEN(INDEX('Licences'!$R$4:$R$503,_calc!$E$399))=0,"",INDEX('Licences'!$R$4:$R$503,_calc!$E$399)))))</f>
        <v/>
      </c>
      <c r="G397" s="44">
        <f>IF(_calc!$E$399="","",IF(LEN(INDEX('Licences'!$Q$4:$Q$503,_calc!$E$399))=0,"",INDEX('Licences'!$Q$4:$Q$503,_calc!$E$399)))</f>
        <v/>
      </c>
      <c r="H397" s="44">
        <f>IF(_calc!$E$399="","",IF(LEN(INDEX('Licences'!$O$4:$O$503,_calc!$E$399))=0,"",INDEX('Licences'!$O$4:$O$503,_calc!$E$399)))</f>
        <v/>
      </c>
      <c r="I397" s="44">
        <f>IF(_calc!$E$399="","",IF(LEN(INDEX('Licences'!$P$4:$P$503,_calc!$E$399))=0,"",INDEX('Licences'!$P$4:$P$503,_calc!$E$399)))</f>
        <v/>
      </c>
      <c r="K397" s="44">
        <f>IF(_calc!$E$399="","",IF(LEN(INDEX('Licences'!$G$4:$G$503,_calc!$E$399))=0,"",INDEX('Licences'!$G$4:$G$503,_calc!$E$399)))</f>
        <v/>
      </c>
    </row>
    <row r="398">
      <c r="A398" s="44">
        <f>IF(_calc!$E$400="","",IF(LEN(INDEX('Licences'!$A$4:$A$503,_calc!$E$400))=0,"",INDEX('Licences'!$A$4:$A$503,_calc!$E$400)))</f>
        <v/>
      </c>
      <c r="B398" s="44">
        <f>IF(_calc!$E$400="","",IF(ISNUMBER(INDEX('Licences'!$J$4:$J$503,_calc!$E$400)),TEXT(INDEX('Licences'!$J$4:$J$503,_calc!$E$400),"yyyy-mm-dd"),""))</f>
        <v/>
      </c>
      <c r="C398" s="44">
        <f>IF(_calc!$E$400="","",IF(LEN(INDEX('Licences'!$B$4:$B$503,_calc!$E$400))=0,"",INDEX('Licences'!$B$4:$B$503,_calc!$E$400)))</f>
        <v/>
      </c>
      <c r="D398" s="44">
        <f>IF(_calc!$E$400="","",IF(ISNUMBER(INDEX('Licences'!$I$4:$I$503,_calc!$E$400)),TEXT(INDEX('Licences'!$I$4:$I$503,_calc!$E$400),"yyyy-mm-dd"),""))</f>
        <v/>
      </c>
      <c r="E398" s="44">
        <f>IF(_calc!$E$400="","",IF(LEN(INDEX('Licences'!$H$4:$H$503,_calc!$E$400))=0,"",INDEX('Licences'!$H$4:$H$503,_calc!$E$400)))</f>
        <v/>
      </c>
      <c r="F398" s="44">
        <f>IF(_calc!$E$400="","",TRIM(IF(LEN(IF(LEN(INDEX('Licences'!$D$4:$D$503,_calc!$E$400))=0,"",INDEX('Licences'!$D$4:$D$503,_calc!$E$400)))=0,"","Ref: "&amp;IF(LEN(INDEX('Licences'!$D$4:$D$503,_calc!$E$400))=0,"",INDEX('Licences'!$D$4:$D$503,_calc!$E$400))&amp;". ")&amp;IF(LEN(IF(LEN(INDEX('Licences'!$C$4:$C$503,_calc!$E$400))=0,"",INDEX('Licences'!$C$4:$C$503,_calc!$E$400)))=0,"","Issuer: "&amp;IF(LEN(INDEX('Licences'!$C$4:$C$503,_calc!$E$400))=0,"",INDEX('Licences'!$C$4:$C$503,_calc!$E$400))&amp;". ")&amp;IF(LEN(IF(LEN(INDEX('Licences'!$E$4:$E$503,_calc!$E$400))=0,"",INDEX('Licences'!$E$4:$E$503,_calc!$E$400)))=0,"","Site: "&amp;IF(LEN(INDEX('Licences'!$E$4:$E$503,_calc!$E$400))=0,"",INDEX('Licences'!$E$4:$E$503,_calc!$E$400))&amp;". ")&amp;IF(LEN(IF(LEN(INDEX('Licences'!$F$4:$F$503,_calc!$E$400))=0,"",INDEX('Licences'!$F$4:$F$503,_calc!$E$400)))=0,"","Owner: "&amp;IF(LEN(INDEX('Licences'!$F$4:$F$503,_calc!$E$400))=0,"",INDEX('Licences'!$F$4:$F$503,_calc!$E$400))&amp;". ")&amp;IF(LEN(IF(LEN(INDEX('Licences'!$R$4:$R$503,_calc!$E$400))=0,"",INDEX('Licences'!$R$4:$R$503,_calc!$E$400)))=0,"",IF(LEN(INDEX('Licences'!$R$4:$R$503,_calc!$E$400))=0,"",INDEX('Licences'!$R$4:$R$503,_calc!$E$400)))))</f>
        <v/>
      </c>
      <c r="G398" s="44">
        <f>IF(_calc!$E$400="","",IF(LEN(INDEX('Licences'!$Q$4:$Q$503,_calc!$E$400))=0,"",INDEX('Licences'!$Q$4:$Q$503,_calc!$E$400)))</f>
        <v/>
      </c>
      <c r="H398" s="44">
        <f>IF(_calc!$E$400="","",IF(LEN(INDEX('Licences'!$O$4:$O$503,_calc!$E$400))=0,"",INDEX('Licences'!$O$4:$O$503,_calc!$E$400)))</f>
        <v/>
      </c>
      <c r="I398" s="44">
        <f>IF(_calc!$E$400="","",IF(LEN(INDEX('Licences'!$P$4:$P$503,_calc!$E$400))=0,"",INDEX('Licences'!$P$4:$P$503,_calc!$E$400)))</f>
        <v/>
      </c>
      <c r="K398" s="44">
        <f>IF(_calc!$E$400="","",IF(LEN(INDEX('Licences'!$G$4:$G$503,_calc!$E$400))=0,"",INDEX('Licences'!$G$4:$G$503,_calc!$E$400)))</f>
        <v/>
      </c>
    </row>
    <row r="399">
      <c r="A399" s="44">
        <f>IF(_calc!$E$401="","",IF(LEN(INDEX('Licences'!$A$4:$A$503,_calc!$E$401))=0,"",INDEX('Licences'!$A$4:$A$503,_calc!$E$401)))</f>
        <v/>
      </c>
      <c r="B399" s="44">
        <f>IF(_calc!$E$401="","",IF(ISNUMBER(INDEX('Licences'!$J$4:$J$503,_calc!$E$401)),TEXT(INDEX('Licences'!$J$4:$J$503,_calc!$E$401),"yyyy-mm-dd"),""))</f>
        <v/>
      </c>
      <c r="C399" s="44">
        <f>IF(_calc!$E$401="","",IF(LEN(INDEX('Licences'!$B$4:$B$503,_calc!$E$401))=0,"",INDEX('Licences'!$B$4:$B$503,_calc!$E$401)))</f>
        <v/>
      </c>
      <c r="D399" s="44">
        <f>IF(_calc!$E$401="","",IF(ISNUMBER(INDEX('Licences'!$I$4:$I$503,_calc!$E$401)),TEXT(INDEX('Licences'!$I$4:$I$503,_calc!$E$401),"yyyy-mm-dd"),""))</f>
        <v/>
      </c>
      <c r="E399" s="44">
        <f>IF(_calc!$E$401="","",IF(LEN(INDEX('Licences'!$H$4:$H$503,_calc!$E$401))=0,"",INDEX('Licences'!$H$4:$H$503,_calc!$E$401)))</f>
        <v/>
      </c>
      <c r="F399" s="44">
        <f>IF(_calc!$E$401="","",TRIM(IF(LEN(IF(LEN(INDEX('Licences'!$D$4:$D$503,_calc!$E$401))=0,"",INDEX('Licences'!$D$4:$D$503,_calc!$E$401)))=0,"","Ref: "&amp;IF(LEN(INDEX('Licences'!$D$4:$D$503,_calc!$E$401))=0,"",INDEX('Licences'!$D$4:$D$503,_calc!$E$401))&amp;". ")&amp;IF(LEN(IF(LEN(INDEX('Licences'!$C$4:$C$503,_calc!$E$401))=0,"",INDEX('Licences'!$C$4:$C$503,_calc!$E$401)))=0,"","Issuer: "&amp;IF(LEN(INDEX('Licences'!$C$4:$C$503,_calc!$E$401))=0,"",INDEX('Licences'!$C$4:$C$503,_calc!$E$401))&amp;". ")&amp;IF(LEN(IF(LEN(INDEX('Licences'!$E$4:$E$503,_calc!$E$401))=0,"",INDEX('Licences'!$E$4:$E$503,_calc!$E$401)))=0,"","Site: "&amp;IF(LEN(INDEX('Licences'!$E$4:$E$503,_calc!$E$401))=0,"",INDEX('Licences'!$E$4:$E$503,_calc!$E$401))&amp;". ")&amp;IF(LEN(IF(LEN(INDEX('Licences'!$F$4:$F$503,_calc!$E$401))=0,"",INDEX('Licences'!$F$4:$F$503,_calc!$E$401)))=0,"","Owner: "&amp;IF(LEN(INDEX('Licences'!$F$4:$F$503,_calc!$E$401))=0,"",INDEX('Licences'!$F$4:$F$503,_calc!$E$401))&amp;". ")&amp;IF(LEN(IF(LEN(INDEX('Licences'!$R$4:$R$503,_calc!$E$401))=0,"",INDEX('Licences'!$R$4:$R$503,_calc!$E$401)))=0,"",IF(LEN(INDEX('Licences'!$R$4:$R$503,_calc!$E$401))=0,"",INDEX('Licences'!$R$4:$R$503,_calc!$E$401)))))</f>
        <v/>
      </c>
      <c r="G399" s="44">
        <f>IF(_calc!$E$401="","",IF(LEN(INDEX('Licences'!$Q$4:$Q$503,_calc!$E$401))=0,"",INDEX('Licences'!$Q$4:$Q$503,_calc!$E$401)))</f>
        <v/>
      </c>
      <c r="H399" s="44">
        <f>IF(_calc!$E$401="","",IF(LEN(INDEX('Licences'!$O$4:$O$503,_calc!$E$401))=0,"",INDEX('Licences'!$O$4:$O$503,_calc!$E$401)))</f>
        <v/>
      </c>
      <c r="I399" s="44">
        <f>IF(_calc!$E$401="","",IF(LEN(INDEX('Licences'!$P$4:$P$503,_calc!$E$401))=0,"",INDEX('Licences'!$P$4:$P$503,_calc!$E$401)))</f>
        <v/>
      </c>
      <c r="K399" s="44">
        <f>IF(_calc!$E$401="","",IF(LEN(INDEX('Licences'!$G$4:$G$503,_calc!$E$401))=0,"",INDEX('Licences'!$G$4:$G$503,_calc!$E$401)))</f>
        <v/>
      </c>
    </row>
    <row r="400">
      <c r="A400" s="44">
        <f>IF(_calc!$E$402="","",IF(LEN(INDEX('Licences'!$A$4:$A$503,_calc!$E$402))=0,"",INDEX('Licences'!$A$4:$A$503,_calc!$E$402)))</f>
        <v/>
      </c>
      <c r="B400" s="44">
        <f>IF(_calc!$E$402="","",IF(ISNUMBER(INDEX('Licences'!$J$4:$J$503,_calc!$E$402)),TEXT(INDEX('Licences'!$J$4:$J$503,_calc!$E$402),"yyyy-mm-dd"),""))</f>
        <v/>
      </c>
      <c r="C400" s="44">
        <f>IF(_calc!$E$402="","",IF(LEN(INDEX('Licences'!$B$4:$B$503,_calc!$E$402))=0,"",INDEX('Licences'!$B$4:$B$503,_calc!$E$402)))</f>
        <v/>
      </c>
      <c r="D400" s="44">
        <f>IF(_calc!$E$402="","",IF(ISNUMBER(INDEX('Licences'!$I$4:$I$503,_calc!$E$402)),TEXT(INDEX('Licences'!$I$4:$I$503,_calc!$E$402),"yyyy-mm-dd"),""))</f>
        <v/>
      </c>
      <c r="E400" s="44">
        <f>IF(_calc!$E$402="","",IF(LEN(INDEX('Licences'!$H$4:$H$503,_calc!$E$402))=0,"",INDEX('Licences'!$H$4:$H$503,_calc!$E$402)))</f>
        <v/>
      </c>
      <c r="F400" s="44">
        <f>IF(_calc!$E$402="","",TRIM(IF(LEN(IF(LEN(INDEX('Licences'!$D$4:$D$503,_calc!$E$402))=0,"",INDEX('Licences'!$D$4:$D$503,_calc!$E$402)))=0,"","Ref: "&amp;IF(LEN(INDEX('Licences'!$D$4:$D$503,_calc!$E$402))=0,"",INDEX('Licences'!$D$4:$D$503,_calc!$E$402))&amp;". ")&amp;IF(LEN(IF(LEN(INDEX('Licences'!$C$4:$C$503,_calc!$E$402))=0,"",INDEX('Licences'!$C$4:$C$503,_calc!$E$402)))=0,"","Issuer: "&amp;IF(LEN(INDEX('Licences'!$C$4:$C$503,_calc!$E$402))=0,"",INDEX('Licences'!$C$4:$C$503,_calc!$E$402))&amp;". ")&amp;IF(LEN(IF(LEN(INDEX('Licences'!$E$4:$E$503,_calc!$E$402))=0,"",INDEX('Licences'!$E$4:$E$503,_calc!$E$402)))=0,"","Site: "&amp;IF(LEN(INDEX('Licences'!$E$4:$E$503,_calc!$E$402))=0,"",INDEX('Licences'!$E$4:$E$503,_calc!$E$402))&amp;". ")&amp;IF(LEN(IF(LEN(INDEX('Licences'!$F$4:$F$503,_calc!$E$402))=0,"",INDEX('Licences'!$F$4:$F$503,_calc!$E$402)))=0,"","Owner: "&amp;IF(LEN(INDEX('Licences'!$F$4:$F$503,_calc!$E$402))=0,"",INDEX('Licences'!$F$4:$F$503,_calc!$E$402))&amp;". ")&amp;IF(LEN(IF(LEN(INDEX('Licences'!$R$4:$R$503,_calc!$E$402))=0,"",INDEX('Licences'!$R$4:$R$503,_calc!$E$402)))=0,"",IF(LEN(INDEX('Licences'!$R$4:$R$503,_calc!$E$402))=0,"",INDEX('Licences'!$R$4:$R$503,_calc!$E$402)))))</f>
        <v/>
      </c>
      <c r="G400" s="44">
        <f>IF(_calc!$E$402="","",IF(LEN(INDEX('Licences'!$Q$4:$Q$503,_calc!$E$402))=0,"",INDEX('Licences'!$Q$4:$Q$503,_calc!$E$402)))</f>
        <v/>
      </c>
      <c r="H400" s="44">
        <f>IF(_calc!$E$402="","",IF(LEN(INDEX('Licences'!$O$4:$O$503,_calc!$E$402))=0,"",INDEX('Licences'!$O$4:$O$503,_calc!$E$402)))</f>
        <v/>
      </c>
      <c r="I400" s="44">
        <f>IF(_calc!$E$402="","",IF(LEN(INDEX('Licences'!$P$4:$P$503,_calc!$E$402))=0,"",INDEX('Licences'!$P$4:$P$503,_calc!$E$402)))</f>
        <v/>
      </c>
      <c r="K400" s="44">
        <f>IF(_calc!$E$402="","",IF(LEN(INDEX('Licences'!$G$4:$G$503,_calc!$E$402))=0,"",INDEX('Licences'!$G$4:$G$503,_calc!$E$402)))</f>
        <v/>
      </c>
    </row>
    <row r="401">
      <c r="A401" s="44">
        <f>IF(_calc!$E$403="","",IF(LEN(INDEX('Licences'!$A$4:$A$503,_calc!$E$403))=0,"",INDEX('Licences'!$A$4:$A$503,_calc!$E$403)))</f>
        <v/>
      </c>
      <c r="B401" s="44">
        <f>IF(_calc!$E$403="","",IF(ISNUMBER(INDEX('Licences'!$J$4:$J$503,_calc!$E$403)),TEXT(INDEX('Licences'!$J$4:$J$503,_calc!$E$403),"yyyy-mm-dd"),""))</f>
        <v/>
      </c>
      <c r="C401" s="44">
        <f>IF(_calc!$E$403="","",IF(LEN(INDEX('Licences'!$B$4:$B$503,_calc!$E$403))=0,"",INDEX('Licences'!$B$4:$B$503,_calc!$E$403)))</f>
        <v/>
      </c>
      <c r="D401" s="44">
        <f>IF(_calc!$E$403="","",IF(ISNUMBER(INDEX('Licences'!$I$4:$I$503,_calc!$E$403)),TEXT(INDEX('Licences'!$I$4:$I$503,_calc!$E$403),"yyyy-mm-dd"),""))</f>
        <v/>
      </c>
      <c r="E401" s="44">
        <f>IF(_calc!$E$403="","",IF(LEN(INDEX('Licences'!$H$4:$H$503,_calc!$E$403))=0,"",INDEX('Licences'!$H$4:$H$503,_calc!$E$403)))</f>
        <v/>
      </c>
      <c r="F401" s="44">
        <f>IF(_calc!$E$403="","",TRIM(IF(LEN(IF(LEN(INDEX('Licences'!$D$4:$D$503,_calc!$E$403))=0,"",INDEX('Licences'!$D$4:$D$503,_calc!$E$403)))=0,"","Ref: "&amp;IF(LEN(INDEX('Licences'!$D$4:$D$503,_calc!$E$403))=0,"",INDEX('Licences'!$D$4:$D$503,_calc!$E$403))&amp;". ")&amp;IF(LEN(IF(LEN(INDEX('Licences'!$C$4:$C$503,_calc!$E$403))=0,"",INDEX('Licences'!$C$4:$C$503,_calc!$E$403)))=0,"","Issuer: "&amp;IF(LEN(INDEX('Licences'!$C$4:$C$503,_calc!$E$403))=0,"",INDEX('Licences'!$C$4:$C$503,_calc!$E$403))&amp;". ")&amp;IF(LEN(IF(LEN(INDEX('Licences'!$E$4:$E$503,_calc!$E$403))=0,"",INDEX('Licences'!$E$4:$E$503,_calc!$E$403)))=0,"","Site: "&amp;IF(LEN(INDEX('Licences'!$E$4:$E$503,_calc!$E$403))=0,"",INDEX('Licences'!$E$4:$E$503,_calc!$E$403))&amp;". ")&amp;IF(LEN(IF(LEN(INDEX('Licences'!$F$4:$F$503,_calc!$E$403))=0,"",INDEX('Licences'!$F$4:$F$503,_calc!$E$403)))=0,"","Owner: "&amp;IF(LEN(INDEX('Licences'!$F$4:$F$503,_calc!$E$403))=0,"",INDEX('Licences'!$F$4:$F$503,_calc!$E$403))&amp;". ")&amp;IF(LEN(IF(LEN(INDEX('Licences'!$R$4:$R$503,_calc!$E$403))=0,"",INDEX('Licences'!$R$4:$R$503,_calc!$E$403)))=0,"",IF(LEN(INDEX('Licences'!$R$4:$R$503,_calc!$E$403))=0,"",INDEX('Licences'!$R$4:$R$503,_calc!$E$403)))))</f>
        <v/>
      </c>
      <c r="G401" s="44">
        <f>IF(_calc!$E$403="","",IF(LEN(INDEX('Licences'!$Q$4:$Q$503,_calc!$E$403))=0,"",INDEX('Licences'!$Q$4:$Q$503,_calc!$E$403)))</f>
        <v/>
      </c>
      <c r="H401" s="44">
        <f>IF(_calc!$E$403="","",IF(LEN(INDEX('Licences'!$O$4:$O$503,_calc!$E$403))=0,"",INDEX('Licences'!$O$4:$O$503,_calc!$E$403)))</f>
        <v/>
      </c>
      <c r="I401" s="44">
        <f>IF(_calc!$E$403="","",IF(LEN(INDEX('Licences'!$P$4:$P$503,_calc!$E$403))=0,"",INDEX('Licences'!$P$4:$P$503,_calc!$E$403)))</f>
        <v/>
      </c>
      <c r="K401" s="44">
        <f>IF(_calc!$E$403="","",IF(LEN(INDEX('Licences'!$G$4:$G$503,_calc!$E$403))=0,"",INDEX('Licences'!$G$4:$G$503,_calc!$E$403)))</f>
        <v/>
      </c>
    </row>
    <row r="402">
      <c r="A402" s="44">
        <f>IF(_calc!$E$404="","",IF(LEN(INDEX('Licences'!$A$4:$A$503,_calc!$E$404))=0,"",INDEX('Licences'!$A$4:$A$503,_calc!$E$404)))</f>
        <v/>
      </c>
      <c r="B402" s="44">
        <f>IF(_calc!$E$404="","",IF(ISNUMBER(INDEX('Licences'!$J$4:$J$503,_calc!$E$404)),TEXT(INDEX('Licences'!$J$4:$J$503,_calc!$E$404),"yyyy-mm-dd"),""))</f>
        <v/>
      </c>
      <c r="C402" s="44">
        <f>IF(_calc!$E$404="","",IF(LEN(INDEX('Licences'!$B$4:$B$503,_calc!$E$404))=0,"",INDEX('Licences'!$B$4:$B$503,_calc!$E$404)))</f>
        <v/>
      </c>
      <c r="D402" s="44">
        <f>IF(_calc!$E$404="","",IF(ISNUMBER(INDEX('Licences'!$I$4:$I$503,_calc!$E$404)),TEXT(INDEX('Licences'!$I$4:$I$503,_calc!$E$404),"yyyy-mm-dd"),""))</f>
        <v/>
      </c>
      <c r="E402" s="44">
        <f>IF(_calc!$E$404="","",IF(LEN(INDEX('Licences'!$H$4:$H$503,_calc!$E$404))=0,"",INDEX('Licences'!$H$4:$H$503,_calc!$E$404)))</f>
        <v/>
      </c>
      <c r="F402" s="44">
        <f>IF(_calc!$E$404="","",TRIM(IF(LEN(IF(LEN(INDEX('Licences'!$D$4:$D$503,_calc!$E$404))=0,"",INDEX('Licences'!$D$4:$D$503,_calc!$E$404)))=0,"","Ref: "&amp;IF(LEN(INDEX('Licences'!$D$4:$D$503,_calc!$E$404))=0,"",INDEX('Licences'!$D$4:$D$503,_calc!$E$404))&amp;". ")&amp;IF(LEN(IF(LEN(INDEX('Licences'!$C$4:$C$503,_calc!$E$404))=0,"",INDEX('Licences'!$C$4:$C$503,_calc!$E$404)))=0,"","Issuer: "&amp;IF(LEN(INDEX('Licences'!$C$4:$C$503,_calc!$E$404))=0,"",INDEX('Licences'!$C$4:$C$503,_calc!$E$404))&amp;". ")&amp;IF(LEN(IF(LEN(INDEX('Licences'!$E$4:$E$503,_calc!$E$404))=0,"",INDEX('Licences'!$E$4:$E$503,_calc!$E$404)))=0,"","Site: "&amp;IF(LEN(INDEX('Licences'!$E$4:$E$503,_calc!$E$404))=0,"",INDEX('Licences'!$E$4:$E$503,_calc!$E$404))&amp;". ")&amp;IF(LEN(IF(LEN(INDEX('Licences'!$F$4:$F$503,_calc!$E$404))=0,"",INDEX('Licences'!$F$4:$F$503,_calc!$E$404)))=0,"","Owner: "&amp;IF(LEN(INDEX('Licences'!$F$4:$F$503,_calc!$E$404))=0,"",INDEX('Licences'!$F$4:$F$503,_calc!$E$404))&amp;". ")&amp;IF(LEN(IF(LEN(INDEX('Licences'!$R$4:$R$503,_calc!$E$404))=0,"",INDEX('Licences'!$R$4:$R$503,_calc!$E$404)))=0,"",IF(LEN(INDEX('Licences'!$R$4:$R$503,_calc!$E$404))=0,"",INDEX('Licences'!$R$4:$R$503,_calc!$E$404)))))</f>
        <v/>
      </c>
      <c r="G402" s="44">
        <f>IF(_calc!$E$404="","",IF(LEN(INDEX('Licences'!$Q$4:$Q$503,_calc!$E$404))=0,"",INDEX('Licences'!$Q$4:$Q$503,_calc!$E$404)))</f>
        <v/>
      </c>
      <c r="H402" s="44">
        <f>IF(_calc!$E$404="","",IF(LEN(INDEX('Licences'!$O$4:$O$503,_calc!$E$404))=0,"",INDEX('Licences'!$O$4:$O$503,_calc!$E$404)))</f>
        <v/>
      </c>
      <c r="I402" s="44">
        <f>IF(_calc!$E$404="","",IF(LEN(INDEX('Licences'!$P$4:$P$503,_calc!$E$404))=0,"",INDEX('Licences'!$P$4:$P$503,_calc!$E$404)))</f>
        <v/>
      </c>
      <c r="K402" s="44">
        <f>IF(_calc!$E$404="","",IF(LEN(INDEX('Licences'!$G$4:$G$503,_calc!$E$404))=0,"",INDEX('Licences'!$G$4:$G$503,_calc!$E$404)))</f>
        <v/>
      </c>
    </row>
    <row r="403">
      <c r="A403" s="44">
        <f>IF(_calc!$E$405="","",IF(LEN(INDEX('Licences'!$A$4:$A$503,_calc!$E$405))=0,"",INDEX('Licences'!$A$4:$A$503,_calc!$E$405)))</f>
        <v/>
      </c>
      <c r="B403" s="44">
        <f>IF(_calc!$E$405="","",IF(ISNUMBER(INDEX('Licences'!$J$4:$J$503,_calc!$E$405)),TEXT(INDEX('Licences'!$J$4:$J$503,_calc!$E$405),"yyyy-mm-dd"),""))</f>
        <v/>
      </c>
      <c r="C403" s="44">
        <f>IF(_calc!$E$405="","",IF(LEN(INDEX('Licences'!$B$4:$B$503,_calc!$E$405))=0,"",INDEX('Licences'!$B$4:$B$503,_calc!$E$405)))</f>
        <v/>
      </c>
      <c r="D403" s="44">
        <f>IF(_calc!$E$405="","",IF(ISNUMBER(INDEX('Licences'!$I$4:$I$503,_calc!$E$405)),TEXT(INDEX('Licences'!$I$4:$I$503,_calc!$E$405),"yyyy-mm-dd"),""))</f>
        <v/>
      </c>
      <c r="E403" s="44">
        <f>IF(_calc!$E$405="","",IF(LEN(INDEX('Licences'!$H$4:$H$503,_calc!$E$405))=0,"",INDEX('Licences'!$H$4:$H$503,_calc!$E$405)))</f>
        <v/>
      </c>
      <c r="F403" s="44">
        <f>IF(_calc!$E$405="","",TRIM(IF(LEN(IF(LEN(INDEX('Licences'!$D$4:$D$503,_calc!$E$405))=0,"",INDEX('Licences'!$D$4:$D$503,_calc!$E$405)))=0,"","Ref: "&amp;IF(LEN(INDEX('Licences'!$D$4:$D$503,_calc!$E$405))=0,"",INDEX('Licences'!$D$4:$D$503,_calc!$E$405))&amp;". ")&amp;IF(LEN(IF(LEN(INDEX('Licences'!$C$4:$C$503,_calc!$E$405))=0,"",INDEX('Licences'!$C$4:$C$503,_calc!$E$405)))=0,"","Issuer: "&amp;IF(LEN(INDEX('Licences'!$C$4:$C$503,_calc!$E$405))=0,"",INDEX('Licences'!$C$4:$C$503,_calc!$E$405))&amp;". ")&amp;IF(LEN(IF(LEN(INDEX('Licences'!$E$4:$E$503,_calc!$E$405))=0,"",INDEX('Licences'!$E$4:$E$503,_calc!$E$405)))=0,"","Site: "&amp;IF(LEN(INDEX('Licences'!$E$4:$E$503,_calc!$E$405))=0,"",INDEX('Licences'!$E$4:$E$503,_calc!$E$405))&amp;". ")&amp;IF(LEN(IF(LEN(INDEX('Licences'!$F$4:$F$503,_calc!$E$405))=0,"",INDEX('Licences'!$F$4:$F$503,_calc!$E$405)))=0,"","Owner: "&amp;IF(LEN(INDEX('Licences'!$F$4:$F$503,_calc!$E$405))=0,"",INDEX('Licences'!$F$4:$F$503,_calc!$E$405))&amp;". ")&amp;IF(LEN(IF(LEN(INDEX('Licences'!$R$4:$R$503,_calc!$E$405))=0,"",INDEX('Licences'!$R$4:$R$503,_calc!$E$405)))=0,"",IF(LEN(INDEX('Licences'!$R$4:$R$503,_calc!$E$405))=0,"",INDEX('Licences'!$R$4:$R$503,_calc!$E$405)))))</f>
        <v/>
      </c>
      <c r="G403" s="44">
        <f>IF(_calc!$E$405="","",IF(LEN(INDEX('Licences'!$Q$4:$Q$503,_calc!$E$405))=0,"",INDEX('Licences'!$Q$4:$Q$503,_calc!$E$405)))</f>
        <v/>
      </c>
      <c r="H403" s="44">
        <f>IF(_calc!$E$405="","",IF(LEN(INDEX('Licences'!$O$4:$O$503,_calc!$E$405))=0,"",INDEX('Licences'!$O$4:$O$503,_calc!$E$405)))</f>
        <v/>
      </c>
      <c r="I403" s="44">
        <f>IF(_calc!$E$405="","",IF(LEN(INDEX('Licences'!$P$4:$P$503,_calc!$E$405))=0,"",INDEX('Licences'!$P$4:$P$503,_calc!$E$405)))</f>
        <v/>
      </c>
      <c r="K403" s="44">
        <f>IF(_calc!$E$405="","",IF(LEN(INDEX('Licences'!$G$4:$G$503,_calc!$E$405))=0,"",INDEX('Licences'!$G$4:$G$503,_calc!$E$405)))</f>
        <v/>
      </c>
    </row>
    <row r="404">
      <c r="A404" s="44">
        <f>IF(_calc!$E$406="","",IF(LEN(INDEX('Licences'!$A$4:$A$503,_calc!$E$406))=0,"",INDEX('Licences'!$A$4:$A$503,_calc!$E$406)))</f>
        <v/>
      </c>
      <c r="B404" s="44">
        <f>IF(_calc!$E$406="","",IF(ISNUMBER(INDEX('Licences'!$J$4:$J$503,_calc!$E$406)),TEXT(INDEX('Licences'!$J$4:$J$503,_calc!$E$406),"yyyy-mm-dd"),""))</f>
        <v/>
      </c>
      <c r="C404" s="44">
        <f>IF(_calc!$E$406="","",IF(LEN(INDEX('Licences'!$B$4:$B$503,_calc!$E$406))=0,"",INDEX('Licences'!$B$4:$B$503,_calc!$E$406)))</f>
        <v/>
      </c>
      <c r="D404" s="44">
        <f>IF(_calc!$E$406="","",IF(ISNUMBER(INDEX('Licences'!$I$4:$I$503,_calc!$E$406)),TEXT(INDEX('Licences'!$I$4:$I$503,_calc!$E$406),"yyyy-mm-dd"),""))</f>
        <v/>
      </c>
      <c r="E404" s="44">
        <f>IF(_calc!$E$406="","",IF(LEN(INDEX('Licences'!$H$4:$H$503,_calc!$E$406))=0,"",INDEX('Licences'!$H$4:$H$503,_calc!$E$406)))</f>
        <v/>
      </c>
      <c r="F404" s="44">
        <f>IF(_calc!$E$406="","",TRIM(IF(LEN(IF(LEN(INDEX('Licences'!$D$4:$D$503,_calc!$E$406))=0,"",INDEX('Licences'!$D$4:$D$503,_calc!$E$406)))=0,"","Ref: "&amp;IF(LEN(INDEX('Licences'!$D$4:$D$503,_calc!$E$406))=0,"",INDEX('Licences'!$D$4:$D$503,_calc!$E$406))&amp;". ")&amp;IF(LEN(IF(LEN(INDEX('Licences'!$C$4:$C$503,_calc!$E$406))=0,"",INDEX('Licences'!$C$4:$C$503,_calc!$E$406)))=0,"","Issuer: "&amp;IF(LEN(INDEX('Licences'!$C$4:$C$503,_calc!$E$406))=0,"",INDEX('Licences'!$C$4:$C$503,_calc!$E$406))&amp;". ")&amp;IF(LEN(IF(LEN(INDEX('Licences'!$E$4:$E$503,_calc!$E$406))=0,"",INDEX('Licences'!$E$4:$E$503,_calc!$E$406)))=0,"","Site: "&amp;IF(LEN(INDEX('Licences'!$E$4:$E$503,_calc!$E$406))=0,"",INDEX('Licences'!$E$4:$E$503,_calc!$E$406))&amp;". ")&amp;IF(LEN(IF(LEN(INDEX('Licences'!$F$4:$F$503,_calc!$E$406))=0,"",INDEX('Licences'!$F$4:$F$503,_calc!$E$406)))=0,"","Owner: "&amp;IF(LEN(INDEX('Licences'!$F$4:$F$503,_calc!$E$406))=0,"",INDEX('Licences'!$F$4:$F$503,_calc!$E$406))&amp;". ")&amp;IF(LEN(IF(LEN(INDEX('Licences'!$R$4:$R$503,_calc!$E$406))=0,"",INDEX('Licences'!$R$4:$R$503,_calc!$E$406)))=0,"",IF(LEN(INDEX('Licences'!$R$4:$R$503,_calc!$E$406))=0,"",INDEX('Licences'!$R$4:$R$503,_calc!$E$406)))))</f>
        <v/>
      </c>
      <c r="G404" s="44">
        <f>IF(_calc!$E$406="","",IF(LEN(INDEX('Licences'!$Q$4:$Q$503,_calc!$E$406))=0,"",INDEX('Licences'!$Q$4:$Q$503,_calc!$E$406)))</f>
        <v/>
      </c>
      <c r="H404" s="44">
        <f>IF(_calc!$E$406="","",IF(LEN(INDEX('Licences'!$O$4:$O$503,_calc!$E$406))=0,"",INDEX('Licences'!$O$4:$O$503,_calc!$E$406)))</f>
        <v/>
      </c>
      <c r="I404" s="44">
        <f>IF(_calc!$E$406="","",IF(LEN(INDEX('Licences'!$P$4:$P$503,_calc!$E$406))=0,"",INDEX('Licences'!$P$4:$P$503,_calc!$E$406)))</f>
        <v/>
      </c>
      <c r="K404" s="44">
        <f>IF(_calc!$E$406="","",IF(LEN(INDEX('Licences'!$G$4:$G$503,_calc!$E$406))=0,"",INDEX('Licences'!$G$4:$G$503,_calc!$E$406)))</f>
        <v/>
      </c>
    </row>
    <row r="405">
      <c r="A405" s="44">
        <f>IF(_calc!$E$407="","",IF(LEN(INDEX('Licences'!$A$4:$A$503,_calc!$E$407))=0,"",INDEX('Licences'!$A$4:$A$503,_calc!$E$407)))</f>
        <v/>
      </c>
      <c r="B405" s="44">
        <f>IF(_calc!$E$407="","",IF(ISNUMBER(INDEX('Licences'!$J$4:$J$503,_calc!$E$407)),TEXT(INDEX('Licences'!$J$4:$J$503,_calc!$E$407),"yyyy-mm-dd"),""))</f>
        <v/>
      </c>
      <c r="C405" s="44">
        <f>IF(_calc!$E$407="","",IF(LEN(INDEX('Licences'!$B$4:$B$503,_calc!$E$407))=0,"",INDEX('Licences'!$B$4:$B$503,_calc!$E$407)))</f>
        <v/>
      </c>
      <c r="D405" s="44">
        <f>IF(_calc!$E$407="","",IF(ISNUMBER(INDEX('Licences'!$I$4:$I$503,_calc!$E$407)),TEXT(INDEX('Licences'!$I$4:$I$503,_calc!$E$407),"yyyy-mm-dd"),""))</f>
        <v/>
      </c>
      <c r="E405" s="44">
        <f>IF(_calc!$E$407="","",IF(LEN(INDEX('Licences'!$H$4:$H$503,_calc!$E$407))=0,"",INDEX('Licences'!$H$4:$H$503,_calc!$E$407)))</f>
        <v/>
      </c>
      <c r="F405" s="44">
        <f>IF(_calc!$E$407="","",TRIM(IF(LEN(IF(LEN(INDEX('Licences'!$D$4:$D$503,_calc!$E$407))=0,"",INDEX('Licences'!$D$4:$D$503,_calc!$E$407)))=0,"","Ref: "&amp;IF(LEN(INDEX('Licences'!$D$4:$D$503,_calc!$E$407))=0,"",INDEX('Licences'!$D$4:$D$503,_calc!$E$407))&amp;". ")&amp;IF(LEN(IF(LEN(INDEX('Licences'!$C$4:$C$503,_calc!$E$407))=0,"",INDEX('Licences'!$C$4:$C$503,_calc!$E$407)))=0,"","Issuer: "&amp;IF(LEN(INDEX('Licences'!$C$4:$C$503,_calc!$E$407))=0,"",INDEX('Licences'!$C$4:$C$503,_calc!$E$407))&amp;". ")&amp;IF(LEN(IF(LEN(INDEX('Licences'!$E$4:$E$503,_calc!$E$407))=0,"",INDEX('Licences'!$E$4:$E$503,_calc!$E$407)))=0,"","Site: "&amp;IF(LEN(INDEX('Licences'!$E$4:$E$503,_calc!$E$407))=0,"",INDEX('Licences'!$E$4:$E$503,_calc!$E$407))&amp;". ")&amp;IF(LEN(IF(LEN(INDEX('Licences'!$F$4:$F$503,_calc!$E$407))=0,"",INDEX('Licences'!$F$4:$F$503,_calc!$E$407)))=0,"","Owner: "&amp;IF(LEN(INDEX('Licences'!$F$4:$F$503,_calc!$E$407))=0,"",INDEX('Licences'!$F$4:$F$503,_calc!$E$407))&amp;". ")&amp;IF(LEN(IF(LEN(INDEX('Licences'!$R$4:$R$503,_calc!$E$407))=0,"",INDEX('Licences'!$R$4:$R$503,_calc!$E$407)))=0,"",IF(LEN(INDEX('Licences'!$R$4:$R$503,_calc!$E$407))=0,"",INDEX('Licences'!$R$4:$R$503,_calc!$E$407)))))</f>
        <v/>
      </c>
      <c r="G405" s="44">
        <f>IF(_calc!$E$407="","",IF(LEN(INDEX('Licences'!$Q$4:$Q$503,_calc!$E$407))=0,"",INDEX('Licences'!$Q$4:$Q$503,_calc!$E$407)))</f>
        <v/>
      </c>
      <c r="H405" s="44">
        <f>IF(_calc!$E$407="","",IF(LEN(INDEX('Licences'!$O$4:$O$503,_calc!$E$407))=0,"",INDEX('Licences'!$O$4:$O$503,_calc!$E$407)))</f>
        <v/>
      </c>
      <c r="I405" s="44">
        <f>IF(_calc!$E$407="","",IF(LEN(INDEX('Licences'!$P$4:$P$503,_calc!$E$407))=0,"",INDEX('Licences'!$P$4:$P$503,_calc!$E$407)))</f>
        <v/>
      </c>
      <c r="K405" s="44">
        <f>IF(_calc!$E$407="","",IF(LEN(INDEX('Licences'!$G$4:$G$503,_calc!$E$407))=0,"",INDEX('Licences'!$G$4:$G$503,_calc!$E$407)))</f>
        <v/>
      </c>
    </row>
    <row r="406">
      <c r="A406" s="44">
        <f>IF(_calc!$E$408="","",IF(LEN(INDEX('Licences'!$A$4:$A$503,_calc!$E$408))=0,"",INDEX('Licences'!$A$4:$A$503,_calc!$E$408)))</f>
        <v/>
      </c>
      <c r="B406" s="44">
        <f>IF(_calc!$E$408="","",IF(ISNUMBER(INDEX('Licences'!$J$4:$J$503,_calc!$E$408)),TEXT(INDEX('Licences'!$J$4:$J$503,_calc!$E$408),"yyyy-mm-dd"),""))</f>
        <v/>
      </c>
      <c r="C406" s="44">
        <f>IF(_calc!$E$408="","",IF(LEN(INDEX('Licences'!$B$4:$B$503,_calc!$E$408))=0,"",INDEX('Licences'!$B$4:$B$503,_calc!$E$408)))</f>
        <v/>
      </c>
      <c r="D406" s="44">
        <f>IF(_calc!$E$408="","",IF(ISNUMBER(INDEX('Licences'!$I$4:$I$503,_calc!$E$408)),TEXT(INDEX('Licences'!$I$4:$I$503,_calc!$E$408),"yyyy-mm-dd"),""))</f>
        <v/>
      </c>
      <c r="E406" s="44">
        <f>IF(_calc!$E$408="","",IF(LEN(INDEX('Licences'!$H$4:$H$503,_calc!$E$408))=0,"",INDEX('Licences'!$H$4:$H$503,_calc!$E$408)))</f>
        <v/>
      </c>
      <c r="F406" s="44">
        <f>IF(_calc!$E$408="","",TRIM(IF(LEN(IF(LEN(INDEX('Licences'!$D$4:$D$503,_calc!$E$408))=0,"",INDEX('Licences'!$D$4:$D$503,_calc!$E$408)))=0,"","Ref: "&amp;IF(LEN(INDEX('Licences'!$D$4:$D$503,_calc!$E$408))=0,"",INDEX('Licences'!$D$4:$D$503,_calc!$E$408))&amp;". ")&amp;IF(LEN(IF(LEN(INDEX('Licences'!$C$4:$C$503,_calc!$E$408))=0,"",INDEX('Licences'!$C$4:$C$503,_calc!$E$408)))=0,"","Issuer: "&amp;IF(LEN(INDEX('Licences'!$C$4:$C$503,_calc!$E$408))=0,"",INDEX('Licences'!$C$4:$C$503,_calc!$E$408))&amp;". ")&amp;IF(LEN(IF(LEN(INDEX('Licences'!$E$4:$E$503,_calc!$E$408))=0,"",INDEX('Licences'!$E$4:$E$503,_calc!$E$408)))=0,"","Site: "&amp;IF(LEN(INDEX('Licences'!$E$4:$E$503,_calc!$E$408))=0,"",INDEX('Licences'!$E$4:$E$503,_calc!$E$408))&amp;". ")&amp;IF(LEN(IF(LEN(INDEX('Licences'!$F$4:$F$503,_calc!$E$408))=0,"",INDEX('Licences'!$F$4:$F$503,_calc!$E$408)))=0,"","Owner: "&amp;IF(LEN(INDEX('Licences'!$F$4:$F$503,_calc!$E$408))=0,"",INDEX('Licences'!$F$4:$F$503,_calc!$E$408))&amp;". ")&amp;IF(LEN(IF(LEN(INDEX('Licences'!$R$4:$R$503,_calc!$E$408))=0,"",INDEX('Licences'!$R$4:$R$503,_calc!$E$408)))=0,"",IF(LEN(INDEX('Licences'!$R$4:$R$503,_calc!$E$408))=0,"",INDEX('Licences'!$R$4:$R$503,_calc!$E$408)))))</f>
        <v/>
      </c>
      <c r="G406" s="44">
        <f>IF(_calc!$E$408="","",IF(LEN(INDEX('Licences'!$Q$4:$Q$503,_calc!$E$408))=0,"",INDEX('Licences'!$Q$4:$Q$503,_calc!$E$408)))</f>
        <v/>
      </c>
      <c r="H406" s="44">
        <f>IF(_calc!$E$408="","",IF(LEN(INDEX('Licences'!$O$4:$O$503,_calc!$E$408))=0,"",INDEX('Licences'!$O$4:$O$503,_calc!$E$408)))</f>
        <v/>
      </c>
      <c r="I406" s="44">
        <f>IF(_calc!$E$408="","",IF(LEN(INDEX('Licences'!$P$4:$P$503,_calc!$E$408))=0,"",INDEX('Licences'!$P$4:$P$503,_calc!$E$408)))</f>
        <v/>
      </c>
      <c r="K406" s="44">
        <f>IF(_calc!$E$408="","",IF(LEN(INDEX('Licences'!$G$4:$G$503,_calc!$E$408))=0,"",INDEX('Licences'!$G$4:$G$503,_calc!$E$408)))</f>
        <v/>
      </c>
    </row>
    <row r="407">
      <c r="A407" s="44">
        <f>IF(_calc!$E$409="","",IF(LEN(INDEX('Licences'!$A$4:$A$503,_calc!$E$409))=0,"",INDEX('Licences'!$A$4:$A$503,_calc!$E$409)))</f>
        <v/>
      </c>
      <c r="B407" s="44">
        <f>IF(_calc!$E$409="","",IF(ISNUMBER(INDEX('Licences'!$J$4:$J$503,_calc!$E$409)),TEXT(INDEX('Licences'!$J$4:$J$503,_calc!$E$409),"yyyy-mm-dd"),""))</f>
        <v/>
      </c>
      <c r="C407" s="44">
        <f>IF(_calc!$E$409="","",IF(LEN(INDEX('Licences'!$B$4:$B$503,_calc!$E$409))=0,"",INDEX('Licences'!$B$4:$B$503,_calc!$E$409)))</f>
        <v/>
      </c>
      <c r="D407" s="44">
        <f>IF(_calc!$E$409="","",IF(ISNUMBER(INDEX('Licences'!$I$4:$I$503,_calc!$E$409)),TEXT(INDEX('Licences'!$I$4:$I$503,_calc!$E$409),"yyyy-mm-dd"),""))</f>
        <v/>
      </c>
      <c r="E407" s="44">
        <f>IF(_calc!$E$409="","",IF(LEN(INDEX('Licences'!$H$4:$H$503,_calc!$E$409))=0,"",INDEX('Licences'!$H$4:$H$503,_calc!$E$409)))</f>
        <v/>
      </c>
      <c r="F407" s="44">
        <f>IF(_calc!$E$409="","",TRIM(IF(LEN(IF(LEN(INDEX('Licences'!$D$4:$D$503,_calc!$E$409))=0,"",INDEX('Licences'!$D$4:$D$503,_calc!$E$409)))=0,"","Ref: "&amp;IF(LEN(INDEX('Licences'!$D$4:$D$503,_calc!$E$409))=0,"",INDEX('Licences'!$D$4:$D$503,_calc!$E$409))&amp;". ")&amp;IF(LEN(IF(LEN(INDEX('Licences'!$C$4:$C$503,_calc!$E$409))=0,"",INDEX('Licences'!$C$4:$C$503,_calc!$E$409)))=0,"","Issuer: "&amp;IF(LEN(INDEX('Licences'!$C$4:$C$503,_calc!$E$409))=0,"",INDEX('Licences'!$C$4:$C$503,_calc!$E$409))&amp;". ")&amp;IF(LEN(IF(LEN(INDEX('Licences'!$E$4:$E$503,_calc!$E$409))=0,"",INDEX('Licences'!$E$4:$E$503,_calc!$E$409)))=0,"","Site: "&amp;IF(LEN(INDEX('Licences'!$E$4:$E$503,_calc!$E$409))=0,"",INDEX('Licences'!$E$4:$E$503,_calc!$E$409))&amp;". ")&amp;IF(LEN(IF(LEN(INDEX('Licences'!$F$4:$F$503,_calc!$E$409))=0,"",INDEX('Licences'!$F$4:$F$503,_calc!$E$409)))=0,"","Owner: "&amp;IF(LEN(INDEX('Licences'!$F$4:$F$503,_calc!$E$409))=0,"",INDEX('Licences'!$F$4:$F$503,_calc!$E$409))&amp;". ")&amp;IF(LEN(IF(LEN(INDEX('Licences'!$R$4:$R$503,_calc!$E$409))=0,"",INDEX('Licences'!$R$4:$R$503,_calc!$E$409)))=0,"",IF(LEN(INDEX('Licences'!$R$4:$R$503,_calc!$E$409))=0,"",INDEX('Licences'!$R$4:$R$503,_calc!$E$409)))))</f>
        <v/>
      </c>
      <c r="G407" s="44">
        <f>IF(_calc!$E$409="","",IF(LEN(INDEX('Licences'!$Q$4:$Q$503,_calc!$E$409))=0,"",INDEX('Licences'!$Q$4:$Q$503,_calc!$E$409)))</f>
        <v/>
      </c>
      <c r="H407" s="44">
        <f>IF(_calc!$E$409="","",IF(LEN(INDEX('Licences'!$O$4:$O$503,_calc!$E$409))=0,"",INDEX('Licences'!$O$4:$O$503,_calc!$E$409)))</f>
        <v/>
      </c>
      <c r="I407" s="44">
        <f>IF(_calc!$E$409="","",IF(LEN(INDEX('Licences'!$P$4:$P$503,_calc!$E$409))=0,"",INDEX('Licences'!$P$4:$P$503,_calc!$E$409)))</f>
        <v/>
      </c>
      <c r="K407" s="44">
        <f>IF(_calc!$E$409="","",IF(LEN(INDEX('Licences'!$G$4:$G$503,_calc!$E$409))=0,"",INDEX('Licences'!$G$4:$G$503,_calc!$E$409)))</f>
        <v/>
      </c>
    </row>
    <row r="408">
      <c r="A408" s="44">
        <f>IF(_calc!$E$410="","",IF(LEN(INDEX('Licences'!$A$4:$A$503,_calc!$E$410))=0,"",INDEX('Licences'!$A$4:$A$503,_calc!$E$410)))</f>
        <v/>
      </c>
      <c r="B408" s="44">
        <f>IF(_calc!$E$410="","",IF(ISNUMBER(INDEX('Licences'!$J$4:$J$503,_calc!$E$410)),TEXT(INDEX('Licences'!$J$4:$J$503,_calc!$E$410),"yyyy-mm-dd"),""))</f>
        <v/>
      </c>
      <c r="C408" s="44">
        <f>IF(_calc!$E$410="","",IF(LEN(INDEX('Licences'!$B$4:$B$503,_calc!$E$410))=0,"",INDEX('Licences'!$B$4:$B$503,_calc!$E$410)))</f>
        <v/>
      </c>
      <c r="D408" s="44">
        <f>IF(_calc!$E$410="","",IF(ISNUMBER(INDEX('Licences'!$I$4:$I$503,_calc!$E$410)),TEXT(INDEX('Licences'!$I$4:$I$503,_calc!$E$410),"yyyy-mm-dd"),""))</f>
        <v/>
      </c>
      <c r="E408" s="44">
        <f>IF(_calc!$E$410="","",IF(LEN(INDEX('Licences'!$H$4:$H$503,_calc!$E$410))=0,"",INDEX('Licences'!$H$4:$H$503,_calc!$E$410)))</f>
        <v/>
      </c>
      <c r="F408" s="44">
        <f>IF(_calc!$E$410="","",TRIM(IF(LEN(IF(LEN(INDEX('Licences'!$D$4:$D$503,_calc!$E$410))=0,"",INDEX('Licences'!$D$4:$D$503,_calc!$E$410)))=0,"","Ref: "&amp;IF(LEN(INDEX('Licences'!$D$4:$D$503,_calc!$E$410))=0,"",INDEX('Licences'!$D$4:$D$503,_calc!$E$410))&amp;". ")&amp;IF(LEN(IF(LEN(INDEX('Licences'!$C$4:$C$503,_calc!$E$410))=0,"",INDEX('Licences'!$C$4:$C$503,_calc!$E$410)))=0,"","Issuer: "&amp;IF(LEN(INDEX('Licences'!$C$4:$C$503,_calc!$E$410))=0,"",INDEX('Licences'!$C$4:$C$503,_calc!$E$410))&amp;". ")&amp;IF(LEN(IF(LEN(INDEX('Licences'!$E$4:$E$503,_calc!$E$410))=0,"",INDEX('Licences'!$E$4:$E$503,_calc!$E$410)))=0,"","Site: "&amp;IF(LEN(INDEX('Licences'!$E$4:$E$503,_calc!$E$410))=0,"",INDEX('Licences'!$E$4:$E$503,_calc!$E$410))&amp;". ")&amp;IF(LEN(IF(LEN(INDEX('Licences'!$F$4:$F$503,_calc!$E$410))=0,"",INDEX('Licences'!$F$4:$F$503,_calc!$E$410)))=0,"","Owner: "&amp;IF(LEN(INDEX('Licences'!$F$4:$F$503,_calc!$E$410))=0,"",INDEX('Licences'!$F$4:$F$503,_calc!$E$410))&amp;". ")&amp;IF(LEN(IF(LEN(INDEX('Licences'!$R$4:$R$503,_calc!$E$410))=0,"",INDEX('Licences'!$R$4:$R$503,_calc!$E$410)))=0,"",IF(LEN(INDEX('Licences'!$R$4:$R$503,_calc!$E$410))=0,"",INDEX('Licences'!$R$4:$R$503,_calc!$E$410)))))</f>
        <v/>
      </c>
      <c r="G408" s="44">
        <f>IF(_calc!$E$410="","",IF(LEN(INDEX('Licences'!$Q$4:$Q$503,_calc!$E$410))=0,"",INDEX('Licences'!$Q$4:$Q$503,_calc!$E$410)))</f>
        <v/>
      </c>
      <c r="H408" s="44">
        <f>IF(_calc!$E$410="","",IF(LEN(INDEX('Licences'!$O$4:$O$503,_calc!$E$410))=0,"",INDEX('Licences'!$O$4:$O$503,_calc!$E$410)))</f>
        <v/>
      </c>
      <c r="I408" s="44">
        <f>IF(_calc!$E$410="","",IF(LEN(INDEX('Licences'!$P$4:$P$503,_calc!$E$410))=0,"",INDEX('Licences'!$P$4:$P$503,_calc!$E$410)))</f>
        <v/>
      </c>
      <c r="K408" s="44">
        <f>IF(_calc!$E$410="","",IF(LEN(INDEX('Licences'!$G$4:$G$503,_calc!$E$410))=0,"",INDEX('Licences'!$G$4:$G$503,_calc!$E$410)))</f>
        <v/>
      </c>
    </row>
    <row r="409">
      <c r="A409" s="44">
        <f>IF(_calc!$E$411="","",IF(LEN(INDEX('Licences'!$A$4:$A$503,_calc!$E$411))=0,"",INDEX('Licences'!$A$4:$A$503,_calc!$E$411)))</f>
        <v/>
      </c>
      <c r="B409" s="44">
        <f>IF(_calc!$E$411="","",IF(ISNUMBER(INDEX('Licences'!$J$4:$J$503,_calc!$E$411)),TEXT(INDEX('Licences'!$J$4:$J$503,_calc!$E$411),"yyyy-mm-dd"),""))</f>
        <v/>
      </c>
      <c r="C409" s="44">
        <f>IF(_calc!$E$411="","",IF(LEN(INDEX('Licences'!$B$4:$B$503,_calc!$E$411))=0,"",INDEX('Licences'!$B$4:$B$503,_calc!$E$411)))</f>
        <v/>
      </c>
      <c r="D409" s="44">
        <f>IF(_calc!$E$411="","",IF(ISNUMBER(INDEX('Licences'!$I$4:$I$503,_calc!$E$411)),TEXT(INDEX('Licences'!$I$4:$I$503,_calc!$E$411),"yyyy-mm-dd"),""))</f>
        <v/>
      </c>
      <c r="E409" s="44">
        <f>IF(_calc!$E$411="","",IF(LEN(INDEX('Licences'!$H$4:$H$503,_calc!$E$411))=0,"",INDEX('Licences'!$H$4:$H$503,_calc!$E$411)))</f>
        <v/>
      </c>
      <c r="F409" s="44">
        <f>IF(_calc!$E$411="","",TRIM(IF(LEN(IF(LEN(INDEX('Licences'!$D$4:$D$503,_calc!$E$411))=0,"",INDEX('Licences'!$D$4:$D$503,_calc!$E$411)))=0,"","Ref: "&amp;IF(LEN(INDEX('Licences'!$D$4:$D$503,_calc!$E$411))=0,"",INDEX('Licences'!$D$4:$D$503,_calc!$E$411))&amp;". ")&amp;IF(LEN(IF(LEN(INDEX('Licences'!$C$4:$C$503,_calc!$E$411))=0,"",INDEX('Licences'!$C$4:$C$503,_calc!$E$411)))=0,"","Issuer: "&amp;IF(LEN(INDEX('Licences'!$C$4:$C$503,_calc!$E$411))=0,"",INDEX('Licences'!$C$4:$C$503,_calc!$E$411))&amp;". ")&amp;IF(LEN(IF(LEN(INDEX('Licences'!$E$4:$E$503,_calc!$E$411))=0,"",INDEX('Licences'!$E$4:$E$503,_calc!$E$411)))=0,"","Site: "&amp;IF(LEN(INDEX('Licences'!$E$4:$E$503,_calc!$E$411))=0,"",INDEX('Licences'!$E$4:$E$503,_calc!$E$411))&amp;". ")&amp;IF(LEN(IF(LEN(INDEX('Licences'!$F$4:$F$503,_calc!$E$411))=0,"",INDEX('Licences'!$F$4:$F$503,_calc!$E$411)))=0,"","Owner: "&amp;IF(LEN(INDEX('Licences'!$F$4:$F$503,_calc!$E$411))=0,"",INDEX('Licences'!$F$4:$F$503,_calc!$E$411))&amp;". ")&amp;IF(LEN(IF(LEN(INDEX('Licences'!$R$4:$R$503,_calc!$E$411))=0,"",INDEX('Licences'!$R$4:$R$503,_calc!$E$411)))=0,"",IF(LEN(INDEX('Licences'!$R$4:$R$503,_calc!$E$411))=0,"",INDEX('Licences'!$R$4:$R$503,_calc!$E$411)))))</f>
        <v/>
      </c>
      <c r="G409" s="44">
        <f>IF(_calc!$E$411="","",IF(LEN(INDEX('Licences'!$Q$4:$Q$503,_calc!$E$411))=0,"",INDEX('Licences'!$Q$4:$Q$503,_calc!$E$411)))</f>
        <v/>
      </c>
      <c r="H409" s="44">
        <f>IF(_calc!$E$411="","",IF(LEN(INDEX('Licences'!$O$4:$O$503,_calc!$E$411))=0,"",INDEX('Licences'!$O$4:$O$503,_calc!$E$411)))</f>
        <v/>
      </c>
      <c r="I409" s="44">
        <f>IF(_calc!$E$411="","",IF(LEN(INDEX('Licences'!$P$4:$P$503,_calc!$E$411))=0,"",INDEX('Licences'!$P$4:$P$503,_calc!$E$411)))</f>
        <v/>
      </c>
      <c r="K409" s="44">
        <f>IF(_calc!$E$411="","",IF(LEN(INDEX('Licences'!$G$4:$G$503,_calc!$E$411))=0,"",INDEX('Licences'!$G$4:$G$503,_calc!$E$411)))</f>
        <v/>
      </c>
    </row>
    <row r="410">
      <c r="A410" s="44">
        <f>IF(_calc!$E$412="","",IF(LEN(INDEX('Licences'!$A$4:$A$503,_calc!$E$412))=0,"",INDEX('Licences'!$A$4:$A$503,_calc!$E$412)))</f>
        <v/>
      </c>
      <c r="B410" s="44">
        <f>IF(_calc!$E$412="","",IF(ISNUMBER(INDEX('Licences'!$J$4:$J$503,_calc!$E$412)),TEXT(INDEX('Licences'!$J$4:$J$503,_calc!$E$412),"yyyy-mm-dd"),""))</f>
        <v/>
      </c>
      <c r="C410" s="44">
        <f>IF(_calc!$E$412="","",IF(LEN(INDEX('Licences'!$B$4:$B$503,_calc!$E$412))=0,"",INDEX('Licences'!$B$4:$B$503,_calc!$E$412)))</f>
        <v/>
      </c>
      <c r="D410" s="44">
        <f>IF(_calc!$E$412="","",IF(ISNUMBER(INDEX('Licences'!$I$4:$I$503,_calc!$E$412)),TEXT(INDEX('Licences'!$I$4:$I$503,_calc!$E$412),"yyyy-mm-dd"),""))</f>
        <v/>
      </c>
      <c r="E410" s="44">
        <f>IF(_calc!$E$412="","",IF(LEN(INDEX('Licences'!$H$4:$H$503,_calc!$E$412))=0,"",INDEX('Licences'!$H$4:$H$503,_calc!$E$412)))</f>
        <v/>
      </c>
      <c r="F410" s="44">
        <f>IF(_calc!$E$412="","",TRIM(IF(LEN(IF(LEN(INDEX('Licences'!$D$4:$D$503,_calc!$E$412))=0,"",INDEX('Licences'!$D$4:$D$503,_calc!$E$412)))=0,"","Ref: "&amp;IF(LEN(INDEX('Licences'!$D$4:$D$503,_calc!$E$412))=0,"",INDEX('Licences'!$D$4:$D$503,_calc!$E$412))&amp;". ")&amp;IF(LEN(IF(LEN(INDEX('Licences'!$C$4:$C$503,_calc!$E$412))=0,"",INDEX('Licences'!$C$4:$C$503,_calc!$E$412)))=0,"","Issuer: "&amp;IF(LEN(INDEX('Licences'!$C$4:$C$503,_calc!$E$412))=0,"",INDEX('Licences'!$C$4:$C$503,_calc!$E$412))&amp;". ")&amp;IF(LEN(IF(LEN(INDEX('Licences'!$E$4:$E$503,_calc!$E$412))=0,"",INDEX('Licences'!$E$4:$E$503,_calc!$E$412)))=0,"","Site: "&amp;IF(LEN(INDEX('Licences'!$E$4:$E$503,_calc!$E$412))=0,"",INDEX('Licences'!$E$4:$E$503,_calc!$E$412))&amp;". ")&amp;IF(LEN(IF(LEN(INDEX('Licences'!$F$4:$F$503,_calc!$E$412))=0,"",INDEX('Licences'!$F$4:$F$503,_calc!$E$412)))=0,"","Owner: "&amp;IF(LEN(INDEX('Licences'!$F$4:$F$503,_calc!$E$412))=0,"",INDEX('Licences'!$F$4:$F$503,_calc!$E$412))&amp;". ")&amp;IF(LEN(IF(LEN(INDEX('Licences'!$R$4:$R$503,_calc!$E$412))=0,"",INDEX('Licences'!$R$4:$R$503,_calc!$E$412)))=0,"",IF(LEN(INDEX('Licences'!$R$4:$R$503,_calc!$E$412))=0,"",INDEX('Licences'!$R$4:$R$503,_calc!$E$412)))))</f>
        <v/>
      </c>
      <c r="G410" s="44">
        <f>IF(_calc!$E$412="","",IF(LEN(INDEX('Licences'!$Q$4:$Q$503,_calc!$E$412))=0,"",INDEX('Licences'!$Q$4:$Q$503,_calc!$E$412)))</f>
        <v/>
      </c>
      <c r="H410" s="44">
        <f>IF(_calc!$E$412="","",IF(LEN(INDEX('Licences'!$O$4:$O$503,_calc!$E$412))=0,"",INDEX('Licences'!$O$4:$O$503,_calc!$E$412)))</f>
        <v/>
      </c>
      <c r="I410" s="44">
        <f>IF(_calc!$E$412="","",IF(LEN(INDEX('Licences'!$P$4:$P$503,_calc!$E$412))=0,"",INDEX('Licences'!$P$4:$P$503,_calc!$E$412)))</f>
        <v/>
      </c>
      <c r="K410" s="44">
        <f>IF(_calc!$E$412="","",IF(LEN(INDEX('Licences'!$G$4:$G$503,_calc!$E$412))=0,"",INDEX('Licences'!$G$4:$G$503,_calc!$E$412)))</f>
        <v/>
      </c>
    </row>
    <row r="411">
      <c r="A411" s="44">
        <f>IF(_calc!$E$413="","",IF(LEN(INDEX('Licences'!$A$4:$A$503,_calc!$E$413))=0,"",INDEX('Licences'!$A$4:$A$503,_calc!$E$413)))</f>
        <v/>
      </c>
      <c r="B411" s="44">
        <f>IF(_calc!$E$413="","",IF(ISNUMBER(INDEX('Licences'!$J$4:$J$503,_calc!$E$413)),TEXT(INDEX('Licences'!$J$4:$J$503,_calc!$E$413),"yyyy-mm-dd"),""))</f>
        <v/>
      </c>
      <c r="C411" s="44">
        <f>IF(_calc!$E$413="","",IF(LEN(INDEX('Licences'!$B$4:$B$503,_calc!$E$413))=0,"",INDEX('Licences'!$B$4:$B$503,_calc!$E$413)))</f>
        <v/>
      </c>
      <c r="D411" s="44">
        <f>IF(_calc!$E$413="","",IF(ISNUMBER(INDEX('Licences'!$I$4:$I$503,_calc!$E$413)),TEXT(INDEX('Licences'!$I$4:$I$503,_calc!$E$413),"yyyy-mm-dd"),""))</f>
        <v/>
      </c>
      <c r="E411" s="44">
        <f>IF(_calc!$E$413="","",IF(LEN(INDEX('Licences'!$H$4:$H$503,_calc!$E$413))=0,"",INDEX('Licences'!$H$4:$H$503,_calc!$E$413)))</f>
        <v/>
      </c>
      <c r="F411" s="44">
        <f>IF(_calc!$E$413="","",TRIM(IF(LEN(IF(LEN(INDEX('Licences'!$D$4:$D$503,_calc!$E$413))=0,"",INDEX('Licences'!$D$4:$D$503,_calc!$E$413)))=0,"","Ref: "&amp;IF(LEN(INDEX('Licences'!$D$4:$D$503,_calc!$E$413))=0,"",INDEX('Licences'!$D$4:$D$503,_calc!$E$413))&amp;". ")&amp;IF(LEN(IF(LEN(INDEX('Licences'!$C$4:$C$503,_calc!$E$413))=0,"",INDEX('Licences'!$C$4:$C$503,_calc!$E$413)))=0,"","Issuer: "&amp;IF(LEN(INDEX('Licences'!$C$4:$C$503,_calc!$E$413))=0,"",INDEX('Licences'!$C$4:$C$503,_calc!$E$413))&amp;". ")&amp;IF(LEN(IF(LEN(INDEX('Licences'!$E$4:$E$503,_calc!$E$413))=0,"",INDEX('Licences'!$E$4:$E$503,_calc!$E$413)))=0,"","Site: "&amp;IF(LEN(INDEX('Licences'!$E$4:$E$503,_calc!$E$413))=0,"",INDEX('Licences'!$E$4:$E$503,_calc!$E$413))&amp;". ")&amp;IF(LEN(IF(LEN(INDEX('Licences'!$F$4:$F$503,_calc!$E$413))=0,"",INDEX('Licences'!$F$4:$F$503,_calc!$E$413)))=0,"","Owner: "&amp;IF(LEN(INDEX('Licences'!$F$4:$F$503,_calc!$E$413))=0,"",INDEX('Licences'!$F$4:$F$503,_calc!$E$413))&amp;". ")&amp;IF(LEN(IF(LEN(INDEX('Licences'!$R$4:$R$503,_calc!$E$413))=0,"",INDEX('Licences'!$R$4:$R$503,_calc!$E$413)))=0,"",IF(LEN(INDEX('Licences'!$R$4:$R$503,_calc!$E$413))=0,"",INDEX('Licences'!$R$4:$R$503,_calc!$E$413)))))</f>
        <v/>
      </c>
      <c r="G411" s="44">
        <f>IF(_calc!$E$413="","",IF(LEN(INDEX('Licences'!$Q$4:$Q$503,_calc!$E$413))=0,"",INDEX('Licences'!$Q$4:$Q$503,_calc!$E$413)))</f>
        <v/>
      </c>
      <c r="H411" s="44">
        <f>IF(_calc!$E$413="","",IF(LEN(INDEX('Licences'!$O$4:$O$503,_calc!$E$413))=0,"",INDEX('Licences'!$O$4:$O$503,_calc!$E$413)))</f>
        <v/>
      </c>
      <c r="I411" s="44">
        <f>IF(_calc!$E$413="","",IF(LEN(INDEX('Licences'!$P$4:$P$503,_calc!$E$413))=0,"",INDEX('Licences'!$P$4:$P$503,_calc!$E$413)))</f>
        <v/>
      </c>
      <c r="K411" s="44">
        <f>IF(_calc!$E$413="","",IF(LEN(INDEX('Licences'!$G$4:$G$503,_calc!$E$413))=0,"",INDEX('Licences'!$G$4:$G$503,_calc!$E$413)))</f>
        <v/>
      </c>
    </row>
    <row r="412">
      <c r="A412" s="44">
        <f>IF(_calc!$E$414="","",IF(LEN(INDEX('Licences'!$A$4:$A$503,_calc!$E$414))=0,"",INDEX('Licences'!$A$4:$A$503,_calc!$E$414)))</f>
        <v/>
      </c>
      <c r="B412" s="44">
        <f>IF(_calc!$E$414="","",IF(ISNUMBER(INDEX('Licences'!$J$4:$J$503,_calc!$E$414)),TEXT(INDEX('Licences'!$J$4:$J$503,_calc!$E$414),"yyyy-mm-dd"),""))</f>
        <v/>
      </c>
      <c r="C412" s="44">
        <f>IF(_calc!$E$414="","",IF(LEN(INDEX('Licences'!$B$4:$B$503,_calc!$E$414))=0,"",INDEX('Licences'!$B$4:$B$503,_calc!$E$414)))</f>
        <v/>
      </c>
      <c r="D412" s="44">
        <f>IF(_calc!$E$414="","",IF(ISNUMBER(INDEX('Licences'!$I$4:$I$503,_calc!$E$414)),TEXT(INDEX('Licences'!$I$4:$I$503,_calc!$E$414),"yyyy-mm-dd"),""))</f>
        <v/>
      </c>
      <c r="E412" s="44">
        <f>IF(_calc!$E$414="","",IF(LEN(INDEX('Licences'!$H$4:$H$503,_calc!$E$414))=0,"",INDEX('Licences'!$H$4:$H$503,_calc!$E$414)))</f>
        <v/>
      </c>
      <c r="F412" s="44">
        <f>IF(_calc!$E$414="","",TRIM(IF(LEN(IF(LEN(INDEX('Licences'!$D$4:$D$503,_calc!$E$414))=0,"",INDEX('Licences'!$D$4:$D$503,_calc!$E$414)))=0,"","Ref: "&amp;IF(LEN(INDEX('Licences'!$D$4:$D$503,_calc!$E$414))=0,"",INDEX('Licences'!$D$4:$D$503,_calc!$E$414))&amp;". ")&amp;IF(LEN(IF(LEN(INDEX('Licences'!$C$4:$C$503,_calc!$E$414))=0,"",INDEX('Licences'!$C$4:$C$503,_calc!$E$414)))=0,"","Issuer: "&amp;IF(LEN(INDEX('Licences'!$C$4:$C$503,_calc!$E$414))=0,"",INDEX('Licences'!$C$4:$C$503,_calc!$E$414))&amp;". ")&amp;IF(LEN(IF(LEN(INDEX('Licences'!$E$4:$E$503,_calc!$E$414))=0,"",INDEX('Licences'!$E$4:$E$503,_calc!$E$414)))=0,"","Site: "&amp;IF(LEN(INDEX('Licences'!$E$4:$E$503,_calc!$E$414))=0,"",INDEX('Licences'!$E$4:$E$503,_calc!$E$414))&amp;". ")&amp;IF(LEN(IF(LEN(INDEX('Licences'!$F$4:$F$503,_calc!$E$414))=0,"",INDEX('Licences'!$F$4:$F$503,_calc!$E$414)))=0,"","Owner: "&amp;IF(LEN(INDEX('Licences'!$F$4:$F$503,_calc!$E$414))=0,"",INDEX('Licences'!$F$4:$F$503,_calc!$E$414))&amp;". ")&amp;IF(LEN(IF(LEN(INDEX('Licences'!$R$4:$R$503,_calc!$E$414))=0,"",INDEX('Licences'!$R$4:$R$503,_calc!$E$414)))=0,"",IF(LEN(INDEX('Licences'!$R$4:$R$503,_calc!$E$414))=0,"",INDEX('Licences'!$R$4:$R$503,_calc!$E$414)))))</f>
        <v/>
      </c>
      <c r="G412" s="44">
        <f>IF(_calc!$E$414="","",IF(LEN(INDEX('Licences'!$Q$4:$Q$503,_calc!$E$414))=0,"",INDEX('Licences'!$Q$4:$Q$503,_calc!$E$414)))</f>
        <v/>
      </c>
      <c r="H412" s="44">
        <f>IF(_calc!$E$414="","",IF(LEN(INDEX('Licences'!$O$4:$O$503,_calc!$E$414))=0,"",INDEX('Licences'!$O$4:$O$503,_calc!$E$414)))</f>
        <v/>
      </c>
      <c r="I412" s="44">
        <f>IF(_calc!$E$414="","",IF(LEN(INDEX('Licences'!$P$4:$P$503,_calc!$E$414))=0,"",INDEX('Licences'!$P$4:$P$503,_calc!$E$414)))</f>
        <v/>
      </c>
      <c r="K412" s="44">
        <f>IF(_calc!$E$414="","",IF(LEN(INDEX('Licences'!$G$4:$G$503,_calc!$E$414))=0,"",INDEX('Licences'!$G$4:$G$503,_calc!$E$414)))</f>
        <v/>
      </c>
    </row>
    <row r="413">
      <c r="A413" s="44">
        <f>IF(_calc!$E$415="","",IF(LEN(INDEX('Licences'!$A$4:$A$503,_calc!$E$415))=0,"",INDEX('Licences'!$A$4:$A$503,_calc!$E$415)))</f>
        <v/>
      </c>
      <c r="B413" s="44">
        <f>IF(_calc!$E$415="","",IF(ISNUMBER(INDEX('Licences'!$J$4:$J$503,_calc!$E$415)),TEXT(INDEX('Licences'!$J$4:$J$503,_calc!$E$415),"yyyy-mm-dd"),""))</f>
        <v/>
      </c>
      <c r="C413" s="44">
        <f>IF(_calc!$E$415="","",IF(LEN(INDEX('Licences'!$B$4:$B$503,_calc!$E$415))=0,"",INDEX('Licences'!$B$4:$B$503,_calc!$E$415)))</f>
        <v/>
      </c>
      <c r="D413" s="44">
        <f>IF(_calc!$E$415="","",IF(ISNUMBER(INDEX('Licences'!$I$4:$I$503,_calc!$E$415)),TEXT(INDEX('Licences'!$I$4:$I$503,_calc!$E$415),"yyyy-mm-dd"),""))</f>
        <v/>
      </c>
      <c r="E413" s="44">
        <f>IF(_calc!$E$415="","",IF(LEN(INDEX('Licences'!$H$4:$H$503,_calc!$E$415))=0,"",INDEX('Licences'!$H$4:$H$503,_calc!$E$415)))</f>
        <v/>
      </c>
      <c r="F413" s="44">
        <f>IF(_calc!$E$415="","",TRIM(IF(LEN(IF(LEN(INDEX('Licences'!$D$4:$D$503,_calc!$E$415))=0,"",INDEX('Licences'!$D$4:$D$503,_calc!$E$415)))=0,"","Ref: "&amp;IF(LEN(INDEX('Licences'!$D$4:$D$503,_calc!$E$415))=0,"",INDEX('Licences'!$D$4:$D$503,_calc!$E$415))&amp;". ")&amp;IF(LEN(IF(LEN(INDEX('Licences'!$C$4:$C$503,_calc!$E$415))=0,"",INDEX('Licences'!$C$4:$C$503,_calc!$E$415)))=0,"","Issuer: "&amp;IF(LEN(INDEX('Licences'!$C$4:$C$503,_calc!$E$415))=0,"",INDEX('Licences'!$C$4:$C$503,_calc!$E$415))&amp;". ")&amp;IF(LEN(IF(LEN(INDEX('Licences'!$E$4:$E$503,_calc!$E$415))=0,"",INDEX('Licences'!$E$4:$E$503,_calc!$E$415)))=0,"","Site: "&amp;IF(LEN(INDEX('Licences'!$E$4:$E$503,_calc!$E$415))=0,"",INDEX('Licences'!$E$4:$E$503,_calc!$E$415))&amp;". ")&amp;IF(LEN(IF(LEN(INDEX('Licences'!$F$4:$F$503,_calc!$E$415))=0,"",INDEX('Licences'!$F$4:$F$503,_calc!$E$415)))=0,"","Owner: "&amp;IF(LEN(INDEX('Licences'!$F$4:$F$503,_calc!$E$415))=0,"",INDEX('Licences'!$F$4:$F$503,_calc!$E$415))&amp;". ")&amp;IF(LEN(IF(LEN(INDEX('Licences'!$R$4:$R$503,_calc!$E$415))=0,"",INDEX('Licences'!$R$4:$R$503,_calc!$E$415)))=0,"",IF(LEN(INDEX('Licences'!$R$4:$R$503,_calc!$E$415))=0,"",INDEX('Licences'!$R$4:$R$503,_calc!$E$415)))))</f>
        <v/>
      </c>
      <c r="G413" s="44">
        <f>IF(_calc!$E$415="","",IF(LEN(INDEX('Licences'!$Q$4:$Q$503,_calc!$E$415))=0,"",INDEX('Licences'!$Q$4:$Q$503,_calc!$E$415)))</f>
        <v/>
      </c>
      <c r="H413" s="44">
        <f>IF(_calc!$E$415="","",IF(LEN(INDEX('Licences'!$O$4:$O$503,_calc!$E$415))=0,"",INDEX('Licences'!$O$4:$O$503,_calc!$E$415)))</f>
        <v/>
      </c>
      <c r="I413" s="44">
        <f>IF(_calc!$E$415="","",IF(LEN(INDEX('Licences'!$P$4:$P$503,_calc!$E$415))=0,"",INDEX('Licences'!$P$4:$P$503,_calc!$E$415)))</f>
        <v/>
      </c>
      <c r="K413" s="44">
        <f>IF(_calc!$E$415="","",IF(LEN(INDEX('Licences'!$G$4:$G$503,_calc!$E$415))=0,"",INDEX('Licences'!$G$4:$G$503,_calc!$E$415)))</f>
        <v/>
      </c>
    </row>
    <row r="414">
      <c r="A414" s="44">
        <f>IF(_calc!$E$416="","",IF(LEN(INDEX('Licences'!$A$4:$A$503,_calc!$E$416))=0,"",INDEX('Licences'!$A$4:$A$503,_calc!$E$416)))</f>
        <v/>
      </c>
      <c r="B414" s="44">
        <f>IF(_calc!$E$416="","",IF(ISNUMBER(INDEX('Licences'!$J$4:$J$503,_calc!$E$416)),TEXT(INDEX('Licences'!$J$4:$J$503,_calc!$E$416),"yyyy-mm-dd"),""))</f>
        <v/>
      </c>
      <c r="C414" s="44">
        <f>IF(_calc!$E$416="","",IF(LEN(INDEX('Licences'!$B$4:$B$503,_calc!$E$416))=0,"",INDEX('Licences'!$B$4:$B$503,_calc!$E$416)))</f>
        <v/>
      </c>
      <c r="D414" s="44">
        <f>IF(_calc!$E$416="","",IF(ISNUMBER(INDEX('Licences'!$I$4:$I$503,_calc!$E$416)),TEXT(INDEX('Licences'!$I$4:$I$503,_calc!$E$416),"yyyy-mm-dd"),""))</f>
        <v/>
      </c>
      <c r="E414" s="44">
        <f>IF(_calc!$E$416="","",IF(LEN(INDEX('Licences'!$H$4:$H$503,_calc!$E$416))=0,"",INDEX('Licences'!$H$4:$H$503,_calc!$E$416)))</f>
        <v/>
      </c>
      <c r="F414" s="44">
        <f>IF(_calc!$E$416="","",TRIM(IF(LEN(IF(LEN(INDEX('Licences'!$D$4:$D$503,_calc!$E$416))=0,"",INDEX('Licences'!$D$4:$D$503,_calc!$E$416)))=0,"","Ref: "&amp;IF(LEN(INDEX('Licences'!$D$4:$D$503,_calc!$E$416))=0,"",INDEX('Licences'!$D$4:$D$503,_calc!$E$416))&amp;". ")&amp;IF(LEN(IF(LEN(INDEX('Licences'!$C$4:$C$503,_calc!$E$416))=0,"",INDEX('Licences'!$C$4:$C$503,_calc!$E$416)))=0,"","Issuer: "&amp;IF(LEN(INDEX('Licences'!$C$4:$C$503,_calc!$E$416))=0,"",INDEX('Licences'!$C$4:$C$503,_calc!$E$416))&amp;". ")&amp;IF(LEN(IF(LEN(INDEX('Licences'!$E$4:$E$503,_calc!$E$416))=0,"",INDEX('Licences'!$E$4:$E$503,_calc!$E$416)))=0,"","Site: "&amp;IF(LEN(INDEX('Licences'!$E$4:$E$503,_calc!$E$416))=0,"",INDEX('Licences'!$E$4:$E$503,_calc!$E$416))&amp;". ")&amp;IF(LEN(IF(LEN(INDEX('Licences'!$F$4:$F$503,_calc!$E$416))=0,"",INDEX('Licences'!$F$4:$F$503,_calc!$E$416)))=0,"","Owner: "&amp;IF(LEN(INDEX('Licences'!$F$4:$F$503,_calc!$E$416))=0,"",INDEX('Licences'!$F$4:$F$503,_calc!$E$416))&amp;". ")&amp;IF(LEN(IF(LEN(INDEX('Licences'!$R$4:$R$503,_calc!$E$416))=0,"",INDEX('Licences'!$R$4:$R$503,_calc!$E$416)))=0,"",IF(LEN(INDEX('Licences'!$R$4:$R$503,_calc!$E$416))=0,"",INDEX('Licences'!$R$4:$R$503,_calc!$E$416)))))</f>
        <v/>
      </c>
      <c r="G414" s="44">
        <f>IF(_calc!$E$416="","",IF(LEN(INDEX('Licences'!$Q$4:$Q$503,_calc!$E$416))=0,"",INDEX('Licences'!$Q$4:$Q$503,_calc!$E$416)))</f>
        <v/>
      </c>
      <c r="H414" s="44">
        <f>IF(_calc!$E$416="","",IF(LEN(INDEX('Licences'!$O$4:$O$503,_calc!$E$416))=0,"",INDEX('Licences'!$O$4:$O$503,_calc!$E$416)))</f>
        <v/>
      </c>
      <c r="I414" s="44">
        <f>IF(_calc!$E$416="","",IF(LEN(INDEX('Licences'!$P$4:$P$503,_calc!$E$416))=0,"",INDEX('Licences'!$P$4:$P$503,_calc!$E$416)))</f>
        <v/>
      </c>
      <c r="K414" s="44">
        <f>IF(_calc!$E$416="","",IF(LEN(INDEX('Licences'!$G$4:$G$503,_calc!$E$416))=0,"",INDEX('Licences'!$G$4:$G$503,_calc!$E$416)))</f>
        <v/>
      </c>
    </row>
    <row r="415">
      <c r="A415" s="44">
        <f>IF(_calc!$E$417="","",IF(LEN(INDEX('Licences'!$A$4:$A$503,_calc!$E$417))=0,"",INDEX('Licences'!$A$4:$A$503,_calc!$E$417)))</f>
        <v/>
      </c>
      <c r="B415" s="44">
        <f>IF(_calc!$E$417="","",IF(ISNUMBER(INDEX('Licences'!$J$4:$J$503,_calc!$E$417)),TEXT(INDEX('Licences'!$J$4:$J$503,_calc!$E$417),"yyyy-mm-dd"),""))</f>
        <v/>
      </c>
      <c r="C415" s="44">
        <f>IF(_calc!$E$417="","",IF(LEN(INDEX('Licences'!$B$4:$B$503,_calc!$E$417))=0,"",INDEX('Licences'!$B$4:$B$503,_calc!$E$417)))</f>
        <v/>
      </c>
      <c r="D415" s="44">
        <f>IF(_calc!$E$417="","",IF(ISNUMBER(INDEX('Licences'!$I$4:$I$503,_calc!$E$417)),TEXT(INDEX('Licences'!$I$4:$I$503,_calc!$E$417),"yyyy-mm-dd"),""))</f>
        <v/>
      </c>
      <c r="E415" s="44">
        <f>IF(_calc!$E$417="","",IF(LEN(INDEX('Licences'!$H$4:$H$503,_calc!$E$417))=0,"",INDEX('Licences'!$H$4:$H$503,_calc!$E$417)))</f>
        <v/>
      </c>
      <c r="F415" s="44">
        <f>IF(_calc!$E$417="","",TRIM(IF(LEN(IF(LEN(INDEX('Licences'!$D$4:$D$503,_calc!$E$417))=0,"",INDEX('Licences'!$D$4:$D$503,_calc!$E$417)))=0,"","Ref: "&amp;IF(LEN(INDEX('Licences'!$D$4:$D$503,_calc!$E$417))=0,"",INDEX('Licences'!$D$4:$D$503,_calc!$E$417))&amp;". ")&amp;IF(LEN(IF(LEN(INDEX('Licences'!$C$4:$C$503,_calc!$E$417))=0,"",INDEX('Licences'!$C$4:$C$503,_calc!$E$417)))=0,"","Issuer: "&amp;IF(LEN(INDEX('Licences'!$C$4:$C$503,_calc!$E$417))=0,"",INDEX('Licences'!$C$4:$C$503,_calc!$E$417))&amp;". ")&amp;IF(LEN(IF(LEN(INDEX('Licences'!$E$4:$E$503,_calc!$E$417))=0,"",INDEX('Licences'!$E$4:$E$503,_calc!$E$417)))=0,"","Site: "&amp;IF(LEN(INDEX('Licences'!$E$4:$E$503,_calc!$E$417))=0,"",INDEX('Licences'!$E$4:$E$503,_calc!$E$417))&amp;". ")&amp;IF(LEN(IF(LEN(INDEX('Licences'!$F$4:$F$503,_calc!$E$417))=0,"",INDEX('Licences'!$F$4:$F$503,_calc!$E$417)))=0,"","Owner: "&amp;IF(LEN(INDEX('Licences'!$F$4:$F$503,_calc!$E$417))=0,"",INDEX('Licences'!$F$4:$F$503,_calc!$E$417))&amp;". ")&amp;IF(LEN(IF(LEN(INDEX('Licences'!$R$4:$R$503,_calc!$E$417))=0,"",INDEX('Licences'!$R$4:$R$503,_calc!$E$417)))=0,"",IF(LEN(INDEX('Licences'!$R$4:$R$503,_calc!$E$417))=0,"",INDEX('Licences'!$R$4:$R$503,_calc!$E$417)))))</f>
        <v/>
      </c>
      <c r="G415" s="44">
        <f>IF(_calc!$E$417="","",IF(LEN(INDEX('Licences'!$Q$4:$Q$503,_calc!$E$417))=0,"",INDEX('Licences'!$Q$4:$Q$503,_calc!$E$417)))</f>
        <v/>
      </c>
      <c r="H415" s="44">
        <f>IF(_calc!$E$417="","",IF(LEN(INDEX('Licences'!$O$4:$O$503,_calc!$E$417))=0,"",INDEX('Licences'!$O$4:$O$503,_calc!$E$417)))</f>
        <v/>
      </c>
      <c r="I415" s="44">
        <f>IF(_calc!$E$417="","",IF(LEN(INDEX('Licences'!$P$4:$P$503,_calc!$E$417))=0,"",INDEX('Licences'!$P$4:$P$503,_calc!$E$417)))</f>
        <v/>
      </c>
      <c r="K415" s="44">
        <f>IF(_calc!$E$417="","",IF(LEN(INDEX('Licences'!$G$4:$G$503,_calc!$E$417))=0,"",INDEX('Licences'!$G$4:$G$503,_calc!$E$417)))</f>
        <v/>
      </c>
    </row>
    <row r="416">
      <c r="A416" s="44">
        <f>IF(_calc!$E$418="","",IF(LEN(INDEX('Licences'!$A$4:$A$503,_calc!$E$418))=0,"",INDEX('Licences'!$A$4:$A$503,_calc!$E$418)))</f>
        <v/>
      </c>
      <c r="B416" s="44">
        <f>IF(_calc!$E$418="","",IF(ISNUMBER(INDEX('Licences'!$J$4:$J$503,_calc!$E$418)),TEXT(INDEX('Licences'!$J$4:$J$503,_calc!$E$418),"yyyy-mm-dd"),""))</f>
        <v/>
      </c>
      <c r="C416" s="44">
        <f>IF(_calc!$E$418="","",IF(LEN(INDEX('Licences'!$B$4:$B$503,_calc!$E$418))=0,"",INDEX('Licences'!$B$4:$B$503,_calc!$E$418)))</f>
        <v/>
      </c>
      <c r="D416" s="44">
        <f>IF(_calc!$E$418="","",IF(ISNUMBER(INDEX('Licences'!$I$4:$I$503,_calc!$E$418)),TEXT(INDEX('Licences'!$I$4:$I$503,_calc!$E$418),"yyyy-mm-dd"),""))</f>
        <v/>
      </c>
      <c r="E416" s="44">
        <f>IF(_calc!$E$418="","",IF(LEN(INDEX('Licences'!$H$4:$H$503,_calc!$E$418))=0,"",INDEX('Licences'!$H$4:$H$503,_calc!$E$418)))</f>
        <v/>
      </c>
      <c r="F416" s="44">
        <f>IF(_calc!$E$418="","",TRIM(IF(LEN(IF(LEN(INDEX('Licences'!$D$4:$D$503,_calc!$E$418))=0,"",INDEX('Licences'!$D$4:$D$503,_calc!$E$418)))=0,"","Ref: "&amp;IF(LEN(INDEX('Licences'!$D$4:$D$503,_calc!$E$418))=0,"",INDEX('Licences'!$D$4:$D$503,_calc!$E$418))&amp;". ")&amp;IF(LEN(IF(LEN(INDEX('Licences'!$C$4:$C$503,_calc!$E$418))=0,"",INDEX('Licences'!$C$4:$C$503,_calc!$E$418)))=0,"","Issuer: "&amp;IF(LEN(INDEX('Licences'!$C$4:$C$503,_calc!$E$418))=0,"",INDEX('Licences'!$C$4:$C$503,_calc!$E$418))&amp;". ")&amp;IF(LEN(IF(LEN(INDEX('Licences'!$E$4:$E$503,_calc!$E$418))=0,"",INDEX('Licences'!$E$4:$E$503,_calc!$E$418)))=0,"","Site: "&amp;IF(LEN(INDEX('Licences'!$E$4:$E$503,_calc!$E$418))=0,"",INDEX('Licences'!$E$4:$E$503,_calc!$E$418))&amp;". ")&amp;IF(LEN(IF(LEN(INDEX('Licences'!$F$4:$F$503,_calc!$E$418))=0,"",INDEX('Licences'!$F$4:$F$503,_calc!$E$418)))=0,"","Owner: "&amp;IF(LEN(INDEX('Licences'!$F$4:$F$503,_calc!$E$418))=0,"",INDEX('Licences'!$F$4:$F$503,_calc!$E$418))&amp;". ")&amp;IF(LEN(IF(LEN(INDEX('Licences'!$R$4:$R$503,_calc!$E$418))=0,"",INDEX('Licences'!$R$4:$R$503,_calc!$E$418)))=0,"",IF(LEN(INDEX('Licences'!$R$4:$R$503,_calc!$E$418))=0,"",INDEX('Licences'!$R$4:$R$503,_calc!$E$418)))))</f>
        <v/>
      </c>
      <c r="G416" s="44">
        <f>IF(_calc!$E$418="","",IF(LEN(INDEX('Licences'!$Q$4:$Q$503,_calc!$E$418))=0,"",INDEX('Licences'!$Q$4:$Q$503,_calc!$E$418)))</f>
        <v/>
      </c>
      <c r="H416" s="44">
        <f>IF(_calc!$E$418="","",IF(LEN(INDEX('Licences'!$O$4:$O$503,_calc!$E$418))=0,"",INDEX('Licences'!$O$4:$O$503,_calc!$E$418)))</f>
        <v/>
      </c>
      <c r="I416" s="44">
        <f>IF(_calc!$E$418="","",IF(LEN(INDEX('Licences'!$P$4:$P$503,_calc!$E$418))=0,"",INDEX('Licences'!$P$4:$P$503,_calc!$E$418)))</f>
        <v/>
      </c>
      <c r="K416" s="44">
        <f>IF(_calc!$E$418="","",IF(LEN(INDEX('Licences'!$G$4:$G$503,_calc!$E$418))=0,"",INDEX('Licences'!$G$4:$G$503,_calc!$E$418)))</f>
        <v/>
      </c>
    </row>
    <row r="417">
      <c r="A417" s="44">
        <f>IF(_calc!$E$419="","",IF(LEN(INDEX('Licences'!$A$4:$A$503,_calc!$E$419))=0,"",INDEX('Licences'!$A$4:$A$503,_calc!$E$419)))</f>
        <v/>
      </c>
      <c r="B417" s="44">
        <f>IF(_calc!$E$419="","",IF(ISNUMBER(INDEX('Licences'!$J$4:$J$503,_calc!$E$419)),TEXT(INDEX('Licences'!$J$4:$J$503,_calc!$E$419),"yyyy-mm-dd"),""))</f>
        <v/>
      </c>
      <c r="C417" s="44">
        <f>IF(_calc!$E$419="","",IF(LEN(INDEX('Licences'!$B$4:$B$503,_calc!$E$419))=0,"",INDEX('Licences'!$B$4:$B$503,_calc!$E$419)))</f>
        <v/>
      </c>
      <c r="D417" s="44">
        <f>IF(_calc!$E$419="","",IF(ISNUMBER(INDEX('Licences'!$I$4:$I$503,_calc!$E$419)),TEXT(INDEX('Licences'!$I$4:$I$503,_calc!$E$419),"yyyy-mm-dd"),""))</f>
        <v/>
      </c>
      <c r="E417" s="44">
        <f>IF(_calc!$E$419="","",IF(LEN(INDEX('Licences'!$H$4:$H$503,_calc!$E$419))=0,"",INDEX('Licences'!$H$4:$H$503,_calc!$E$419)))</f>
        <v/>
      </c>
      <c r="F417" s="44">
        <f>IF(_calc!$E$419="","",TRIM(IF(LEN(IF(LEN(INDEX('Licences'!$D$4:$D$503,_calc!$E$419))=0,"",INDEX('Licences'!$D$4:$D$503,_calc!$E$419)))=0,"","Ref: "&amp;IF(LEN(INDEX('Licences'!$D$4:$D$503,_calc!$E$419))=0,"",INDEX('Licences'!$D$4:$D$503,_calc!$E$419))&amp;". ")&amp;IF(LEN(IF(LEN(INDEX('Licences'!$C$4:$C$503,_calc!$E$419))=0,"",INDEX('Licences'!$C$4:$C$503,_calc!$E$419)))=0,"","Issuer: "&amp;IF(LEN(INDEX('Licences'!$C$4:$C$503,_calc!$E$419))=0,"",INDEX('Licences'!$C$4:$C$503,_calc!$E$419))&amp;". ")&amp;IF(LEN(IF(LEN(INDEX('Licences'!$E$4:$E$503,_calc!$E$419))=0,"",INDEX('Licences'!$E$4:$E$503,_calc!$E$419)))=0,"","Site: "&amp;IF(LEN(INDEX('Licences'!$E$4:$E$503,_calc!$E$419))=0,"",INDEX('Licences'!$E$4:$E$503,_calc!$E$419))&amp;". ")&amp;IF(LEN(IF(LEN(INDEX('Licences'!$F$4:$F$503,_calc!$E$419))=0,"",INDEX('Licences'!$F$4:$F$503,_calc!$E$419)))=0,"","Owner: "&amp;IF(LEN(INDEX('Licences'!$F$4:$F$503,_calc!$E$419))=0,"",INDEX('Licences'!$F$4:$F$503,_calc!$E$419))&amp;". ")&amp;IF(LEN(IF(LEN(INDEX('Licences'!$R$4:$R$503,_calc!$E$419))=0,"",INDEX('Licences'!$R$4:$R$503,_calc!$E$419)))=0,"",IF(LEN(INDEX('Licences'!$R$4:$R$503,_calc!$E$419))=0,"",INDEX('Licences'!$R$4:$R$503,_calc!$E$419)))))</f>
        <v/>
      </c>
      <c r="G417" s="44">
        <f>IF(_calc!$E$419="","",IF(LEN(INDEX('Licences'!$Q$4:$Q$503,_calc!$E$419))=0,"",INDEX('Licences'!$Q$4:$Q$503,_calc!$E$419)))</f>
        <v/>
      </c>
      <c r="H417" s="44">
        <f>IF(_calc!$E$419="","",IF(LEN(INDEX('Licences'!$O$4:$O$503,_calc!$E$419))=0,"",INDEX('Licences'!$O$4:$O$503,_calc!$E$419)))</f>
        <v/>
      </c>
      <c r="I417" s="44">
        <f>IF(_calc!$E$419="","",IF(LEN(INDEX('Licences'!$P$4:$P$503,_calc!$E$419))=0,"",INDEX('Licences'!$P$4:$P$503,_calc!$E$419)))</f>
        <v/>
      </c>
      <c r="K417" s="44">
        <f>IF(_calc!$E$419="","",IF(LEN(INDEX('Licences'!$G$4:$G$503,_calc!$E$419))=0,"",INDEX('Licences'!$G$4:$G$503,_calc!$E$419)))</f>
        <v/>
      </c>
    </row>
    <row r="418">
      <c r="A418" s="44">
        <f>IF(_calc!$E$420="","",IF(LEN(INDEX('Licences'!$A$4:$A$503,_calc!$E$420))=0,"",INDEX('Licences'!$A$4:$A$503,_calc!$E$420)))</f>
        <v/>
      </c>
      <c r="B418" s="44">
        <f>IF(_calc!$E$420="","",IF(ISNUMBER(INDEX('Licences'!$J$4:$J$503,_calc!$E$420)),TEXT(INDEX('Licences'!$J$4:$J$503,_calc!$E$420),"yyyy-mm-dd"),""))</f>
        <v/>
      </c>
      <c r="C418" s="44">
        <f>IF(_calc!$E$420="","",IF(LEN(INDEX('Licences'!$B$4:$B$503,_calc!$E$420))=0,"",INDEX('Licences'!$B$4:$B$503,_calc!$E$420)))</f>
        <v/>
      </c>
      <c r="D418" s="44">
        <f>IF(_calc!$E$420="","",IF(ISNUMBER(INDEX('Licences'!$I$4:$I$503,_calc!$E$420)),TEXT(INDEX('Licences'!$I$4:$I$503,_calc!$E$420),"yyyy-mm-dd"),""))</f>
        <v/>
      </c>
      <c r="E418" s="44">
        <f>IF(_calc!$E$420="","",IF(LEN(INDEX('Licences'!$H$4:$H$503,_calc!$E$420))=0,"",INDEX('Licences'!$H$4:$H$503,_calc!$E$420)))</f>
        <v/>
      </c>
      <c r="F418" s="44">
        <f>IF(_calc!$E$420="","",TRIM(IF(LEN(IF(LEN(INDEX('Licences'!$D$4:$D$503,_calc!$E$420))=0,"",INDEX('Licences'!$D$4:$D$503,_calc!$E$420)))=0,"","Ref: "&amp;IF(LEN(INDEX('Licences'!$D$4:$D$503,_calc!$E$420))=0,"",INDEX('Licences'!$D$4:$D$503,_calc!$E$420))&amp;". ")&amp;IF(LEN(IF(LEN(INDEX('Licences'!$C$4:$C$503,_calc!$E$420))=0,"",INDEX('Licences'!$C$4:$C$503,_calc!$E$420)))=0,"","Issuer: "&amp;IF(LEN(INDEX('Licences'!$C$4:$C$503,_calc!$E$420))=0,"",INDEX('Licences'!$C$4:$C$503,_calc!$E$420))&amp;". ")&amp;IF(LEN(IF(LEN(INDEX('Licences'!$E$4:$E$503,_calc!$E$420))=0,"",INDEX('Licences'!$E$4:$E$503,_calc!$E$420)))=0,"","Site: "&amp;IF(LEN(INDEX('Licences'!$E$4:$E$503,_calc!$E$420))=0,"",INDEX('Licences'!$E$4:$E$503,_calc!$E$420))&amp;". ")&amp;IF(LEN(IF(LEN(INDEX('Licences'!$F$4:$F$503,_calc!$E$420))=0,"",INDEX('Licences'!$F$4:$F$503,_calc!$E$420)))=0,"","Owner: "&amp;IF(LEN(INDEX('Licences'!$F$4:$F$503,_calc!$E$420))=0,"",INDEX('Licences'!$F$4:$F$503,_calc!$E$420))&amp;". ")&amp;IF(LEN(IF(LEN(INDEX('Licences'!$R$4:$R$503,_calc!$E$420))=0,"",INDEX('Licences'!$R$4:$R$503,_calc!$E$420)))=0,"",IF(LEN(INDEX('Licences'!$R$4:$R$503,_calc!$E$420))=0,"",INDEX('Licences'!$R$4:$R$503,_calc!$E$420)))))</f>
        <v/>
      </c>
      <c r="G418" s="44">
        <f>IF(_calc!$E$420="","",IF(LEN(INDEX('Licences'!$Q$4:$Q$503,_calc!$E$420))=0,"",INDEX('Licences'!$Q$4:$Q$503,_calc!$E$420)))</f>
        <v/>
      </c>
      <c r="H418" s="44">
        <f>IF(_calc!$E$420="","",IF(LEN(INDEX('Licences'!$O$4:$O$503,_calc!$E$420))=0,"",INDEX('Licences'!$O$4:$O$503,_calc!$E$420)))</f>
        <v/>
      </c>
      <c r="I418" s="44">
        <f>IF(_calc!$E$420="","",IF(LEN(INDEX('Licences'!$P$4:$P$503,_calc!$E$420))=0,"",INDEX('Licences'!$P$4:$P$503,_calc!$E$420)))</f>
        <v/>
      </c>
      <c r="K418" s="44">
        <f>IF(_calc!$E$420="","",IF(LEN(INDEX('Licences'!$G$4:$G$503,_calc!$E$420))=0,"",INDEX('Licences'!$G$4:$G$503,_calc!$E$420)))</f>
        <v/>
      </c>
    </row>
    <row r="419">
      <c r="A419" s="44">
        <f>IF(_calc!$E$421="","",IF(LEN(INDEX('Licences'!$A$4:$A$503,_calc!$E$421))=0,"",INDEX('Licences'!$A$4:$A$503,_calc!$E$421)))</f>
        <v/>
      </c>
      <c r="B419" s="44">
        <f>IF(_calc!$E$421="","",IF(ISNUMBER(INDEX('Licences'!$J$4:$J$503,_calc!$E$421)),TEXT(INDEX('Licences'!$J$4:$J$503,_calc!$E$421),"yyyy-mm-dd"),""))</f>
        <v/>
      </c>
      <c r="C419" s="44">
        <f>IF(_calc!$E$421="","",IF(LEN(INDEX('Licences'!$B$4:$B$503,_calc!$E$421))=0,"",INDEX('Licences'!$B$4:$B$503,_calc!$E$421)))</f>
        <v/>
      </c>
      <c r="D419" s="44">
        <f>IF(_calc!$E$421="","",IF(ISNUMBER(INDEX('Licences'!$I$4:$I$503,_calc!$E$421)),TEXT(INDEX('Licences'!$I$4:$I$503,_calc!$E$421),"yyyy-mm-dd"),""))</f>
        <v/>
      </c>
      <c r="E419" s="44">
        <f>IF(_calc!$E$421="","",IF(LEN(INDEX('Licences'!$H$4:$H$503,_calc!$E$421))=0,"",INDEX('Licences'!$H$4:$H$503,_calc!$E$421)))</f>
        <v/>
      </c>
      <c r="F419" s="44">
        <f>IF(_calc!$E$421="","",TRIM(IF(LEN(IF(LEN(INDEX('Licences'!$D$4:$D$503,_calc!$E$421))=0,"",INDEX('Licences'!$D$4:$D$503,_calc!$E$421)))=0,"","Ref: "&amp;IF(LEN(INDEX('Licences'!$D$4:$D$503,_calc!$E$421))=0,"",INDEX('Licences'!$D$4:$D$503,_calc!$E$421))&amp;". ")&amp;IF(LEN(IF(LEN(INDEX('Licences'!$C$4:$C$503,_calc!$E$421))=0,"",INDEX('Licences'!$C$4:$C$503,_calc!$E$421)))=0,"","Issuer: "&amp;IF(LEN(INDEX('Licences'!$C$4:$C$503,_calc!$E$421))=0,"",INDEX('Licences'!$C$4:$C$503,_calc!$E$421))&amp;". ")&amp;IF(LEN(IF(LEN(INDEX('Licences'!$E$4:$E$503,_calc!$E$421))=0,"",INDEX('Licences'!$E$4:$E$503,_calc!$E$421)))=0,"","Site: "&amp;IF(LEN(INDEX('Licences'!$E$4:$E$503,_calc!$E$421))=0,"",INDEX('Licences'!$E$4:$E$503,_calc!$E$421))&amp;". ")&amp;IF(LEN(IF(LEN(INDEX('Licences'!$F$4:$F$503,_calc!$E$421))=0,"",INDEX('Licences'!$F$4:$F$503,_calc!$E$421)))=0,"","Owner: "&amp;IF(LEN(INDEX('Licences'!$F$4:$F$503,_calc!$E$421))=0,"",INDEX('Licences'!$F$4:$F$503,_calc!$E$421))&amp;". ")&amp;IF(LEN(IF(LEN(INDEX('Licences'!$R$4:$R$503,_calc!$E$421))=0,"",INDEX('Licences'!$R$4:$R$503,_calc!$E$421)))=0,"",IF(LEN(INDEX('Licences'!$R$4:$R$503,_calc!$E$421))=0,"",INDEX('Licences'!$R$4:$R$503,_calc!$E$421)))))</f>
        <v/>
      </c>
      <c r="G419" s="44">
        <f>IF(_calc!$E$421="","",IF(LEN(INDEX('Licences'!$Q$4:$Q$503,_calc!$E$421))=0,"",INDEX('Licences'!$Q$4:$Q$503,_calc!$E$421)))</f>
        <v/>
      </c>
      <c r="H419" s="44">
        <f>IF(_calc!$E$421="","",IF(LEN(INDEX('Licences'!$O$4:$O$503,_calc!$E$421))=0,"",INDEX('Licences'!$O$4:$O$503,_calc!$E$421)))</f>
        <v/>
      </c>
      <c r="I419" s="44">
        <f>IF(_calc!$E$421="","",IF(LEN(INDEX('Licences'!$P$4:$P$503,_calc!$E$421))=0,"",INDEX('Licences'!$P$4:$P$503,_calc!$E$421)))</f>
        <v/>
      </c>
      <c r="K419" s="44">
        <f>IF(_calc!$E$421="","",IF(LEN(INDEX('Licences'!$G$4:$G$503,_calc!$E$421))=0,"",INDEX('Licences'!$G$4:$G$503,_calc!$E$421)))</f>
        <v/>
      </c>
    </row>
    <row r="420">
      <c r="A420" s="44">
        <f>IF(_calc!$E$422="","",IF(LEN(INDEX('Licences'!$A$4:$A$503,_calc!$E$422))=0,"",INDEX('Licences'!$A$4:$A$503,_calc!$E$422)))</f>
        <v/>
      </c>
      <c r="B420" s="44">
        <f>IF(_calc!$E$422="","",IF(ISNUMBER(INDEX('Licences'!$J$4:$J$503,_calc!$E$422)),TEXT(INDEX('Licences'!$J$4:$J$503,_calc!$E$422),"yyyy-mm-dd"),""))</f>
        <v/>
      </c>
      <c r="C420" s="44">
        <f>IF(_calc!$E$422="","",IF(LEN(INDEX('Licences'!$B$4:$B$503,_calc!$E$422))=0,"",INDEX('Licences'!$B$4:$B$503,_calc!$E$422)))</f>
        <v/>
      </c>
      <c r="D420" s="44">
        <f>IF(_calc!$E$422="","",IF(ISNUMBER(INDEX('Licences'!$I$4:$I$503,_calc!$E$422)),TEXT(INDEX('Licences'!$I$4:$I$503,_calc!$E$422),"yyyy-mm-dd"),""))</f>
        <v/>
      </c>
      <c r="E420" s="44">
        <f>IF(_calc!$E$422="","",IF(LEN(INDEX('Licences'!$H$4:$H$503,_calc!$E$422))=0,"",INDEX('Licences'!$H$4:$H$503,_calc!$E$422)))</f>
        <v/>
      </c>
      <c r="F420" s="44">
        <f>IF(_calc!$E$422="","",TRIM(IF(LEN(IF(LEN(INDEX('Licences'!$D$4:$D$503,_calc!$E$422))=0,"",INDEX('Licences'!$D$4:$D$503,_calc!$E$422)))=0,"","Ref: "&amp;IF(LEN(INDEX('Licences'!$D$4:$D$503,_calc!$E$422))=0,"",INDEX('Licences'!$D$4:$D$503,_calc!$E$422))&amp;". ")&amp;IF(LEN(IF(LEN(INDEX('Licences'!$C$4:$C$503,_calc!$E$422))=0,"",INDEX('Licences'!$C$4:$C$503,_calc!$E$422)))=0,"","Issuer: "&amp;IF(LEN(INDEX('Licences'!$C$4:$C$503,_calc!$E$422))=0,"",INDEX('Licences'!$C$4:$C$503,_calc!$E$422))&amp;". ")&amp;IF(LEN(IF(LEN(INDEX('Licences'!$E$4:$E$503,_calc!$E$422))=0,"",INDEX('Licences'!$E$4:$E$503,_calc!$E$422)))=0,"","Site: "&amp;IF(LEN(INDEX('Licences'!$E$4:$E$503,_calc!$E$422))=0,"",INDEX('Licences'!$E$4:$E$503,_calc!$E$422))&amp;". ")&amp;IF(LEN(IF(LEN(INDEX('Licences'!$F$4:$F$503,_calc!$E$422))=0,"",INDEX('Licences'!$F$4:$F$503,_calc!$E$422)))=0,"","Owner: "&amp;IF(LEN(INDEX('Licences'!$F$4:$F$503,_calc!$E$422))=0,"",INDEX('Licences'!$F$4:$F$503,_calc!$E$422))&amp;". ")&amp;IF(LEN(IF(LEN(INDEX('Licences'!$R$4:$R$503,_calc!$E$422))=0,"",INDEX('Licences'!$R$4:$R$503,_calc!$E$422)))=0,"",IF(LEN(INDEX('Licences'!$R$4:$R$503,_calc!$E$422))=0,"",INDEX('Licences'!$R$4:$R$503,_calc!$E$422)))))</f>
        <v/>
      </c>
      <c r="G420" s="44">
        <f>IF(_calc!$E$422="","",IF(LEN(INDEX('Licences'!$Q$4:$Q$503,_calc!$E$422))=0,"",INDEX('Licences'!$Q$4:$Q$503,_calc!$E$422)))</f>
        <v/>
      </c>
      <c r="H420" s="44">
        <f>IF(_calc!$E$422="","",IF(LEN(INDEX('Licences'!$O$4:$O$503,_calc!$E$422))=0,"",INDEX('Licences'!$O$4:$O$503,_calc!$E$422)))</f>
        <v/>
      </c>
      <c r="I420" s="44">
        <f>IF(_calc!$E$422="","",IF(LEN(INDEX('Licences'!$P$4:$P$503,_calc!$E$422))=0,"",INDEX('Licences'!$P$4:$P$503,_calc!$E$422)))</f>
        <v/>
      </c>
      <c r="K420" s="44">
        <f>IF(_calc!$E$422="","",IF(LEN(INDEX('Licences'!$G$4:$G$503,_calc!$E$422))=0,"",INDEX('Licences'!$G$4:$G$503,_calc!$E$422)))</f>
        <v/>
      </c>
    </row>
    <row r="421">
      <c r="A421" s="44">
        <f>IF(_calc!$E$423="","",IF(LEN(INDEX('Licences'!$A$4:$A$503,_calc!$E$423))=0,"",INDEX('Licences'!$A$4:$A$503,_calc!$E$423)))</f>
        <v/>
      </c>
      <c r="B421" s="44">
        <f>IF(_calc!$E$423="","",IF(ISNUMBER(INDEX('Licences'!$J$4:$J$503,_calc!$E$423)),TEXT(INDEX('Licences'!$J$4:$J$503,_calc!$E$423),"yyyy-mm-dd"),""))</f>
        <v/>
      </c>
      <c r="C421" s="44">
        <f>IF(_calc!$E$423="","",IF(LEN(INDEX('Licences'!$B$4:$B$503,_calc!$E$423))=0,"",INDEX('Licences'!$B$4:$B$503,_calc!$E$423)))</f>
        <v/>
      </c>
      <c r="D421" s="44">
        <f>IF(_calc!$E$423="","",IF(ISNUMBER(INDEX('Licences'!$I$4:$I$503,_calc!$E$423)),TEXT(INDEX('Licences'!$I$4:$I$503,_calc!$E$423),"yyyy-mm-dd"),""))</f>
        <v/>
      </c>
      <c r="E421" s="44">
        <f>IF(_calc!$E$423="","",IF(LEN(INDEX('Licences'!$H$4:$H$503,_calc!$E$423))=0,"",INDEX('Licences'!$H$4:$H$503,_calc!$E$423)))</f>
        <v/>
      </c>
      <c r="F421" s="44">
        <f>IF(_calc!$E$423="","",TRIM(IF(LEN(IF(LEN(INDEX('Licences'!$D$4:$D$503,_calc!$E$423))=0,"",INDEX('Licences'!$D$4:$D$503,_calc!$E$423)))=0,"","Ref: "&amp;IF(LEN(INDEX('Licences'!$D$4:$D$503,_calc!$E$423))=0,"",INDEX('Licences'!$D$4:$D$503,_calc!$E$423))&amp;". ")&amp;IF(LEN(IF(LEN(INDEX('Licences'!$C$4:$C$503,_calc!$E$423))=0,"",INDEX('Licences'!$C$4:$C$503,_calc!$E$423)))=0,"","Issuer: "&amp;IF(LEN(INDEX('Licences'!$C$4:$C$503,_calc!$E$423))=0,"",INDEX('Licences'!$C$4:$C$503,_calc!$E$423))&amp;". ")&amp;IF(LEN(IF(LEN(INDEX('Licences'!$E$4:$E$503,_calc!$E$423))=0,"",INDEX('Licences'!$E$4:$E$503,_calc!$E$423)))=0,"","Site: "&amp;IF(LEN(INDEX('Licences'!$E$4:$E$503,_calc!$E$423))=0,"",INDEX('Licences'!$E$4:$E$503,_calc!$E$423))&amp;". ")&amp;IF(LEN(IF(LEN(INDEX('Licences'!$F$4:$F$503,_calc!$E$423))=0,"",INDEX('Licences'!$F$4:$F$503,_calc!$E$423)))=0,"","Owner: "&amp;IF(LEN(INDEX('Licences'!$F$4:$F$503,_calc!$E$423))=0,"",INDEX('Licences'!$F$4:$F$503,_calc!$E$423))&amp;". ")&amp;IF(LEN(IF(LEN(INDEX('Licences'!$R$4:$R$503,_calc!$E$423))=0,"",INDEX('Licences'!$R$4:$R$503,_calc!$E$423)))=0,"",IF(LEN(INDEX('Licences'!$R$4:$R$503,_calc!$E$423))=0,"",INDEX('Licences'!$R$4:$R$503,_calc!$E$423)))))</f>
        <v/>
      </c>
      <c r="G421" s="44">
        <f>IF(_calc!$E$423="","",IF(LEN(INDEX('Licences'!$Q$4:$Q$503,_calc!$E$423))=0,"",INDEX('Licences'!$Q$4:$Q$503,_calc!$E$423)))</f>
        <v/>
      </c>
      <c r="H421" s="44">
        <f>IF(_calc!$E$423="","",IF(LEN(INDEX('Licences'!$O$4:$O$503,_calc!$E$423))=0,"",INDEX('Licences'!$O$4:$O$503,_calc!$E$423)))</f>
        <v/>
      </c>
      <c r="I421" s="44">
        <f>IF(_calc!$E$423="","",IF(LEN(INDEX('Licences'!$P$4:$P$503,_calc!$E$423))=0,"",INDEX('Licences'!$P$4:$P$503,_calc!$E$423)))</f>
        <v/>
      </c>
      <c r="K421" s="44">
        <f>IF(_calc!$E$423="","",IF(LEN(INDEX('Licences'!$G$4:$G$503,_calc!$E$423))=0,"",INDEX('Licences'!$G$4:$G$503,_calc!$E$423)))</f>
        <v/>
      </c>
    </row>
    <row r="422">
      <c r="A422" s="44">
        <f>IF(_calc!$E$424="","",IF(LEN(INDEX('Licences'!$A$4:$A$503,_calc!$E$424))=0,"",INDEX('Licences'!$A$4:$A$503,_calc!$E$424)))</f>
        <v/>
      </c>
      <c r="B422" s="44">
        <f>IF(_calc!$E$424="","",IF(ISNUMBER(INDEX('Licences'!$J$4:$J$503,_calc!$E$424)),TEXT(INDEX('Licences'!$J$4:$J$503,_calc!$E$424),"yyyy-mm-dd"),""))</f>
        <v/>
      </c>
      <c r="C422" s="44">
        <f>IF(_calc!$E$424="","",IF(LEN(INDEX('Licences'!$B$4:$B$503,_calc!$E$424))=0,"",INDEX('Licences'!$B$4:$B$503,_calc!$E$424)))</f>
        <v/>
      </c>
      <c r="D422" s="44">
        <f>IF(_calc!$E$424="","",IF(ISNUMBER(INDEX('Licences'!$I$4:$I$503,_calc!$E$424)),TEXT(INDEX('Licences'!$I$4:$I$503,_calc!$E$424),"yyyy-mm-dd"),""))</f>
        <v/>
      </c>
      <c r="E422" s="44">
        <f>IF(_calc!$E$424="","",IF(LEN(INDEX('Licences'!$H$4:$H$503,_calc!$E$424))=0,"",INDEX('Licences'!$H$4:$H$503,_calc!$E$424)))</f>
        <v/>
      </c>
      <c r="F422" s="44">
        <f>IF(_calc!$E$424="","",TRIM(IF(LEN(IF(LEN(INDEX('Licences'!$D$4:$D$503,_calc!$E$424))=0,"",INDEX('Licences'!$D$4:$D$503,_calc!$E$424)))=0,"","Ref: "&amp;IF(LEN(INDEX('Licences'!$D$4:$D$503,_calc!$E$424))=0,"",INDEX('Licences'!$D$4:$D$503,_calc!$E$424))&amp;". ")&amp;IF(LEN(IF(LEN(INDEX('Licences'!$C$4:$C$503,_calc!$E$424))=0,"",INDEX('Licences'!$C$4:$C$503,_calc!$E$424)))=0,"","Issuer: "&amp;IF(LEN(INDEX('Licences'!$C$4:$C$503,_calc!$E$424))=0,"",INDEX('Licences'!$C$4:$C$503,_calc!$E$424))&amp;". ")&amp;IF(LEN(IF(LEN(INDEX('Licences'!$E$4:$E$503,_calc!$E$424))=0,"",INDEX('Licences'!$E$4:$E$503,_calc!$E$424)))=0,"","Site: "&amp;IF(LEN(INDEX('Licences'!$E$4:$E$503,_calc!$E$424))=0,"",INDEX('Licences'!$E$4:$E$503,_calc!$E$424))&amp;". ")&amp;IF(LEN(IF(LEN(INDEX('Licences'!$F$4:$F$503,_calc!$E$424))=0,"",INDEX('Licences'!$F$4:$F$503,_calc!$E$424)))=0,"","Owner: "&amp;IF(LEN(INDEX('Licences'!$F$4:$F$503,_calc!$E$424))=0,"",INDEX('Licences'!$F$4:$F$503,_calc!$E$424))&amp;". ")&amp;IF(LEN(IF(LEN(INDEX('Licences'!$R$4:$R$503,_calc!$E$424))=0,"",INDEX('Licences'!$R$4:$R$503,_calc!$E$424)))=0,"",IF(LEN(INDEX('Licences'!$R$4:$R$503,_calc!$E$424))=0,"",INDEX('Licences'!$R$4:$R$503,_calc!$E$424)))))</f>
        <v/>
      </c>
      <c r="G422" s="44">
        <f>IF(_calc!$E$424="","",IF(LEN(INDEX('Licences'!$Q$4:$Q$503,_calc!$E$424))=0,"",INDEX('Licences'!$Q$4:$Q$503,_calc!$E$424)))</f>
        <v/>
      </c>
      <c r="H422" s="44">
        <f>IF(_calc!$E$424="","",IF(LEN(INDEX('Licences'!$O$4:$O$503,_calc!$E$424))=0,"",INDEX('Licences'!$O$4:$O$503,_calc!$E$424)))</f>
        <v/>
      </c>
      <c r="I422" s="44">
        <f>IF(_calc!$E$424="","",IF(LEN(INDEX('Licences'!$P$4:$P$503,_calc!$E$424))=0,"",INDEX('Licences'!$P$4:$P$503,_calc!$E$424)))</f>
        <v/>
      </c>
      <c r="K422" s="44">
        <f>IF(_calc!$E$424="","",IF(LEN(INDEX('Licences'!$G$4:$G$503,_calc!$E$424))=0,"",INDEX('Licences'!$G$4:$G$503,_calc!$E$424)))</f>
        <v/>
      </c>
    </row>
    <row r="423">
      <c r="A423" s="44">
        <f>IF(_calc!$E$425="","",IF(LEN(INDEX('Licences'!$A$4:$A$503,_calc!$E$425))=0,"",INDEX('Licences'!$A$4:$A$503,_calc!$E$425)))</f>
        <v/>
      </c>
      <c r="B423" s="44">
        <f>IF(_calc!$E$425="","",IF(ISNUMBER(INDEX('Licences'!$J$4:$J$503,_calc!$E$425)),TEXT(INDEX('Licences'!$J$4:$J$503,_calc!$E$425),"yyyy-mm-dd"),""))</f>
        <v/>
      </c>
      <c r="C423" s="44">
        <f>IF(_calc!$E$425="","",IF(LEN(INDEX('Licences'!$B$4:$B$503,_calc!$E$425))=0,"",INDEX('Licences'!$B$4:$B$503,_calc!$E$425)))</f>
        <v/>
      </c>
      <c r="D423" s="44">
        <f>IF(_calc!$E$425="","",IF(ISNUMBER(INDEX('Licences'!$I$4:$I$503,_calc!$E$425)),TEXT(INDEX('Licences'!$I$4:$I$503,_calc!$E$425),"yyyy-mm-dd"),""))</f>
        <v/>
      </c>
      <c r="E423" s="44">
        <f>IF(_calc!$E$425="","",IF(LEN(INDEX('Licences'!$H$4:$H$503,_calc!$E$425))=0,"",INDEX('Licences'!$H$4:$H$503,_calc!$E$425)))</f>
        <v/>
      </c>
      <c r="F423" s="44">
        <f>IF(_calc!$E$425="","",TRIM(IF(LEN(IF(LEN(INDEX('Licences'!$D$4:$D$503,_calc!$E$425))=0,"",INDEX('Licences'!$D$4:$D$503,_calc!$E$425)))=0,"","Ref: "&amp;IF(LEN(INDEX('Licences'!$D$4:$D$503,_calc!$E$425))=0,"",INDEX('Licences'!$D$4:$D$503,_calc!$E$425))&amp;". ")&amp;IF(LEN(IF(LEN(INDEX('Licences'!$C$4:$C$503,_calc!$E$425))=0,"",INDEX('Licences'!$C$4:$C$503,_calc!$E$425)))=0,"","Issuer: "&amp;IF(LEN(INDEX('Licences'!$C$4:$C$503,_calc!$E$425))=0,"",INDEX('Licences'!$C$4:$C$503,_calc!$E$425))&amp;". ")&amp;IF(LEN(IF(LEN(INDEX('Licences'!$E$4:$E$503,_calc!$E$425))=0,"",INDEX('Licences'!$E$4:$E$503,_calc!$E$425)))=0,"","Site: "&amp;IF(LEN(INDEX('Licences'!$E$4:$E$503,_calc!$E$425))=0,"",INDEX('Licences'!$E$4:$E$503,_calc!$E$425))&amp;". ")&amp;IF(LEN(IF(LEN(INDEX('Licences'!$F$4:$F$503,_calc!$E$425))=0,"",INDEX('Licences'!$F$4:$F$503,_calc!$E$425)))=0,"","Owner: "&amp;IF(LEN(INDEX('Licences'!$F$4:$F$503,_calc!$E$425))=0,"",INDEX('Licences'!$F$4:$F$503,_calc!$E$425))&amp;". ")&amp;IF(LEN(IF(LEN(INDEX('Licences'!$R$4:$R$503,_calc!$E$425))=0,"",INDEX('Licences'!$R$4:$R$503,_calc!$E$425)))=0,"",IF(LEN(INDEX('Licences'!$R$4:$R$503,_calc!$E$425))=0,"",INDEX('Licences'!$R$4:$R$503,_calc!$E$425)))))</f>
        <v/>
      </c>
      <c r="G423" s="44">
        <f>IF(_calc!$E$425="","",IF(LEN(INDEX('Licences'!$Q$4:$Q$503,_calc!$E$425))=0,"",INDEX('Licences'!$Q$4:$Q$503,_calc!$E$425)))</f>
        <v/>
      </c>
      <c r="H423" s="44">
        <f>IF(_calc!$E$425="","",IF(LEN(INDEX('Licences'!$O$4:$O$503,_calc!$E$425))=0,"",INDEX('Licences'!$O$4:$O$503,_calc!$E$425)))</f>
        <v/>
      </c>
      <c r="I423" s="44">
        <f>IF(_calc!$E$425="","",IF(LEN(INDEX('Licences'!$P$4:$P$503,_calc!$E$425))=0,"",INDEX('Licences'!$P$4:$P$503,_calc!$E$425)))</f>
        <v/>
      </c>
      <c r="K423" s="44">
        <f>IF(_calc!$E$425="","",IF(LEN(INDEX('Licences'!$G$4:$G$503,_calc!$E$425))=0,"",INDEX('Licences'!$G$4:$G$503,_calc!$E$425)))</f>
        <v/>
      </c>
    </row>
    <row r="424">
      <c r="A424" s="44">
        <f>IF(_calc!$E$426="","",IF(LEN(INDEX('Licences'!$A$4:$A$503,_calc!$E$426))=0,"",INDEX('Licences'!$A$4:$A$503,_calc!$E$426)))</f>
        <v/>
      </c>
      <c r="B424" s="44">
        <f>IF(_calc!$E$426="","",IF(ISNUMBER(INDEX('Licences'!$J$4:$J$503,_calc!$E$426)),TEXT(INDEX('Licences'!$J$4:$J$503,_calc!$E$426),"yyyy-mm-dd"),""))</f>
        <v/>
      </c>
      <c r="C424" s="44">
        <f>IF(_calc!$E$426="","",IF(LEN(INDEX('Licences'!$B$4:$B$503,_calc!$E$426))=0,"",INDEX('Licences'!$B$4:$B$503,_calc!$E$426)))</f>
        <v/>
      </c>
      <c r="D424" s="44">
        <f>IF(_calc!$E$426="","",IF(ISNUMBER(INDEX('Licences'!$I$4:$I$503,_calc!$E$426)),TEXT(INDEX('Licences'!$I$4:$I$503,_calc!$E$426),"yyyy-mm-dd"),""))</f>
        <v/>
      </c>
      <c r="E424" s="44">
        <f>IF(_calc!$E$426="","",IF(LEN(INDEX('Licences'!$H$4:$H$503,_calc!$E$426))=0,"",INDEX('Licences'!$H$4:$H$503,_calc!$E$426)))</f>
        <v/>
      </c>
      <c r="F424" s="44">
        <f>IF(_calc!$E$426="","",TRIM(IF(LEN(IF(LEN(INDEX('Licences'!$D$4:$D$503,_calc!$E$426))=0,"",INDEX('Licences'!$D$4:$D$503,_calc!$E$426)))=0,"","Ref: "&amp;IF(LEN(INDEX('Licences'!$D$4:$D$503,_calc!$E$426))=0,"",INDEX('Licences'!$D$4:$D$503,_calc!$E$426))&amp;". ")&amp;IF(LEN(IF(LEN(INDEX('Licences'!$C$4:$C$503,_calc!$E$426))=0,"",INDEX('Licences'!$C$4:$C$503,_calc!$E$426)))=0,"","Issuer: "&amp;IF(LEN(INDEX('Licences'!$C$4:$C$503,_calc!$E$426))=0,"",INDEX('Licences'!$C$4:$C$503,_calc!$E$426))&amp;". ")&amp;IF(LEN(IF(LEN(INDEX('Licences'!$E$4:$E$503,_calc!$E$426))=0,"",INDEX('Licences'!$E$4:$E$503,_calc!$E$426)))=0,"","Site: "&amp;IF(LEN(INDEX('Licences'!$E$4:$E$503,_calc!$E$426))=0,"",INDEX('Licences'!$E$4:$E$503,_calc!$E$426))&amp;". ")&amp;IF(LEN(IF(LEN(INDEX('Licences'!$F$4:$F$503,_calc!$E$426))=0,"",INDEX('Licences'!$F$4:$F$503,_calc!$E$426)))=0,"","Owner: "&amp;IF(LEN(INDEX('Licences'!$F$4:$F$503,_calc!$E$426))=0,"",INDEX('Licences'!$F$4:$F$503,_calc!$E$426))&amp;". ")&amp;IF(LEN(IF(LEN(INDEX('Licences'!$R$4:$R$503,_calc!$E$426))=0,"",INDEX('Licences'!$R$4:$R$503,_calc!$E$426)))=0,"",IF(LEN(INDEX('Licences'!$R$4:$R$503,_calc!$E$426))=0,"",INDEX('Licences'!$R$4:$R$503,_calc!$E$426)))))</f>
        <v/>
      </c>
      <c r="G424" s="44">
        <f>IF(_calc!$E$426="","",IF(LEN(INDEX('Licences'!$Q$4:$Q$503,_calc!$E$426))=0,"",INDEX('Licences'!$Q$4:$Q$503,_calc!$E$426)))</f>
        <v/>
      </c>
      <c r="H424" s="44">
        <f>IF(_calc!$E$426="","",IF(LEN(INDEX('Licences'!$O$4:$O$503,_calc!$E$426))=0,"",INDEX('Licences'!$O$4:$O$503,_calc!$E$426)))</f>
        <v/>
      </c>
      <c r="I424" s="44">
        <f>IF(_calc!$E$426="","",IF(LEN(INDEX('Licences'!$P$4:$P$503,_calc!$E$426))=0,"",INDEX('Licences'!$P$4:$P$503,_calc!$E$426)))</f>
        <v/>
      </c>
      <c r="K424" s="44">
        <f>IF(_calc!$E$426="","",IF(LEN(INDEX('Licences'!$G$4:$G$503,_calc!$E$426))=0,"",INDEX('Licences'!$G$4:$G$503,_calc!$E$426)))</f>
        <v/>
      </c>
    </row>
    <row r="425">
      <c r="A425" s="44">
        <f>IF(_calc!$E$427="","",IF(LEN(INDEX('Licences'!$A$4:$A$503,_calc!$E$427))=0,"",INDEX('Licences'!$A$4:$A$503,_calc!$E$427)))</f>
        <v/>
      </c>
      <c r="B425" s="44">
        <f>IF(_calc!$E$427="","",IF(ISNUMBER(INDEX('Licences'!$J$4:$J$503,_calc!$E$427)),TEXT(INDEX('Licences'!$J$4:$J$503,_calc!$E$427),"yyyy-mm-dd"),""))</f>
        <v/>
      </c>
      <c r="C425" s="44">
        <f>IF(_calc!$E$427="","",IF(LEN(INDEX('Licences'!$B$4:$B$503,_calc!$E$427))=0,"",INDEX('Licences'!$B$4:$B$503,_calc!$E$427)))</f>
        <v/>
      </c>
      <c r="D425" s="44">
        <f>IF(_calc!$E$427="","",IF(ISNUMBER(INDEX('Licences'!$I$4:$I$503,_calc!$E$427)),TEXT(INDEX('Licences'!$I$4:$I$503,_calc!$E$427),"yyyy-mm-dd"),""))</f>
        <v/>
      </c>
      <c r="E425" s="44">
        <f>IF(_calc!$E$427="","",IF(LEN(INDEX('Licences'!$H$4:$H$503,_calc!$E$427))=0,"",INDEX('Licences'!$H$4:$H$503,_calc!$E$427)))</f>
        <v/>
      </c>
      <c r="F425" s="44">
        <f>IF(_calc!$E$427="","",TRIM(IF(LEN(IF(LEN(INDEX('Licences'!$D$4:$D$503,_calc!$E$427))=0,"",INDEX('Licences'!$D$4:$D$503,_calc!$E$427)))=0,"","Ref: "&amp;IF(LEN(INDEX('Licences'!$D$4:$D$503,_calc!$E$427))=0,"",INDEX('Licences'!$D$4:$D$503,_calc!$E$427))&amp;". ")&amp;IF(LEN(IF(LEN(INDEX('Licences'!$C$4:$C$503,_calc!$E$427))=0,"",INDEX('Licences'!$C$4:$C$503,_calc!$E$427)))=0,"","Issuer: "&amp;IF(LEN(INDEX('Licences'!$C$4:$C$503,_calc!$E$427))=0,"",INDEX('Licences'!$C$4:$C$503,_calc!$E$427))&amp;". ")&amp;IF(LEN(IF(LEN(INDEX('Licences'!$E$4:$E$503,_calc!$E$427))=0,"",INDEX('Licences'!$E$4:$E$503,_calc!$E$427)))=0,"","Site: "&amp;IF(LEN(INDEX('Licences'!$E$4:$E$503,_calc!$E$427))=0,"",INDEX('Licences'!$E$4:$E$503,_calc!$E$427))&amp;". ")&amp;IF(LEN(IF(LEN(INDEX('Licences'!$F$4:$F$503,_calc!$E$427))=0,"",INDEX('Licences'!$F$4:$F$503,_calc!$E$427)))=0,"","Owner: "&amp;IF(LEN(INDEX('Licences'!$F$4:$F$503,_calc!$E$427))=0,"",INDEX('Licences'!$F$4:$F$503,_calc!$E$427))&amp;". ")&amp;IF(LEN(IF(LEN(INDEX('Licences'!$R$4:$R$503,_calc!$E$427))=0,"",INDEX('Licences'!$R$4:$R$503,_calc!$E$427)))=0,"",IF(LEN(INDEX('Licences'!$R$4:$R$503,_calc!$E$427))=0,"",INDEX('Licences'!$R$4:$R$503,_calc!$E$427)))))</f>
        <v/>
      </c>
      <c r="G425" s="44">
        <f>IF(_calc!$E$427="","",IF(LEN(INDEX('Licences'!$Q$4:$Q$503,_calc!$E$427))=0,"",INDEX('Licences'!$Q$4:$Q$503,_calc!$E$427)))</f>
        <v/>
      </c>
      <c r="H425" s="44">
        <f>IF(_calc!$E$427="","",IF(LEN(INDEX('Licences'!$O$4:$O$503,_calc!$E$427))=0,"",INDEX('Licences'!$O$4:$O$503,_calc!$E$427)))</f>
        <v/>
      </c>
      <c r="I425" s="44">
        <f>IF(_calc!$E$427="","",IF(LEN(INDEX('Licences'!$P$4:$P$503,_calc!$E$427))=0,"",INDEX('Licences'!$P$4:$P$503,_calc!$E$427)))</f>
        <v/>
      </c>
      <c r="K425" s="44">
        <f>IF(_calc!$E$427="","",IF(LEN(INDEX('Licences'!$G$4:$G$503,_calc!$E$427))=0,"",INDEX('Licences'!$G$4:$G$503,_calc!$E$427)))</f>
        <v/>
      </c>
    </row>
    <row r="426">
      <c r="A426" s="44">
        <f>IF(_calc!$E$428="","",IF(LEN(INDEX('Licences'!$A$4:$A$503,_calc!$E$428))=0,"",INDEX('Licences'!$A$4:$A$503,_calc!$E$428)))</f>
        <v/>
      </c>
      <c r="B426" s="44">
        <f>IF(_calc!$E$428="","",IF(ISNUMBER(INDEX('Licences'!$J$4:$J$503,_calc!$E$428)),TEXT(INDEX('Licences'!$J$4:$J$503,_calc!$E$428),"yyyy-mm-dd"),""))</f>
        <v/>
      </c>
      <c r="C426" s="44">
        <f>IF(_calc!$E$428="","",IF(LEN(INDEX('Licences'!$B$4:$B$503,_calc!$E$428))=0,"",INDEX('Licences'!$B$4:$B$503,_calc!$E$428)))</f>
        <v/>
      </c>
      <c r="D426" s="44">
        <f>IF(_calc!$E$428="","",IF(ISNUMBER(INDEX('Licences'!$I$4:$I$503,_calc!$E$428)),TEXT(INDEX('Licences'!$I$4:$I$503,_calc!$E$428),"yyyy-mm-dd"),""))</f>
        <v/>
      </c>
      <c r="E426" s="44">
        <f>IF(_calc!$E$428="","",IF(LEN(INDEX('Licences'!$H$4:$H$503,_calc!$E$428))=0,"",INDEX('Licences'!$H$4:$H$503,_calc!$E$428)))</f>
        <v/>
      </c>
      <c r="F426" s="44">
        <f>IF(_calc!$E$428="","",TRIM(IF(LEN(IF(LEN(INDEX('Licences'!$D$4:$D$503,_calc!$E$428))=0,"",INDEX('Licences'!$D$4:$D$503,_calc!$E$428)))=0,"","Ref: "&amp;IF(LEN(INDEX('Licences'!$D$4:$D$503,_calc!$E$428))=0,"",INDEX('Licences'!$D$4:$D$503,_calc!$E$428))&amp;". ")&amp;IF(LEN(IF(LEN(INDEX('Licences'!$C$4:$C$503,_calc!$E$428))=0,"",INDEX('Licences'!$C$4:$C$503,_calc!$E$428)))=0,"","Issuer: "&amp;IF(LEN(INDEX('Licences'!$C$4:$C$503,_calc!$E$428))=0,"",INDEX('Licences'!$C$4:$C$503,_calc!$E$428))&amp;". ")&amp;IF(LEN(IF(LEN(INDEX('Licences'!$E$4:$E$503,_calc!$E$428))=0,"",INDEX('Licences'!$E$4:$E$503,_calc!$E$428)))=0,"","Site: "&amp;IF(LEN(INDEX('Licences'!$E$4:$E$503,_calc!$E$428))=0,"",INDEX('Licences'!$E$4:$E$503,_calc!$E$428))&amp;". ")&amp;IF(LEN(IF(LEN(INDEX('Licences'!$F$4:$F$503,_calc!$E$428))=0,"",INDEX('Licences'!$F$4:$F$503,_calc!$E$428)))=0,"","Owner: "&amp;IF(LEN(INDEX('Licences'!$F$4:$F$503,_calc!$E$428))=0,"",INDEX('Licences'!$F$4:$F$503,_calc!$E$428))&amp;". ")&amp;IF(LEN(IF(LEN(INDEX('Licences'!$R$4:$R$503,_calc!$E$428))=0,"",INDEX('Licences'!$R$4:$R$503,_calc!$E$428)))=0,"",IF(LEN(INDEX('Licences'!$R$4:$R$503,_calc!$E$428))=0,"",INDEX('Licences'!$R$4:$R$503,_calc!$E$428)))))</f>
        <v/>
      </c>
      <c r="G426" s="44">
        <f>IF(_calc!$E$428="","",IF(LEN(INDEX('Licences'!$Q$4:$Q$503,_calc!$E$428))=0,"",INDEX('Licences'!$Q$4:$Q$503,_calc!$E$428)))</f>
        <v/>
      </c>
      <c r="H426" s="44">
        <f>IF(_calc!$E$428="","",IF(LEN(INDEX('Licences'!$O$4:$O$503,_calc!$E$428))=0,"",INDEX('Licences'!$O$4:$O$503,_calc!$E$428)))</f>
        <v/>
      </c>
      <c r="I426" s="44">
        <f>IF(_calc!$E$428="","",IF(LEN(INDEX('Licences'!$P$4:$P$503,_calc!$E$428))=0,"",INDEX('Licences'!$P$4:$P$503,_calc!$E$428)))</f>
        <v/>
      </c>
      <c r="K426" s="44">
        <f>IF(_calc!$E$428="","",IF(LEN(INDEX('Licences'!$G$4:$G$503,_calc!$E$428))=0,"",INDEX('Licences'!$G$4:$G$503,_calc!$E$428)))</f>
        <v/>
      </c>
    </row>
    <row r="427">
      <c r="A427" s="44">
        <f>IF(_calc!$E$429="","",IF(LEN(INDEX('Licences'!$A$4:$A$503,_calc!$E$429))=0,"",INDEX('Licences'!$A$4:$A$503,_calc!$E$429)))</f>
        <v/>
      </c>
      <c r="B427" s="44">
        <f>IF(_calc!$E$429="","",IF(ISNUMBER(INDEX('Licences'!$J$4:$J$503,_calc!$E$429)),TEXT(INDEX('Licences'!$J$4:$J$503,_calc!$E$429),"yyyy-mm-dd"),""))</f>
        <v/>
      </c>
      <c r="C427" s="44">
        <f>IF(_calc!$E$429="","",IF(LEN(INDEX('Licences'!$B$4:$B$503,_calc!$E$429))=0,"",INDEX('Licences'!$B$4:$B$503,_calc!$E$429)))</f>
        <v/>
      </c>
      <c r="D427" s="44">
        <f>IF(_calc!$E$429="","",IF(ISNUMBER(INDEX('Licences'!$I$4:$I$503,_calc!$E$429)),TEXT(INDEX('Licences'!$I$4:$I$503,_calc!$E$429),"yyyy-mm-dd"),""))</f>
        <v/>
      </c>
      <c r="E427" s="44">
        <f>IF(_calc!$E$429="","",IF(LEN(INDEX('Licences'!$H$4:$H$503,_calc!$E$429))=0,"",INDEX('Licences'!$H$4:$H$503,_calc!$E$429)))</f>
        <v/>
      </c>
      <c r="F427" s="44">
        <f>IF(_calc!$E$429="","",TRIM(IF(LEN(IF(LEN(INDEX('Licences'!$D$4:$D$503,_calc!$E$429))=0,"",INDEX('Licences'!$D$4:$D$503,_calc!$E$429)))=0,"","Ref: "&amp;IF(LEN(INDEX('Licences'!$D$4:$D$503,_calc!$E$429))=0,"",INDEX('Licences'!$D$4:$D$503,_calc!$E$429))&amp;". ")&amp;IF(LEN(IF(LEN(INDEX('Licences'!$C$4:$C$503,_calc!$E$429))=0,"",INDEX('Licences'!$C$4:$C$503,_calc!$E$429)))=0,"","Issuer: "&amp;IF(LEN(INDEX('Licences'!$C$4:$C$503,_calc!$E$429))=0,"",INDEX('Licences'!$C$4:$C$503,_calc!$E$429))&amp;". ")&amp;IF(LEN(IF(LEN(INDEX('Licences'!$E$4:$E$503,_calc!$E$429))=0,"",INDEX('Licences'!$E$4:$E$503,_calc!$E$429)))=0,"","Site: "&amp;IF(LEN(INDEX('Licences'!$E$4:$E$503,_calc!$E$429))=0,"",INDEX('Licences'!$E$4:$E$503,_calc!$E$429))&amp;". ")&amp;IF(LEN(IF(LEN(INDEX('Licences'!$F$4:$F$503,_calc!$E$429))=0,"",INDEX('Licences'!$F$4:$F$503,_calc!$E$429)))=0,"","Owner: "&amp;IF(LEN(INDEX('Licences'!$F$4:$F$503,_calc!$E$429))=0,"",INDEX('Licences'!$F$4:$F$503,_calc!$E$429))&amp;". ")&amp;IF(LEN(IF(LEN(INDEX('Licences'!$R$4:$R$503,_calc!$E$429))=0,"",INDEX('Licences'!$R$4:$R$503,_calc!$E$429)))=0,"",IF(LEN(INDEX('Licences'!$R$4:$R$503,_calc!$E$429))=0,"",INDEX('Licences'!$R$4:$R$503,_calc!$E$429)))))</f>
        <v/>
      </c>
      <c r="G427" s="44">
        <f>IF(_calc!$E$429="","",IF(LEN(INDEX('Licences'!$Q$4:$Q$503,_calc!$E$429))=0,"",INDEX('Licences'!$Q$4:$Q$503,_calc!$E$429)))</f>
        <v/>
      </c>
      <c r="H427" s="44">
        <f>IF(_calc!$E$429="","",IF(LEN(INDEX('Licences'!$O$4:$O$503,_calc!$E$429))=0,"",INDEX('Licences'!$O$4:$O$503,_calc!$E$429)))</f>
        <v/>
      </c>
      <c r="I427" s="44">
        <f>IF(_calc!$E$429="","",IF(LEN(INDEX('Licences'!$P$4:$P$503,_calc!$E$429))=0,"",INDEX('Licences'!$P$4:$P$503,_calc!$E$429)))</f>
        <v/>
      </c>
      <c r="K427" s="44">
        <f>IF(_calc!$E$429="","",IF(LEN(INDEX('Licences'!$G$4:$G$503,_calc!$E$429))=0,"",INDEX('Licences'!$G$4:$G$503,_calc!$E$429)))</f>
        <v/>
      </c>
    </row>
    <row r="428">
      <c r="A428" s="44">
        <f>IF(_calc!$E$430="","",IF(LEN(INDEX('Licences'!$A$4:$A$503,_calc!$E$430))=0,"",INDEX('Licences'!$A$4:$A$503,_calc!$E$430)))</f>
        <v/>
      </c>
      <c r="B428" s="44">
        <f>IF(_calc!$E$430="","",IF(ISNUMBER(INDEX('Licences'!$J$4:$J$503,_calc!$E$430)),TEXT(INDEX('Licences'!$J$4:$J$503,_calc!$E$430),"yyyy-mm-dd"),""))</f>
        <v/>
      </c>
      <c r="C428" s="44">
        <f>IF(_calc!$E$430="","",IF(LEN(INDEX('Licences'!$B$4:$B$503,_calc!$E$430))=0,"",INDEX('Licences'!$B$4:$B$503,_calc!$E$430)))</f>
        <v/>
      </c>
      <c r="D428" s="44">
        <f>IF(_calc!$E$430="","",IF(ISNUMBER(INDEX('Licences'!$I$4:$I$503,_calc!$E$430)),TEXT(INDEX('Licences'!$I$4:$I$503,_calc!$E$430),"yyyy-mm-dd"),""))</f>
        <v/>
      </c>
      <c r="E428" s="44">
        <f>IF(_calc!$E$430="","",IF(LEN(INDEX('Licences'!$H$4:$H$503,_calc!$E$430))=0,"",INDEX('Licences'!$H$4:$H$503,_calc!$E$430)))</f>
        <v/>
      </c>
      <c r="F428" s="44">
        <f>IF(_calc!$E$430="","",TRIM(IF(LEN(IF(LEN(INDEX('Licences'!$D$4:$D$503,_calc!$E$430))=0,"",INDEX('Licences'!$D$4:$D$503,_calc!$E$430)))=0,"","Ref: "&amp;IF(LEN(INDEX('Licences'!$D$4:$D$503,_calc!$E$430))=0,"",INDEX('Licences'!$D$4:$D$503,_calc!$E$430))&amp;". ")&amp;IF(LEN(IF(LEN(INDEX('Licences'!$C$4:$C$503,_calc!$E$430))=0,"",INDEX('Licences'!$C$4:$C$503,_calc!$E$430)))=0,"","Issuer: "&amp;IF(LEN(INDEX('Licences'!$C$4:$C$503,_calc!$E$430))=0,"",INDEX('Licences'!$C$4:$C$503,_calc!$E$430))&amp;". ")&amp;IF(LEN(IF(LEN(INDEX('Licences'!$E$4:$E$503,_calc!$E$430))=0,"",INDEX('Licences'!$E$4:$E$503,_calc!$E$430)))=0,"","Site: "&amp;IF(LEN(INDEX('Licences'!$E$4:$E$503,_calc!$E$430))=0,"",INDEX('Licences'!$E$4:$E$503,_calc!$E$430))&amp;". ")&amp;IF(LEN(IF(LEN(INDEX('Licences'!$F$4:$F$503,_calc!$E$430))=0,"",INDEX('Licences'!$F$4:$F$503,_calc!$E$430)))=0,"","Owner: "&amp;IF(LEN(INDEX('Licences'!$F$4:$F$503,_calc!$E$430))=0,"",INDEX('Licences'!$F$4:$F$503,_calc!$E$430))&amp;". ")&amp;IF(LEN(IF(LEN(INDEX('Licences'!$R$4:$R$503,_calc!$E$430))=0,"",INDEX('Licences'!$R$4:$R$503,_calc!$E$430)))=0,"",IF(LEN(INDEX('Licences'!$R$4:$R$503,_calc!$E$430))=0,"",INDEX('Licences'!$R$4:$R$503,_calc!$E$430)))))</f>
        <v/>
      </c>
      <c r="G428" s="44">
        <f>IF(_calc!$E$430="","",IF(LEN(INDEX('Licences'!$Q$4:$Q$503,_calc!$E$430))=0,"",INDEX('Licences'!$Q$4:$Q$503,_calc!$E$430)))</f>
        <v/>
      </c>
      <c r="H428" s="44">
        <f>IF(_calc!$E$430="","",IF(LEN(INDEX('Licences'!$O$4:$O$503,_calc!$E$430))=0,"",INDEX('Licences'!$O$4:$O$503,_calc!$E$430)))</f>
        <v/>
      </c>
      <c r="I428" s="44">
        <f>IF(_calc!$E$430="","",IF(LEN(INDEX('Licences'!$P$4:$P$503,_calc!$E$430))=0,"",INDEX('Licences'!$P$4:$P$503,_calc!$E$430)))</f>
        <v/>
      </c>
      <c r="K428" s="44">
        <f>IF(_calc!$E$430="","",IF(LEN(INDEX('Licences'!$G$4:$G$503,_calc!$E$430))=0,"",INDEX('Licences'!$G$4:$G$503,_calc!$E$430)))</f>
        <v/>
      </c>
    </row>
    <row r="429">
      <c r="A429" s="44">
        <f>IF(_calc!$E$431="","",IF(LEN(INDEX('Licences'!$A$4:$A$503,_calc!$E$431))=0,"",INDEX('Licences'!$A$4:$A$503,_calc!$E$431)))</f>
        <v/>
      </c>
      <c r="B429" s="44">
        <f>IF(_calc!$E$431="","",IF(ISNUMBER(INDEX('Licences'!$J$4:$J$503,_calc!$E$431)),TEXT(INDEX('Licences'!$J$4:$J$503,_calc!$E$431),"yyyy-mm-dd"),""))</f>
        <v/>
      </c>
      <c r="C429" s="44">
        <f>IF(_calc!$E$431="","",IF(LEN(INDEX('Licences'!$B$4:$B$503,_calc!$E$431))=0,"",INDEX('Licences'!$B$4:$B$503,_calc!$E$431)))</f>
        <v/>
      </c>
      <c r="D429" s="44">
        <f>IF(_calc!$E$431="","",IF(ISNUMBER(INDEX('Licences'!$I$4:$I$503,_calc!$E$431)),TEXT(INDEX('Licences'!$I$4:$I$503,_calc!$E$431),"yyyy-mm-dd"),""))</f>
        <v/>
      </c>
      <c r="E429" s="44">
        <f>IF(_calc!$E$431="","",IF(LEN(INDEX('Licences'!$H$4:$H$503,_calc!$E$431))=0,"",INDEX('Licences'!$H$4:$H$503,_calc!$E$431)))</f>
        <v/>
      </c>
      <c r="F429" s="44">
        <f>IF(_calc!$E$431="","",TRIM(IF(LEN(IF(LEN(INDEX('Licences'!$D$4:$D$503,_calc!$E$431))=0,"",INDEX('Licences'!$D$4:$D$503,_calc!$E$431)))=0,"","Ref: "&amp;IF(LEN(INDEX('Licences'!$D$4:$D$503,_calc!$E$431))=0,"",INDEX('Licences'!$D$4:$D$503,_calc!$E$431))&amp;". ")&amp;IF(LEN(IF(LEN(INDEX('Licences'!$C$4:$C$503,_calc!$E$431))=0,"",INDEX('Licences'!$C$4:$C$503,_calc!$E$431)))=0,"","Issuer: "&amp;IF(LEN(INDEX('Licences'!$C$4:$C$503,_calc!$E$431))=0,"",INDEX('Licences'!$C$4:$C$503,_calc!$E$431))&amp;". ")&amp;IF(LEN(IF(LEN(INDEX('Licences'!$E$4:$E$503,_calc!$E$431))=0,"",INDEX('Licences'!$E$4:$E$503,_calc!$E$431)))=0,"","Site: "&amp;IF(LEN(INDEX('Licences'!$E$4:$E$503,_calc!$E$431))=0,"",INDEX('Licences'!$E$4:$E$503,_calc!$E$431))&amp;". ")&amp;IF(LEN(IF(LEN(INDEX('Licences'!$F$4:$F$503,_calc!$E$431))=0,"",INDEX('Licences'!$F$4:$F$503,_calc!$E$431)))=0,"","Owner: "&amp;IF(LEN(INDEX('Licences'!$F$4:$F$503,_calc!$E$431))=0,"",INDEX('Licences'!$F$4:$F$503,_calc!$E$431))&amp;". ")&amp;IF(LEN(IF(LEN(INDEX('Licences'!$R$4:$R$503,_calc!$E$431))=0,"",INDEX('Licences'!$R$4:$R$503,_calc!$E$431)))=0,"",IF(LEN(INDEX('Licences'!$R$4:$R$503,_calc!$E$431))=0,"",INDEX('Licences'!$R$4:$R$503,_calc!$E$431)))))</f>
        <v/>
      </c>
      <c r="G429" s="44">
        <f>IF(_calc!$E$431="","",IF(LEN(INDEX('Licences'!$Q$4:$Q$503,_calc!$E$431))=0,"",INDEX('Licences'!$Q$4:$Q$503,_calc!$E$431)))</f>
        <v/>
      </c>
      <c r="H429" s="44">
        <f>IF(_calc!$E$431="","",IF(LEN(INDEX('Licences'!$O$4:$O$503,_calc!$E$431))=0,"",INDEX('Licences'!$O$4:$O$503,_calc!$E$431)))</f>
        <v/>
      </c>
      <c r="I429" s="44">
        <f>IF(_calc!$E$431="","",IF(LEN(INDEX('Licences'!$P$4:$P$503,_calc!$E$431))=0,"",INDEX('Licences'!$P$4:$P$503,_calc!$E$431)))</f>
        <v/>
      </c>
      <c r="K429" s="44">
        <f>IF(_calc!$E$431="","",IF(LEN(INDEX('Licences'!$G$4:$G$503,_calc!$E$431))=0,"",INDEX('Licences'!$G$4:$G$503,_calc!$E$431)))</f>
        <v/>
      </c>
    </row>
    <row r="430">
      <c r="A430" s="44">
        <f>IF(_calc!$E$432="","",IF(LEN(INDEX('Licences'!$A$4:$A$503,_calc!$E$432))=0,"",INDEX('Licences'!$A$4:$A$503,_calc!$E$432)))</f>
        <v/>
      </c>
      <c r="B430" s="44">
        <f>IF(_calc!$E$432="","",IF(ISNUMBER(INDEX('Licences'!$J$4:$J$503,_calc!$E$432)),TEXT(INDEX('Licences'!$J$4:$J$503,_calc!$E$432),"yyyy-mm-dd"),""))</f>
        <v/>
      </c>
      <c r="C430" s="44">
        <f>IF(_calc!$E$432="","",IF(LEN(INDEX('Licences'!$B$4:$B$503,_calc!$E$432))=0,"",INDEX('Licences'!$B$4:$B$503,_calc!$E$432)))</f>
        <v/>
      </c>
      <c r="D430" s="44">
        <f>IF(_calc!$E$432="","",IF(ISNUMBER(INDEX('Licences'!$I$4:$I$503,_calc!$E$432)),TEXT(INDEX('Licences'!$I$4:$I$503,_calc!$E$432),"yyyy-mm-dd"),""))</f>
        <v/>
      </c>
      <c r="E430" s="44">
        <f>IF(_calc!$E$432="","",IF(LEN(INDEX('Licences'!$H$4:$H$503,_calc!$E$432))=0,"",INDEX('Licences'!$H$4:$H$503,_calc!$E$432)))</f>
        <v/>
      </c>
      <c r="F430" s="44">
        <f>IF(_calc!$E$432="","",TRIM(IF(LEN(IF(LEN(INDEX('Licences'!$D$4:$D$503,_calc!$E$432))=0,"",INDEX('Licences'!$D$4:$D$503,_calc!$E$432)))=0,"","Ref: "&amp;IF(LEN(INDEX('Licences'!$D$4:$D$503,_calc!$E$432))=0,"",INDEX('Licences'!$D$4:$D$503,_calc!$E$432))&amp;". ")&amp;IF(LEN(IF(LEN(INDEX('Licences'!$C$4:$C$503,_calc!$E$432))=0,"",INDEX('Licences'!$C$4:$C$503,_calc!$E$432)))=0,"","Issuer: "&amp;IF(LEN(INDEX('Licences'!$C$4:$C$503,_calc!$E$432))=0,"",INDEX('Licences'!$C$4:$C$503,_calc!$E$432))&amp;". ")&amp;IF(LEN(IF(LEN(INDEX('Licences'!$E$4:$E$503,_calc!$E$432))=0,"",INDEX('Licences'!$E$4:$E$503,_calc!$E$432)))=0,"","Site: "&amp;IF(LEN(INDEX('Licences'!$E$4:$E$503,_calc!$E$432))=0,"",INDEX('Licences'!$E$4:$E$503,_calc!$E$432))&amp;". ")&amp;IF(LEN(IF(LEN(INDEX('Licences'!$F$4:$F$503,_calc!$E$432))=0,"",INDEX('Licences'!$F$4:$F$503,_calc!$E$432)))=0,"","Owner: "&amp;IF(LEN(INDEX('Licences'!$F$4:$F$503,_calc!$E$432))=0,"",INDEX('Licences'!$F$4:$F$503,_calc!$E$432))&amp;". ")&amp;IF(LEN(IF(LEN(INDEX('Licences'!$R$4:$R$503,_calc!$E$432))=0,"",INDEX('Licences'!$R$4:$R$503,_calc!$E$432)))=0,"",IF(LEN(INDEX('Licences'!$R$4:$R$503,_calc!$E$432))=0,"",INDEX('Licences'!$R$4:$R$503,_calc!$E$432)))))</f>
        <v/>
      </c>
      <c r="G430" s="44">
        <f>IF(_calc!$E$432="","",IF(LEN(INDEX('Licences'!$Q$4:$Q$503,_calc!$E$432))=0,"",INDEX('Licences'!$Q$4:$Q$503,_calc!$E$432)))</f>
        <v/>
      </c>
      <c r="H430" s="44">
        <f>IF(_calc!$E$432="","",IF(LEN(INDEX('Licences'!$O$4:$O$503,_calc!$E$432))=0,"",INDEX('Licences'!$O$4:$O$503,_calc!$E$432)))</f>
        <v/>
      </c>
      <c r="I430" s="44">
        <f>IF(_calc!$E$432="","",IF(LEN(INDEX('Licences'!$P$4:$P$503,_calc!$E$432))=0,"",INDEX('Licences'!$P$4:$P$503,_calc!$E$432)))</f>
        <v/>
      </c>
      <c r="K430" s="44">
        <f>IF(_calc!$E$432="","",IF(LEN(INDEX('Licences'!$G$4:$G$503,_calc!$E$432))=0,"",INDEX('Licences'!$G$4:$G$503,_calc!$E$432)))</f>
        <v/>
      </c>
    </row>
    <row r="431">
      <c r="A431" s="44">
        <f>IF(_calc!$E$433="","",IF(LEN(INDEX('Licences'!$A$4:$A$503,_calc!$E$433))=0,"",INDEX('Licences'!$A$4:$A$503,_calc!$E$433)))</f>
        <v/>
      </c>
      <c r="B431" s="44">
        <f>IF(_calc!$E$433="","",IF(ISNUMBER(INDEX('Licences'!$J$4:$J$503,_calc!$E$433)),TEXT(INDEX('Licences'!$J$4:$J$503,_calc!$E$433),"yyyy-mm-dd"),""))</f>
        <v/>
      </c>
      <c r="C431" s="44">
        <f>IF(_calc!$E$433="","",IF(LEN(INDEX('Licences'!$B$4:$B$503,_calc!$E$433))=0,"",INDEX('Licences'!$B$4:$B$503,_calc!$E$433)))</f>
        <v/>
      </c>
      <c r="D431" s="44">
        <f>IF(_calc!$E$433="","",IF(ISNUMBER(INDEX('Licences'!$I$4:$I$503,_calc!$E$433)),TEXT(INDEX('Licences'!$I$4:$I$503,_calc!$E$433),"yyyy-mm-dd"),""))</f>
        <v/>
      </c>
      <c r="E431" s="44">
        <f>IF(_calc!$E$433="","",IF(LEN(INDEX('Licences'!$H$4:$H$503,_calc!$E$433))=0,"",INDEX('Licences'!$H$4:$H$503,_calc!$E$433)))</f>
        <v/>
      </c>
      <c r="F431" s="44">
        <f>IF(_calc!$E$433="","",TRIM(IF(LEN(IF(LEN(INDEX('Licences'!$D$4:$D$503,_calc!$E$433))=0,"",INDEX('Licences'!$D$4:$D$503,_calc!$E$433)))=0,"","Ref: "&amp;IF(LEN(INDEX('Licences'!$D$4:$D$503,_calc!$E$433))=0,"",INDEX('Licences'!$D$4:$D$503,_calc!$E$433))&amp;". ")&amp;IF(LEN(IF(LEN(INDEX('Licences'!$C$4:$C$503,_calc!$E$433))=0,"",INDEX('Licences'!$C$4:$C$503,_calc!$E$433)))=0,"","Issuer: "&amp;IF(LEN(INDEX('Licences'!$C$4:$C$503,_calc!$E$433))=0,"",INDEX('Licences'!$C$4:$C$503,_calc!$E$433))&amp;". ")&amp;IF(LEN(IF(LEN(INDEX('Licences'!$E$4:$E$503,_calc!$E$433))=0,"",INDEX('Licences'!$E$4:$E$503,_calc!$E$433)))=0,"","Site: "&amp;IF(LEN(INDEX('Licences'!$E$4:$E$503,_calc!$E$433))=0,"",INDEX('Licences'!$E$4:$E$503,_calc!$E$433))&amp;". ")&amp;IF(LEN(IF(LEN(INDEX('Licences'!$F$4:$F$503,_calc!$E$433))=0,"",INDEX('Licences'!$F$4:$F$503,_calc!$E$433)))=0,"","Owner: "&amp;IF(LEN(INDEX('Licences'!$F$4:$F$503,_calc!$E$433))=0,"",INDEX('Licences'!$F$4:$F$503,_calc!$E$433))&amp;". ")&amp;IF(LEN(IF(LEN(INDEX('Licences'!$R$4:$R$503,_calc!$E$433))=0,"",INDEX('Licences'!$R$4:$R$503,_calc!$E$433)))=0,"",IF(LEN(INDEX('Licences'!$R$4:$R$503,_calc!$E$433))=0,"",INDEX('Licences'!$R$4:$R$503,_calc!$E$433)))))</f>
        <v/>
      </c>
      <c r="G431" s="44">
        <f>IF(_calc!$E$433="","",IF(LEN(INDEX('Licences'!$Q$4:$Q$503,_calc!$E$433))=0,"",INDEX('Licences'!$Q$4:$Q$503,_calc!$E$433)))</f>
        <v/>
      </c>
      <c r="H431" s="44">
        <f>IF(_calc!$E$433="","",IF(LEN(INDEX('Licences'!$O$4:$O$503,_calc!$E$433))=0,"",INDEX('Licences'!$O$4:$O$503,_calc!$E$433)))</f>
        <v/>
      </c>
      <c r="I431" s="44">
        <f>IF(_calc!$E$433="","",IF(LEN(INDEX('Licences'!$P$4:$P$503,_calc!$E$433))=0,"",INDEX('Licences'!$P$4:$P$503,_calc!$E$433)))</f>
        <v/>
      </c>
      <c r="K431" s="44">
        <f>IF(_calc!$E$433="","",IF(LEN(INDEX('Licences'!$G$4:$G$503,_calc!$E$433))=0,"",INDEX('Licences'!$G$4:$G$503,_calc!$E$433)))</f>
        <v/>
      </c>
    </row>
    <row r="432">
      <c r="A432" s="44">
        <f>IF(_calc!$E$434="","",IF(LEN(INDEX('Licences'!$A$4:$A$503,_calc!$E$434))=0,"",INDEX('Licences'!$A$4:$A$503,_calc!$E$434)))</f>
        <v/>
      </c>
      <c r="B432" s="44">
        <f>IF(_calc!$E$434="","",IF(ISNUMBER(INDEX('Licences'!$J$4:$J$503,_calc!$E$434)),TEXT(INDEX('Licences'!$J$4:$J$503,_calc!$E$434),"yyyy-mm-dd"),""))</f>
        <v/>
      </c>
      <c r="C432" s="44">
        <f>IF(_calc!$E$434="","",IF(LEN(INDEX('Licences'!$B$4:$B$503,_calc!$E$434))=0,"",INDEX('Licences'!$B$4:$B$503,_calc!$E$434)))</f>
        <v/>
      </c>
      <c r="D432" s="44">
        <f>IF(_calc!$E$434="","",IF(ISNUMBER(INDEX('Licences'!$I$4:$I$503,_calc!$E$434)),TEXT(INDEX('Licences'!$I$4:$I$503,_calc!$E$434),"yyyy-mm-dd"),""))</f>
        <v/>
      </c>
      <c r="E432" s="44">
        <f>IF(_calc!$E$434="","",IF(LEN(INDEX('Licences'!$H$4:$H$503,_calc!$E$434))=0,"",INDEX('Licences'!$H$4:$H$503,_calc!$E$434)))</f>
        <v/>
      </c>
      <c r="F432" s="44">
        <f>IF(_calc!$E$434="","",TRIM(IF(LEN(IF(LEN(INDEX('Licences'!$D$4:$D$503,_calc!$E$434))=0,"",INDEX('Licences'!$D$4:$D$503,_calc!$E$434)))=0,"","Ref: "&amp;IF(LEN(INDEX('Licences'!$D$4:$D$503,_calc!$E$434))=0,"",INDEX('Licences'!$D$4:$D$503,_calc!$E$434))&amp;". ")&amp;IF(LEN(IF(LEN(INDEX('Licences'!$C$4:$C$503,_calc!$E$434))=0,"",INDEX('Licences'!$C$4:$C$503,_calc!$E$434)))=0,"","Issuer: "&amp;IF(LEN(INDEX('Licences'!$C$4:$C$503,_calc!$E$434))=0,"",INDEX('Licences'!$C$4:$C$503,_calc!$E$434))&amp;". ")&amp;IF(LEN(IF(LEN(INDEX('Licences'!$E$4:$E$503,_calc!$E$434))=0,"",INDEX('Licences'!$E$4:$E$503,_calc!$E$434)))=0,"","Site: "&amp;IF(LEN(INDEX('Licences'!$E$4:$E$503,_calc!$E$434))=0,"",INDEX('Licences'!$E$4:$E$503,_calc!$E$434))&amp;". ")&amp;IF(LEN(IF(LEN(INDEX('Licences'!$F$4:$F$503,_calc!$E$434))=0,"",INDEX('Licences'!$F$4:$F$503,_calc!$E$434)))=0,"","Owner: "&amp;IF(LEN(INDEX('Licences'!$F$4:$F$503,_calc!$E$434))=0,"",INDEX('Licences'!$F$4:$F$503,_calc!$E$434))&amp;". ")&amp;IF(LEN(IF(LEN(INDEX('Licences'!$R$4:$R$503,_calc!$E$434))=0,"",INDEX('Licences'!$R$4:$R$503,_calc!$E$434)))=0,"",IF(LEN(INDEX('Licences'!$R$4:$R$503,_calc!$E$434))=0,"",INDEX('Licences'!$R$4:$R$503,_calc!$E$434)))))</f>
        <v/>
      </c>
      <c r="G432" s="44">
        <f>IF(_calc!$E$434="","",IF(LEN(INDEX('Licences'!$Q$4:$Q$503,_calc!$E$434))=0,"",INDEX('Licences'!$Q$4:$Q$503,_calc!$E$434)))</f>
        <v/>
      </c>
      <c r="H432" s="44">
        <f>IF(_calc!$E$434="","",IF(LEN(INDEX('Licences'!$O$4:$O$503,_calc!$E$434))=0,"",INDEX('Licences'!$O$4:$O$503,_calc!$E$434)))</f>
        <v/>
      </c>
      <c r="I432" s="44">
        <f>IF(_calc!$E$434="","",IF(LEN(INDEX('Licences'!$P$4:$P$503,_calc!$E$434))=0,"",INDEX('Licences'!$P$4:$P$503,_calc!$E$434)))</f>
        <v/>
      </c>
      <c r="K432" s="44">
        <f>IF(_calc!$E$434="","",IF(LEN(INDEX('Licences'!$G$4:$G$503,_calc!$E$434))=0,"",INDEX('Licences'!$G$4:$G$503,_calc!$E$434)))</f>
        <v/>
      </c>
    </row>
    <row r="433">
      <c r="A433" s="44">
        <f>IF(_calc!$E$435="","",IF(LEN(INDEX('Licences'!$A$4:$A$503,_calc!$E$435))=0,"",INDEX('Licences'!$A$4:$A$503,_calc!$E$435)))</f>
        <v/>
      </c>
      <c r="B433" s="44">
        <f>IF(_calc!$E$435="","",IF(ISNUMBER(INDEX('Licences'!$J$4:$J$503,_calc!$E$435)),TEXT(INDEX('Licences'!$J$4:$J$503,_calc!$E$435),"yyyy-mm-dd"),""))</f>
        <v/>
      </c>
      <c r="C433" s="44">
        <f>IF(_calc!$E$435="","",IF(LEN(INDEX('Licences'!$B$4:$B$503,_calc!$E$435))=0,"",INDEX('Licences'!$B$4:$B$503,_calc!$E$435)))</f>
        <v/>
      </c>
      <c r="D433" s="44">
        <f>IF(_calc!$E$435="","",IF(ISNUMBER(INDEX('Licences'!$I$4:$I$503,_calc!$E$435)),TEXT(INDEX('Licences'!$I$4:$I$503,_calc!$E$435),"yyyy-mm-dd"),""))</f>
        <v/>
      </c>
      <c r="E433" s="44">
        <f>IF(_calc!$E$435="","",IF(LEN(INDEX('Licences'!$H$4:$H$503,_calc!$E$435))=0,"",INDEX('Licences'!$H$4:$H$503,_calc!$E$435)))</f>
        <v/>
      </c>
      <c r="F433" s="44">
        <f>IF(_calc!$E$435="","",TRIM(IF(LEN(IF(LEN(INDEX('Licences'!$D$4:$D$503,_calc!$E$435))=0,"",INDEX('Licences'!$D$4:$D$503,_calc!$E$435)))=0,"","Ref: "&amp;IF(LEN(INDEX('Licences'!$D$4:$D$503,_calc!$E$435))=0,"",INDEX('Licences'!$D$4:$D$503,_calc!$E$435))&amp;". ")&amp;IF(LEN(IF(LEN(INDEX('Licences'!$C$4:$C$503,_calc!$E$435))=0,"",INDEX('Licences'!$C$4:$C$503,_calc!$E$435)))=0,"","Issuer: "&amp;IF(LEN(INDEX('Licences'!$C$4:$C$503,_calc!$E$435))=0,"",INDEX('Licences'!$C$4:$C$503,_calc!$E$435))&amp;". ")&amp;IF(LEN(IF(LEN(INDEX('Licences'!$E$4:$E$503,_calc!$E$435))=0,"",INDEX('Licences'!$E$4:$E$503,_calc!$E$435)))=0,"","Site: "&amp;IF(LEN(INDEX('Licences'!$E$4:$E$503,_calc!$E$435))=0,"",INDEX('Licences'!$E$4:$E$503,_calc!$E$435))&amp;". ")&amp;IF(LEN(IF(LEN(INDEX('Licences'!$F$4:$F$503,_calc!$E$435))=0,"",INDEX('Licences'!$F$4:$F$503,_calc!$E$435)))=0,"","Owner: "&amp;IF(LEN(INDEX('Licences'!$F$4:$F$503,_calc!$E$435))=0,"",INDEX('Licences'!$F$4:$F$503,_calc!$E$435))&amp;". ")&amp;IF(LEN(IF(LEN(INDEX('Licences'!$R$4:$R$503,_calc!$E$435))=0,"",INDEX('Licences'!$R$4:$R$503,_calc!$E$435)))=0,"",IF(LEN(INDEX('Licences'!$R$4:$R$503,_calc!$E$435))=0,"",INDEX('Licences'!$R$4:$R$503,_calc!$E$435)))))</f>
        <v/>
      </c>
      <c r="G433" s="44">
        <f>IF(_calc!$E$435="","",IF(LEN(INDEX('Licences'!$Q$4:$Q$503,_calc!$E$435))=0,"",INDEX('Licences'!$Q$4:$Q$503,_calc!$E$435)))</f>
        <v/>
      </c>
      <c r="H433" s="44">
        <f>IF(_calc!$E$435="","",IF(LEN(INDEX('Licences'!$O$4:$O$503,_calc!$E$435))=0,"",INDEX('Licences'!$O$4:$O$503,_calc!$E$435)))</f>
        <v/>
      </c>
      <c r="I433" s="44">
        <f>IF(_calc!$E$435="","",IF(LEN(INDEX('Licences'!$P$4:$P$503,_calc!$E$435))=0,"",INDEX('Licences'!$P$4:$P$503,_calc!$E$435)))</f>
        <v/>
      </c>
      <c r="K433" s="44">
        <f>IF(_calc!$E$435="","",IF(LEN(INDEX('Licences'!$G$4:$G$503,_calc!$E$435))=0,"",INDEX('Licences'!$G$4:$G$503,_calc!$E$435)))</f>
        <v/>
      </c>
    </row>
    <row r="434">
      <c r="A434" s="44">
        <f>IF(_calc!$E$436="","",IF(LEN(INDEX('Licences'!$A$4:$A$503,_calc!$E$436))=0,"",INDEX('Licences'!$A$4:$A$503,_calc!$E$436)))</f>
        <v/>
      </c>
      <c r="B434" s="44">
        <f>IF(_calc!$E$436="","",IF(ISNUMBER(INDEX('Licences'!$J$4:$J$503,_calc!$E$436)),TEXT(INDEX('Licences'!$J$4:$J$503,_calc!$E$436),"yyyy-mm-dd"),""))</f>
        <v/>
      </c>
      <c r="C434" s="44">
        <f>IF(_calc!$E$436="","",IF(LEN(INDEX('Licences'!$B$4:$B$503,_calc!$E$436))=0,"",INDEX('Licences'!$B$4:$B$503,_calc!$E$436)))</f>
        <v/>
      </c>
      <c r="D434" s="44">
        <f>IF(_calc!$E$436="","",IF(ISNUMBER(INDEX('Licences'!$I$4:$I$503,_calc!$E$436)),TEXT(INDEX('Licences'!$I$4:$I$503,_calc!$E$436),"yyyy-mm-dd"),""))</f>
        <v/>
      </c>
      <c r="E434" s="44">
        <f>IF(_calc!$E$436="","",IF(LEN(INDEX('Licences'!$H$4:$H$503,_calc!$E$436))=0,"",INDEX('Licences'!$H$4:$H$503,_calc!$E$436)))</f>
        <v/>
      </c>
      <c r="F434" s="44">
        <f>IF(_calc!$E$436="","",TRIM(IF(LEN(IF(LEN(INDEX('Licences'!$D$4:$D$503,_calc!$E$436))=0,"",INDEX('Licences'!$D$4:$D$503,_calc!$E$436)))=0,"","Ref: "&amp;IF(LEN(INDEX('Licences'!$D$4:$D$503,_calc!$E$436))=0,"",INDEX('Licences'!$D$4:$D$503,_calc!$E$436))&amp;". ")&amp;IF(LEN(IF(LEN(INDEX('Licences'!$C$4:$C$503,_calc!$E$436))=0,"",INDEX('Licences'!$C$4:$C$503,_calc!$E$436)))=0,"","Issuer: "&amp;IF(LEN(INDEX('Licences'!$C$4:$C$503,_calc!$E$436))=0,"",INDEX('Licences'!$C$4:$C$503,_calc!$E$436))&amp;". ")&amp;IF(LEN(IF(LEN(INDEX('Licences'!$E$4:$E$503,_calc!$E$436))=0,"",INDEX('Licences'!$E$4:$E$503,_calc!$E$436)))=0,"","Site: "&amp;IF(LEN(INDEX('Licences'!$E$4:$E$503,_calc!$E$436))=0,"",INDEX('Licences'!$E$4:$E$503,_calc!$E$436))&amp;". ")&amp;IF(LEN(IF(LEN(INDEX('Licences'!$F$4:$F$503,_calc!$E$436))=0,"",INDEX('Licences'!$F$4:$F$503,_calc!$E$436)))=0,"","Owner: "&amp;IF(LEN(INDEX('Licences'!$F$4:$F$503,_calc!$E$436))=0,"",INDEX('Licences'!$F$4:$F$503,_calc!$E$436))&amp;". ")&amp;IF(LEN(IF(LEN(INDEX('Licences'!$R$4:$R$503,_calc!$E$436))=0,"",INDEX('Licences'!$R$4:$R$503,_calc!$E$436)))=0,"",IF(LEN(INDEX('Licences'!$R$4:$R$503,_calc!$E$436))=0,"",INDEX('Licences'!$R$4:$R$503,_calc!$E$436)))))</f>
        <v/>
      </c>
      <c r="G434" s="44">
        <f>IF(_calc!$E$436="","",IF(LEN(INDEX('Licences'!$Q$4:$Q$503,_calc!$E$436))=0,"",INDEX('Licences'!$Q$4:$Q$503,_calc!$E$436)))</f>
        <v/>
      </c>
      <c r="H434" s="44">
        <f>IF(_calc!$E$436="","",IF(LEN(INDEX('Licences'!$O$4:$O$503,_calc!$E$436))=0,"",INDEX('Licences'!$O$4:$O$503,_calc!$E$436)))</f>
        <v/>
      </c>
      <c r="I434" s="44">
        <f>IF(_calc!$E$436="","",IF(LEN(INDEX('Licences'!$P$4:$P$503,_calc!$E$436))=0,"",INDEX('Licences'!$P$4:$P$503,_calc!$E$436)))</f>
        <v/>
      </c>
      <c r="K434" s="44">
        <f>IF(_calc!$E$436="","",IF(LEN(INDEX('Licences'!$G$4:$G$503,_calc!$E$436))=0,"",INDEX('Licences'!$G$4:$G$503,_calc!$E$436)))</f>
        <v/>
      </c>
    </row>
    <row r="435">
      <c r="A435" s="44">
        <f>IF(_calc!$E$437="","",IF(LEN(INDEX('Licences'!$A$4:$A$503,_calc!$E$437))=0,"",INDEX('Licences'!$A$4:$A$503,_calc!$E$437)))</f>
        <v/>
      </c>
      <c r="B435" s="44">
        <f>IF(_calc!$E$437="","",IF(ISNUMBER(INDEX('Licences'!$J$4:$J$503,_calc!$E$437)),TEXT(INDEX('Licences'!$J$4:$J$503,_calc!$E$437),"yyyy-mm-dd"),""))</f>
        <v/>
      </c>
      <c r="C435" s="44">
        <f>IF(_calc!$E$437="","",IF(LEN(INDEX('Licences'!$B$4:$B$503,_calc!$E$437))=0,"",INDEX('Licences'!$B$4:$B$503,_calc!$E$437)))</f>
        <v/>
      </c>
      <c r="D435" s="44">
        <f>IF(_calc!$E$437="","",IF(ISNUMBER(INDEX('Licences'!$I$4:$I$503,_calc!$E$437)),TEXT(INDEX('Licences'!$I$4:$I$503,_calc!$E$437),"yyyy-mm-dd"),""))</f>
        <v/>
      </c>
      <c r="E435" s="44">
        <f>IF(_calc!$E$437="","",IF(LEN(INDEX('Licences'!$H$4:$H$503,_calc!$E$437))=0,"",INDEX('Licences'!$H$4:$H$503,_calc!$E$437)))</f>
        <v/>
      </c>
      <c r="F435" s="44">
        <f>IF(_calc!$E$437="","",TRIM(IF(LEN(IF(LEN(INDEX('Licences'!$D$4:$D$503,_calc!$E$437))=0,"",INDEX('Licences'!$D$4:$D$503,_calc!$E$437)))=0,"","Ref: "&amp;IF(LEN(INDEX('Licences'!$D$4:$D$503,_calc!$E$437))=0,"",INDEX('Licences'!$D$4:$D$503,_calc!$E$437))&amp;". ")&amp;IF(LEN(IF(LEN(INDEX('Licences'!$C$4:$C$503,_calc!$E$437))=0,"",INDEX('Licences'!$C$4:$C$503,_calc!$E$437)))=0,"","Issuer: "&amp;IF(LEN(INDEX('Licences'!$C$4:$C$503,_calc!$E$437))=0,"",INDEX('Licences'!$C$4:$C$503,_calc!$E$437))&amp;". ")&amp;IF(LEN(IF(LEN(INDEX('Licences'!$E$4:$E$503,_calc!$E$437))=0,"",INDEX('Licences'!$E$4:$E$503,_calc!$E$437)))=0,"","Site: "&amp;IF(LEN(INDEX('Licences'!$E$4:$E$503,_calc!$E$437))=0,"",INDEX('Licences'!$E$4:$E$503,_calc!$E$437))&amp;". ")&amp;IF(LEN(IF(LEN(INDEX('Licences'!$F$4:$F$503,_calc!$E$437))=0,"",INDEX('Licences'!$F$4:$F$503,_calc!$E$437)))=0,"","Owner: "&amp;IF(LEN(INDEX('Licences'!$F$4:$F$503,_calc!$E$437))=0,"",INDEX('Licences'!$F$4:$F$503,_calc!$E$437))&amp;". ")&amp;IF(LEN(IF(LEN(INDEX('Licences'!$R$4:$R$503,_calc!$E$437))=0,"",INDEX('Licences'!$R$4:$R$503,_calc!$E$437)))=0,"",IF(LEN(INDEX('Licences'!$R$4:$R$503,_calc!$E$437))=0,"",INDEX('Licences'!$R$4:$R$503,_calc!$E$437)))))</f>
        <v/>
      </c>
      <c r="G435" s="44">
        <f>IF(_calc!$E$437="","",IF(LEN(INDEX('Licences'!$Q$4:$Q$503,_calc!$E$437))=0,"",INDEX('Licences'!$Q$4:$Q$503,_calc!$E$437)))</f>
        <v/>
      </c>
      <c r="H435" s="44">
        <f>IF(_calc!$E$437="","",IF(LEN(INDEX('Licences'!$O$4:$O$503,_calc!$E$437))=0,"",INDEX('Licences'!$O$4:$O$503,_calc!$E$437)))</f>
        <v/>
      </c>
      <c r="I435" s="44">
        <f>IF(_calc!$E$437="","",IF(LEN(INDEX('Licences'!$P$4:$P$503,_calc!$E$437))=0,"",INDEX('Licences'!$P$4:$P$503,_calc!$E$437)))</f>
        <v/>
      </c>
      <c r="K435" s="44">
        <f>IF(_calc!$E$437="","",IF(LEN(INDEX('Licences'!$G$4:$G$503,_calc!$E$437))=0,"",INDEX('Licences'!$G$4:$G$503,_calc!$E$437)))</f>
        <v/>
      </c>
    </row>
    <row r="436">
      <c r="A436" s="44">
        <f>IF(_calc!$E$438="","",IF(LEN(INDEX('Licences'!$A$4:$A$503,_calc!$E$438))=0,"",INDEX('Licences'!$A$4:$A$503,_calc!$E$438)))</f>
        <v/>
      </c>
      <c r="B436" s="44">
        <f>IF(_calc!$E$438="","",IF(ISNUMBER(INDEX('Licences'!$J$4:$J$503,_calc!$E$438)),TEXT(INDEX('Licences'!$J$4:$J$503,_calc!$E$438),"yyyy-mm-dd"),""))</f>
        <v/>
      </c>
      <c r="C436" s="44">
        <f>IF(_calc!$E$438="","",IF(LEN(INDEX('Licences'!$B$4:$B$503,_calc!$E$438))=0,"",INDEX('Licences'!$B$4:$B$503,_calc!$E$438)))</f>
        <v/>
      </c>
      <c r="D436" s="44">
        <f>IF(_calc!$E$438="","",IF(ISNUMBER(INDEX('Licences'!$I$4:$I$503,_calc!$E$438)),TEXT(INDEX('Licences'!$I$4:$I$503,_calc!$E$438),"yyyy-mm-dd"),""))</f>
        <v/>
      </c>
      <c r="E436" s="44">
        <f>IF(_calc!$E$438="","",IF(LEN(INDEX('Licences'!$H$4:$H$503,_calc!$E$438))=0,"",INDEX('Licences'!$H$4:$H$503,_calc!$E$438)))</f>
        <v/>
      </c>
      <c r="F436" s="44">
        <f>IF(_calc!$E$438="","",TRIM(IF(LEN(IF(LEN(INDEX('Licences'!$D$4:$D$503,_calc!$E$438))=0,"",INDEX('Licences'!$D$4:$D$503,_calc!$E$438)))=0,"","Ref: "&amp;IF(LEN(INDEX('Licences'!$D$4:$D$503,_calc!$E$438))=0,"",INDEX('Licences'!$D$4:$D$503,_calc!$E$438))&amp;". ")&amp;IF(LEN(IF(LEN(INDEX('Licences'!$C$4:$C$503,_calc!$E$438))=0,"",INDEX('Licences'!$C$4:$C$503,_calc!$E$438)))=0,"","Issuer: "&amp;IF(LEN(INDEX('Licences'!$C$4:$C$503,_calc!$E$438))=0,"",INDEX('Licences'!$C$4:$C$503,_calc!$E$438))&amp;". ")&amp;IF(LEN(IF(LEN(INDEX('Licences'!$E$4:$E$503,_calc!$E$438))=0,"",INDEX('Licences'!$E$4:$E$503,_calc!$E$438)))=0,"","Site: "&amp;IF(LEN(INDEX('Licences'!$E$4:$E$503,_calc!$E$438))=0,"",INDEX('Licences'!$E$4:$E$503,_calc!$E$438))&amp;". ")&amp;IF(LEN(IF(LEN(INDEX('Licences'!$F$4:$F$503,_calc!$E$438))=0,"",INDEX('Licences'!$F$4:$F$503,_calc!$E$438)))=0,"","Owner: "&amp;IF(LEN(INDEX('Licences'!$F$4:$F$503,_calc!$E$438))=0,"",INDEX('Licences'!$F$4:$F$503,_calc!$E$438))&amp;". ")&amp;IF(LEN(IF(LEN(INDEX('Licences'!$R$4:$R$503,_calc!$E$438))=0,"",INDEX('Licences'!$R$4:$R$503,_calc!$E$438)))=0,"",IF(LEN(INDEX('Licences'!$R$4:$R$503,_calc!$E$438))=0,"",INDEX('Licences'!$R$4:$R$503,_calc!$E$438)))))</f>
        <v/>
      </c>
      <c r="G436" s="44">
        <f>IF(_calc!$E$438="","",IF(LEN(INDEX('Licences'!$Q$4:$Q$503,_calc!$E$438))=0,"",INDEX('Licences'!$Q$4:$Q$503,_calc!$E$438)))</f>
        <v/>
      </c>
      <c r="H436" s="44">
        <f>IF(_calc!$E$438="","",IF(LEN(INDEX('Licences'!$O$4:$O$503,_calc!$E$438))=0,"",INDEX('Licences'!$O$4:$O$503,_calc!$E$438)))</f>
        <v/>
      </c>
      <c r="I436" s="44">
        <f>IF(_calc!$E$438="","",IF(LEN(INDEX('Licences'!$P$4:$P$503,_calc!$E$438))=0,"",INDEX('Licences'!$P$4:$P$503,_calc!$E$438)))</f>
        <v/>
      </c>
      <c r="K436" s="44">
        <f>IF(_calc!$E$438="","",IF(LEN(INDEX('Licences'!$G$4:$G$503,_calc!$E$438))=0,"",INDEX('Licences'!$G$4:$G$503,_calc!$E$438)))</f>
        <v/>
      </c>
    </row>
    <row r="437">
      <c r="A437" s="44">
        <f>IF(_calc!$E$439="","",IF(LEN(INDEX('Licences'!$A$4:$A$503,_calc!$E$439))=0,"",INDEX('Licences'!$A$4:$A$503,_calc!$E$439)))</f>
        <v/>
      </c>
      <c r="B437" s="44">
        <f>IF(_calc!$E$439="","",IF(ISNUMBER(INDEX('Licences'!$J$4:$J$503,_calc!$E$439)),TEXT(INDEX('Licences'!$J$4:$J$503,_calc!$E$439),"yyyy-mm-dd"),""))</f>
        <v/>
      </c>
      <c r="C437" s="44">
        <f>IF(_calc!$E$439="","",IF(LEN(INDEX('Licences'!$B$4:$B$503,_calc!$E$439))=0,"",INDEX('Licences'!$B$4:$B$503,_calc!$E$439)))</f>
        <v/>
      </c>
      <c r="D437" s="44">
        <f>IF(_calc!$E$439="","",IF(ISNUMBER(INDEX('Licences'!$I$4:$I$503,_calc!$E$439)),TEXT(INDEX('Licences'!$I$4:$I$503,_calc!$E$439),"yyyy-mm-dd"),""))</f>
        <v/>
      </c>
      <c r="E437" s="44">
        <f>IF(_calc!$E$439="","",IF(LEN(INDEX('Licences'!$H$4:$H$503,_calc!$E$439))=0,"",INDEX('Licences'!$H$4:$H$503,_calc!$E$439)))</f>
        <v/>
      </c>
      <c r="F437" s="44">
        <f>IF(_calc!$E$439="","",TRIM(IF(LEN(IF(LEN(INDEX('Licences'!$D$4:$D$503,_calc!$E$439))=0,"",INDEX('Licences'!$D$4:$D$503,_calc!$E$439)))=0,"","Ref: "&amp;IF(LEN(INDEX('Licences'!$D$4:$D$503,_calc!$E$439))=0,"",INDEX('Licences'!$D$4:$D$503,_calc!$E$439))&amp;". ")&amp;IF(LEN(IF(LEN(INDEX('Licences'!$C$4:$C$503,_calc!$E$439))=0,"",INDEX('Licences'!$C$4:$C$503,_calc!$E$439)))=0,"","Issuer: "&amp;IF(LEN(INDEX('Licences'!$C$4:$C$503,_calc!$E$439))=0,"",INDEX('Licences'!$C$4:$C$503,_calc!$E$439))&amp;". ")&amp;IF(LEN(IF(LEN(INDEX('Licences'!$E$4:$E$503,_calc!$E$439))=0,"",INDEX('Licences'!$E$4:$E$503,_calc!$E$439)))=0,"","Site: "&amp;IF(LEN(INDEX('Licences'!$E$4:$E$503,_calc!$E$439))=0,"",INDEX('Licences'!$E$4:$E$503,_calc!$E$439))&amp;". ")&amp;IF(LEN(IF(LEN(INDEX('Licences'!$F$4:$F$503,_calc!$E$439))=0,"",INDEX('Licences'!$F$4:$F$503,_calc!$E$439)))=0,"","Owner: "&amp;IF(LEN(INDEX('Licences'!$F$4:$F$503,_calc!$E$439))=0,"",INDEX('Licences'!$F$4:$F$503,_calc!$E$439))&amp;". ")&amp;IF(LEN(IF(LEN(INDEX('Licences'!$R$4:$R$503,_calc!$E$439))=0,"",INDEX('Licences'!$R$4:$R$503,_calc!$E$439)))=0,"",IF(LEN(INDEX('Licences'!$R$4:$R$503,_calc!$E$439))=0,"",INDEX('Licences'!$R$4:$R$503,_calc!$E$439)))))</f>
        <v/>
      </c>
      <c r="G437" s="44">
        <f>IF(_calc!$E$439="","",IF(LEN(INDEX('Licences'!$Q$4:$Q$503,_calc!$E$439))=0,"",INDEX('Licences'!$Q$4:$Q$503,_calc!$E$439)))</f>
        <v/>
      </c>
      <c r="H437" s="44">
        <f>IF(_calc!$E$439="","",IF(LEN(INDEX('Licences'!$O$4:$O$503,_calc!$E$439))=0,"",INDEX('Licences'!$O$4:$O$503,_calc!$E$439)))</f>
        <v/>
      </c>
      <c r="I437" s="44">
        <f>IF(_calc!$E$439="","",IF(LEN(INDEX('Licences'!$P$4:$P$503,_calc!$E$439))=0,"",INDEX('Licences'!$P$4:$P$503,_calc!$E$439)))</f>
        <v/>
      </c>
      <c r="K437" s="44">
        <f>IF(_calc!$E$439="","",IF(LEN(INDEX('Licences'!$G$4:$G$503,_calc!$E$439))=0,"",INDEX('Licences'!$G$4:$G$503,_calc!$E$439)))</f>
        <v/>
      </c>
    </row>
    <row r="438">
      <c r="A438" s="44">
        <f>IF(_calc!$E$440="","",IF(LEN(INDEX('Licences'!$A$4:$A$503,_calc!$E$440))=0,"",INDEX('Licences'!$A$4:$A$503,_calc!$E$440)))</f>
        <v/>
      </c>
      <c r="B438" s="44">
        <f>IF(_calc!$E$440="","",IF(ISNUMBER(INDEX('Licences'!$J$4:$J$503,_calc!$E$440)),TEXT(INDEX('Licences'!$J$4:$J$503,_calc!$E$440),"yyyy-mm-dd"),""))</f>
        <v/>
      </c>
      <c r="C438" s="44">
        <f>IF(_calc!$E$440="","",IF(LEN(INDEX('Licences'!$B$4:$B$503,_calc!$E$440))=0,"",INDEX('Licences'!$B$4:$B$503,_calc!$E$440)))</f>
        <v/>
      </c>
      <c r="D438" s="44">
        <f>IF(_calc!$E$440="","",IF(ISNUMBER(INDEX('Licences'!$I$4:$I$503,_calc!$E$440)),TEXT(INDEX('Licences'!$I$4:$I$503,_calc!$E$440),"yyyy-mm-dd"),""))</f>
        <v/>
      </c>
      <c r="E438" s="44">
        <f>IF(_calc!$E$440="","",IF(LEN(INDEX('Licences'!$H$4:$H$503,_calc!$E$440))=0,"",INDEX('Licences'!$H$4:$H$503,_calc!$E$440)))</f>
        <v/>
      </c>
      <c r="F438" s="44">
        <f>IF(_calc!$E$440="","",TRIM(IF(LEN(IF(LEN(INDEX('Licences'!$D$4:$D$503,_calc!$E$440))=0,"",INDEX('Licences'!$D$4:$D$503,_calc!$E$440)))=0,"","Ref: "&amp;IF(LEN(INDEX('Licences'!$D$4:$D$503,_calc!$E$440))=0,"",INDEX('Licences'!$D$4:$D$503,_calc!$E$440))&amp;". ")&amp;IF(LEN(IF(LEN(INDEX('Licences'!$C$4:$C$503,_calc!$E$440))=0,"",INDEX('Licences'!$C$4:$C$503,_calc!$E$440)))=0,"","Issuer: "&amp;IF(LEN(INDEX('Licences'!$C$4:$C$503,_calc!$E$440))=0,"",INDEX('Licences'!$C$4:$C$503,_calc!$E$440))&amp;". ")&amp;IF(LEN(IF(LEN(INDEX('Licences'!$E$4:$E$503,_calc!$E$440))=0,"",INDEX('Licences'!$E$4:$E$503,_calc!$E$440)))=0,"","Site: "&amp;IF(LEN(INDEX('Licences'!$E$4:$E$503,_calc!$E$440))=0,"",INDEX('Licences'!$E$4:$E$503,_calc!$E$440))&amp;". ")&amp;IF(LEN(IF(LEN(INDEX('Licences'!$F$4:$F$503,_calc!$E$440))=0,"",INDEX('Licences'!$F$4:$F$503,_calc!$E$440)))=0,"","Owner: "&amp;IF(LEN(INDEX('Licences'!$F$4:$F$503,_calc!$E$440))=0,"",INDEX('Licences'!$F$4:$F$503,_calc!$E$440))&amp;". ")&amp;IF(LEN(IF(LEN(INDEX('Licences'!$R$4:$R$503,_calc!$E$440))=0,"",INDEX('Licences'!$R$4:$R$503,_calc!$E$440)))=0,"",IF(LEN(INDEX('Licences'!$R$4:$R$503,_calc!$E$440))=0,"",INDEX('Licences'!$R$4:$R$503,_calc!$E$440)))))</f>
        <v/>
      </c>
      <c r="G438" s="44">
        <f>IF(_calc!$E$440="","",IF(LEN(INDEX('Licences'!$Q$4:$Q$503,_calc!$E$440))=0,"",INDEX('Licences'!$Q$4:$Q$503,_calc!$E$440)))</f>
        <v/>
      </c>
      <c r="H438" s="44">
        <f>IF(_calc!$E$440="","",IF(LEN(INDEX('Licences'!$O$4:$O$503,_calc!$E$440))=0,"",INDEX('Licences'!$O$4:$O$503,_calc!$E$440)))</f>
        <v/>
      </c>
      <c r="I438" s="44">
        <f>IF(_calc!$E$440="","",IF(LEN(INDEX('Licences'!$P$4:$P$503,_calc!$E$440))=0,"",INDEX('Licences'!$P$4:$P$503,_calc!$E$440)))</f>
        <v/>
      </c>
      <c r="K438" s="44">
        <f>IF(_calc!$E$440="","",IF(LEN(INDEX('Licences'!$G$4:$G$503,_calc!$E$440))=0,"",INDEX('Licences'!$G$4:$G$503,_calc!$E$440)))</f>
        <v/>
      </c>
    </row>
    <row r="439">
      <c r="A439" s="44">
        <f>IF(_calc!$E$441="","",IF(LEN(INDEX('Licences'!$A$4:$A$503,_calc!$E$441))=0,"",INDEX('Licences'!$A$4:$A$503,_calc!$E$441)))</f>
        <v/>
      </c>
      <c r="B439" s="44">
        <f>IF(_calc!$E$441="","",IF(ISNUMBER(INDEX('Licences'!$J$4:$J$503,_calc!$E$441)),TEXT(INDEX('Licences'!$J$4:$J$503,_calc!$E$441),"yyyy-mm-dd"),""))</f>
        <v/>
      </c>
      <c r="C439" s="44">
        <f>IF(_calc!$E$441="","",IF(LEN(INDEX('Licences'!$B$4:$B$503,_calc!$E$441))=0,"",INDEX('Licences'!$B$4:$B$503,_calc!$E$441)))</f>
        <v/>
      </c>
      <c r="D439" s="44">
        <f>IF(_calc!$E$441="","",IF(ISNUMBER(INDEX('Licences'!$I$4:$I$503,_calc!$E$441)),TEXT(INDEX('Licences'!$I$4:$I$503,_calc!$E$441),"yyyy-mm-dd"),""))</f>
        <v/>
      </c>
      <c r="E439" s="44">
        <f>IF(_calc!$E$441="","",IF(LEN(INDEX('Licences'!$H$4:$H$503,_calc!$E$441))=0,"",INDEX('Licences'!$H$4:$H$503,_calc!$E$441)))</f>
        <v/>
      </c>
      <c r="F439" s="44">
        <f>IF(_calc!$E$441="","",TRIM(IF(LEN(IF(LEN(INDEX('Licences'!$D$4:$D$503,_calc!$E$441))=0,"",INDEX('Licences'!$D$4:$D$503,_calc!$E$441)))=0,"","Ref: "&amp;IF(LEN(INDEX('Licences'!$D$4:$D$503,_calc!$E$441))=0,"",INDEX('Licences'!$D$4:$D$503,_calc!$E$441))&amp;". ")&amp;IF(LEN(IF(LEN(INDEX('Licences'!$C$4:$C$503,_calc!$E$441))=0,"",INDEX('Licences'!$C$4:$C$503,_calc!$E$441)))=0,"","Issuer: "&amp;IF(LEN(INDEX('Licences'!$C$4:$C$503,_calc!$E$441))=0,"",INDEX('Licences'!$C$4:$C$503,_calc!$E$441))&amp;". ")&amp;IF(LEN(IF(LEN(INDEX('Licences'!$E$4:$E$503,_calc!$E$441))=0,"",INDEX('Licences'!$E$4:$E$503,_calc!$E$441)))=0,"","Site: "&amp;IF(LEN(INDEX('Licences'!$E$4:$E$503,_calc!$E$441))=0,"",INDEX('Licences'!$E$4:$E$503,_calc!$E$441))&amp;". ")&amp;IF(LEN(IF(LEN(INDEX('Licences'!$F$4:$F$503,_calc!$E$441))=0,"",INDEX('Licences'!$F$4:$F$503,_calc!$E$441)))=0,"","Owner: "&amp;IF(LEN(INDEX('Licences'!$F$4:$F$503,_calc!$E$441))=0,"",INDEX('Licences'!$F$4:$F$503,_calc!$E$441))&amp;". ")&amp;IF(LEN(IF(LEN(INDEX('Licences'!$R$4:$R$503,_calc!$E$441))=0,"",INDEX('Licences'!$R$4:$R$503,_calc!$E$441)))=0,"",IF(LEN(INDEX('Licences'!$R$4:$R$503,_calc!$E$441))=0,"",INDEX('Licences'!$R$4:$R$503,_calc!$E$441)))))</f>
        <v/>
      </c>
      <c r="G439" s="44">
        <f>IF(_calc!$E$441="","",IF(LEN(INDEX('Licences'!$Q$4:$Q$503,_calc!$E$441))=0,"",INDEX('Licences'!$Q$4:$Q$503,_calc!$E$441)))</f>
        <v/>
      </c>
      <c r="H439" s="44">
        <f>IF(_calc!$E$441="","",IF(LEN(INDEX('Licences'!$O$4:$O$503,_calc!$E$441))=0,"",INDEX('Licences'!$O$4:$O$503,_calc!$E$441)))</f>
        <v/>
      </c>
      <c r="I439" s="44">
        <f>IF(_calc!$E$441="","",IF(LEN(INDEX('Licences'!$P$4:$P$503,_calc!$E$441))=0,"",INDEX('Licences'!$P$4:$P$503,_calc!$E$441)))</f>
        <v/>
      </c>
      <c r="K439" s="44">
        <f>IF(_calc!$E$441="","",IF(LEN(INDEX('Licences'!$G$4:$G$503,_calc!$E$441))=0,"",INDEX('Licences'!$G$4:$G$503,_calc!$E$441)))</f>
        <v/>
      </c>
    </row>
    <row r="440">
      <c r="A440" s="44">
        <f>IF(_calc!$E$442="","",IF(LEN(INDEX('Licences'!$A$4:$A$503,_calc!$E$442))=0,"",INDEX('Licences'!$A$4:$A$503,_calc!$E$442)))</f>
        <v/>
      </c>
      <c r="B440" s="44">
        <f>IF(_calc!$E$442="","",IF(ISNUMBER(INDEX('Licences'!$J$4:$J$503,_calc!$E$442)),TEXT(INDEX('Licences'!$J$4:$J$503,_calc!$E$442),"yyyy-mm-dd"),""))</f>
        <v/>
      </c>
      <c r="C440" s="44">
        <f>IF(_calc!$E$442="","",IF(LEN(INDEX('Licences'!$B$4:$B$503,_calc!$E$442))=0,"",INDEX('Licences'!$B$4:$B$503,_calc!$E$442)))</f>
        <v/>
      </c>
      <c r="D440" s="44">
        <f>IF(_calc!$E$442="","",IF(ISNUMBER(INDEX('Licences'!$I$4:$I$503,_calc!$E$442)),TEXT(INDEX('Licences'!$I$4:$I$503,_calc!$E$442),"yyyy-mm-dd"),""))</f>
        <v/>
      </c>
      <c r="E440" s="44">
        <f>IF(_calc!$E$442="","",IF(LEN(INDEX('Licences'!$H$4:$H$503,_calc!$E$442))=0,"",INDEX('Licences'!$H$4:$H$503,_calc!$E$442)))</f>
        <v/>
      </c>
      <c r="F440" s="44">
        <f>IF(_calc!$E$442="","",TRIM(IF(LEN(IF(LEN(INDEX('Licences'!$D$4:$D$503,_calc!$E$442))=0,"",INDEX('Licences'!$D$4:$D$503,_calc!$E$442)))=0,"","Ref: "&amp;IF(LEN(INDEX('Licences'!$D$4:$D$503,_calc!$E$442))=0,"",INDEX('Licences'!$D$4:$D$503,_calc!$E$442))&amp;". ")&amp;IF(LEN(IF(LEN(INDEX('Licences'!$C$4:$C$503,_calc!$E$442))=0,"",INDEX('Licences'!$C$4:$C$503,_calc!$E$442)))=0,"","Issuer: "&amp;IF(LEN(INDEX('Licences'!$C$4:$C$503,_calc!$E$442))=0,"",INDEX('Licences'!$C$4:$C$503,_calc!$E$442))&amp;". ")&amp;IF(LEN(IF(LEN(INDEX('Licences'!$E$4:$E$503,_calc!$E$442))=0,"",INDEX('Licences'!$E$4:$E$503,_calc!$E$442)))=0,"","Site: "&amp;IF(LEN(INDEX('Licences'!$E$4:$E$503,_calc!$E$442))=0,"",INDEX('Licences'!$E$4:$E$503,_calc!$E$442))&amp;". ")&amp;IF(LEN(IF(LEN(INDEX('Licences'!$F$4:$F$503,_calc!$E$442))=0,"",INDEX('Licences'!$F$4:$F$503,_calc!$E$442)))=0,"","Owner: "&amp;IF(LEN(INDEX('Licences'!$F$4:$F$503,_calc!$E$442))=0,"",INDEX('Licences'!$F$4:$F$503,_calc!$E$442))&amp;". ")&amp;IF(LEN(IF(LEN(INDEX('Licences'!$R$4:$R$503,_calc!$E$442))=0,"",INDEX('Licences'!$R$4:$R$503,_calc!$E$442)))=0,"",IF(LEN(INDEX('Licences'!$R$4:$R$503,_calc!$E$442))=0,"",INDEX('Licences'!$R$4:$R$503,_calc!$E$442)))))</f>
        <v/>
      </c>
      <c r="G440" s="44">
        <f>IF(_calc!$E$442="","",IF(LEN(INDEX('Licences'!$Q$4:$Q$503,_calc!$E$442))=0,"",INDEX('Licences'!$Q$4:$Q$503,_calc!$E$442)))</f>
        <v/>
      </c>
      <c r="H440" s="44">
        <f>IF(_calc!$E$442="","",IF(LEN(INDEX('Licences'!$O$4:$O$503,_calc!$E$442))=0,"",INDEX('Licences'!$O$4:$O$503,_calc!$E$442)))</f>
        <v/>
      </c>
      <c r="I440" s="44">
        <f>IF(_calc!$E$442="","",IF(LEN(INDEX('Licences'!$P$4:$P$503,_calc!$E$442))=0,"",INDEX('Licences'!$P$4:$P$503,_calc!$E$442)))</f>
        <v/>
      </c>
      <c r="K440" s="44">
        <f>IF(_calc!$E$442="","",IF(LEN(INDEX('Licences'!$G$4:$G$503,_calc!$E$442))=0,"",INDEX('Licences'!$G$4:$G$503,_calc!$E$442)))</f>
        <v/>
      </c>
    </row>
    <row r="441">
      <c r="A441" s="44">
        <f>IF(_calc!$E$443="","",IF(LEN(INDEX('Licences'!$A$4:$A$503,_calc!$E$443))=0,"",INDEX('Licences'!$A$4:$A$503,_calc!$E$443)))</f>
        <v/>
      </c>
      <c r="B441" s="44">
        <f>IF(_calc!$E$443="","",IF(ISNUMBER(INDEX('Licences'!$J$4:$J$503,_calc!$E$443)),TEXT(INDEX('Licences'!$J$4:$J$503,_calc!$E$443),"yyyy-mm-dd"),""))</f>
        <v/>
      </c>
      <c r="C441" s="44">
        <f>IF(_calc!$E$443="","",IF(LEN(INDEX('Licences'!$B$4:$B$503,_calc!$E$443))=0,"",INDEX('Licences'!$B$4:$B$503,_calc!$E$443)))</f>
        <v/>
      </c>
      <c r="D441" s="44">
        <f>IF(_calc!$E$443="","",IF(ISNUMBER(INDEX('Licences'!$I$4:$I$503,_calc!$E$443)),TEXT(INDEX('Licences'!$I$4:$I$503,_calc!$E$443),"yyyy-mm-dd"),""))</f>
        <v/>
      </c>
      <c r="E441" s="44">
        <f>IF(_calc!$E$443="","",IF(LEN(INDEX('Licences'!$H$4:$H$503,_calc!$E$443))=0,"",INDEX('Licences'!$H$4:$H$503,_calc!$E$443)))</f>
        <v/>
      </c>
      <c r="F441" s="44">
        <f>IF(_calc!$E$443="","",TRIM(IF(LEN(IF(LEN(INDEX('Licences'!$D$4:$D$503,_calc!$E$443))=0,"",INDEX('Licences'!$D$4:$D$503,_calc!$E$443)))=0,"","Ref: "&amp;IF(LEN(INDEX('Licences'!$D$4:$D$503,_calc!$E$443))=0,"",INDEX('Licences'!$D$4:$D$503,_calc!$E$443))&amp;". ")&amp;IF(LEN(IF(LEN(INDEX('Licences'!$C$4:$C$503,_calc!$E$443))=0,"",INDEX('Licences'!$C$4:$C$503,_calc!$E$443)))=0,"","Issuer: "&amp;IF(LEN(INDEX('Licences'!$C$4:$C$503,_calc!$E$443))=0,"",INDEX('Licences'!$C$4:$C$503,_calc!$E$443))&amp;". ")&amp;IF(LEN(IF(LEN(INDEX('Licences'!$E$4:$E$503,_calc!$E$443))=0,"",INDEX('Licences'!$E$4:$E$503,_calc!$E$443)))=0,"","Site: "&amp;IF(LEN(INDEX('Licences'!$E$4:$E$503,_calc!$E$443))=0,"",INDEX('Licences'!$E$4:$E$503,_calc!$E$443))&amp;". ")&amp;IF(LEN(IF(LEN(INDEX('Licences'!$F$4:$F$503,_calc!$E$443))=0,"",INDEX('Licences'!$F$4:$F$503,_calc!$E$443)))=0,"","Owner: "&amp;IF(LEN(INDEX('Licences'!$F$4:$F$503,_calc!$E$443))=0,"",INDEX('Licences'!$F$4:$F$503,_calc!$E$443))&amp;". ")&amp;IF(LEN(IF(LEN(INDEX('Licences'!$R$4:$R$503,_calc!$E$443))=0,"",INDEX('Licences'!$R$4:$R$503,_calc!$E$443)))=0,"",IF(LEN(INDEX('Licences'!$R$4:$R$503,_calc!$E$443))=0,"",INDEX('Licences'!$R$4:$R$503,_calc!$E$443)))))</f>
        <v/>
      </c>
      <c r="G441" s="44">
        <f>IF(_calc!$E$443="","",IF(LEN(INDEX('Licences'!$Q$4:$Q$503,_calc!$E$443))=0,"",INDEX('Licences'!$Q$4:$Q$503,_calc!$E$443)))</f>
        <v/>
      </c>
      <c r="H441" s="44">
        <f>IF(_calc!$E$443="","",IF(LEN(INDEX('Licences'!$O$4:$O$503,_calc!$E$443))=0,"",INDEX('Licences'!$O$4:$O$503,_calc!$E$443)))</f>
        <v/>
      </c>
      <c r="I441" s="44">
        <f>IF(_calc!$E$443="","",IF(LEN(INDEX('Licences'!$P$4:$P$503,_calc!$E$443))=0,"",INDEX('Licences'!$P$4:$P$503,_calc!$E$443)))</f>
        <v/>
      </c>
      <c r="K441" s="44">
        <f>IF(_calc!$E$443="","",IF(LEN(INDEX('Licences'!$G$4:$G$503,_calc!$E$443))=0,"",INDEX('Licences'!$G$4:$G$503,_calc!$E$443)))</f>
        <v/>
      </c>
    </row>
    <row r="442">
      <c r="A442" s="44">
        <f>IF(_calc!$E$444="","",IF(LEN(INDEX('Licences'!$A$4:$A$503,_calc!$E$444))=0,"",INDEX('Licences'!$A$4:$A$503,_calc!$E$444)))</f>
        <v/>
      </c>
      <c r="B442" s="44">
        <f>IF(_calc!$E$444="","",IF(ISNUMBER(INDEX('Licences'!$J$4:$J$503,_calc!$E$444)),TEXT(INDEX('Licences'!$J$4:$J$503,_calc!$E$444),"yyyy-mm-dd"),""))</f>
        <v/>
      </c>
      <c r="C442" s="44">
        <f>IF(_calc!$E$444="","",IF(LEN(INDEX('Licences'!$B$4:$B$503,_calc!$E$444))=0,"",INDEX('Licences'!$B$4:$B$503,_calc!$E$444)))</f>
        <v/>
      </c>
      <c r="D442" s="44">
        <f>IF(_calc!$E$444="","",IF(ISNUMBER(INDEX('Licences'!$I$4:$I$503,_calc!$E$444)),TEXT(INDEX('Licences'!$I$4:$I$503,_calc!$E$444),"yyyy-mm-dd"),""))</f>
        <v/>
      </c>
      <c r="E442" s="44">
        <f>IF(_calc!$E$444="","",IF(LEN(INDEX('Licences'!$H$4:$H$503,_calc!$E$444))=0,"",INDEX('Licences'!$H$4:$H$503,_calc!$E$444)))</f>
        <v/>
      </c>
      <c r="F442" s="44">
        <f>IF(_calc!$E$444="","",TRIM(IF(LEN(IF(LEN(INDEX('Licences'!$D$4:$D$503,_calc!$E$444))=0,"",INDEX('Licences'!$D$4:$D$503,_calc!$E$444)))=0,"","Ref: "&amp;IF(LEN(INDEX('Licences'!$D$4:$D$503,_calc!$E$444))=0,"",INDEX('Licences'!$D$4:$D$503,_calc!$E$444))&amp;". ")&amp;IF(LEN(IF(LEN(INDEX('Licences'!$C$4:$C$503,_calc!$E$444))=0,"",INDEX('Licences'!$C$4:$C$503,_calc!$E$444)))=0,"","Issuer: "&amp;IF(LEN(INDEX('Licences'!$C$4:$C$503,_calc!$E$444))=0,"",INDEX('Licences'!$C$4:$C$503,_calc!$E$444))&amp;". ")&amp;IF(LEN(IF(LEN(INDEX('Licences'!$E$4:$E$503,_calc!$E$444))=0,"",INDEX('Licences'!$E$4:$E$503,_calc!$E$444)))=0,"","Site: "&amp;IF(LEN(INDEX('Licences'!$E$4:$E$503,_calc!$E$444))=0,"",INDEX('Licences'!$E$4:$E$503,_calc!$E$444))&amp;". ")&amp;IF(LEN(IF(LEN(INDEX('Licences'!$F$4:$F$503,_calc!$E$444))=0,"",INDEX('Licences'!$F$4:$F$503,_calc!$E$444)))=0,"","Owner: "&amp;IF(LEN(INDEX('Licences'!$F$4:$F$503,_calc!$E$444))=0,"",INDEX('Licences'!$F$4:$F$503,_calc!$E$444))&amp;". ")&amp;IF(LEN(IF(LEN(INDEX('Licences'!$R$4:$R$503,_calc!$E$444))=0,"",INDEX('Licences'!$R$4:$R$503,_calc!$E$444)))=0,"",IF(LEN(INDEX('Licences'!$R$4:$R$503,_calc!$E$444))=0,"",INDEX('Licences'!$R$4:$R$503,_calc!$E$444)))))</f>
        <v/>
      </c>
      <c r="G442" s="44">
        <f>IF(_calc!$E$444="","",IF(LEN(INDEX('Licences'!$Q$4:$Q$503,_calc!$E$444))=0,"",INDEX('Licences'!$Q$4:$Q$503,_calc!$E$444)))</f>
        <v/>
      </c>
      <c r="H442" s="44">
        <f>IF(_calc!$E$444="","",IF(LEN(INDEX('Licences'!$O$4:$O$503,_calc!$E$444))=0,"",INDEX('Licences'!$O$4:$O$503,_calc!$E$444)))</f>
        <v/>
      </c>
      <c r="I442" s="44">
        <f>IF(_calc!$E$444="","",IF(LEN(INDEX('Licences'!$P$4:$P$503,_calc!$E$444))=0,"",INDEX('Licences'!$P$4:$P$503,_calc!$E$444)))</f>
        <v/>
      </c>
      <c r="K442" s="44">
        <f>IF(_calc!$E$444="","",IF(LEN(INDEX('Licences'!$G$4:$G$503,_calc!$E$444))=0,"",INDEX('Licences'!$G$4:$G$503,_calc!$E$444)))</f>
        <v/>
      </c>
    </row>
    <row r="443">
      <c r="A443" s="44">
        <f>IF(_calc!$E$445="","",IF(LEN(INDEX('Licences'!$A$4:$A$503,_calc!$E$445))=0,"",INDEX('Licences'!$A$4:$A$503,_calc!$E$445)))</f>
        <v/>
      </c>
      <c r="B443" s="44">
        <f>IF(_calc!$E$445="","",IF(ISNUMBER(INDEX('Licences'!$J$4:$J$503,_calc!$E$445)),TEXT(INDEX('Licences'!$J$4:$J$503,_calc!$E$445),"yyyy-mm-dd"),""))</f>
        <v/>
      </c>
      <c r="C443" s="44">
        <f>IF(_calc!$E$445="","",IF(LEN(INDEX('Licences'!$B$4:$B$503,_calc!$E$445))=0,"",INDEX('Licences'!$B$4:$B$503,_calc!$E$445)))</f>
        <v/>
      </c>
      <c r="D443" s="44">
        <f>IF(_calc!$E$445="","",IF(ISNUMBER(INDEX('Licences'!$I$4:$I$503,_calc!$E$445)),TEXT(INDEX('Licences'!$I$4:$I$503,_calc!$E$445),"yyyy-mm-dd"),""))</f>
        <v/>
      </c>
      <c r="E443" s="44">
        <f>IF(_calc!$E$445="","",IF(LEN(INDEX('Licences'!$H$4:$H$503,_calc!$E$445))=0,"",INDEX('Licences'!$H$4:$H$503,_calc!$E$445)))</f>
        <v/>
      </c>
      <c r="F443" s="44">
        <f>IF(_calc!$E$445="","",TRIM(IF(LEN(IF(LEN(INDEX('Licences'!$D$4:$D$503,_calc!$E$445))=0,"",INDEX('Licences'!$D$4:$D$503,_calc!$E$445)))=0,"","Ref: "&amp;IF(LEN(INDEX('Licences'!$D$4:$D$503,_calc!$E$445))=0,"",INDEX('Licences'!$D$4:$D$503,_calc!$E$445))&amp;". ")&amp;IF(LEN(IF(LEN(INDEX('Licences'!$C$4:$C$503,_calc!$E$445))=0,"",INDEX('Licences'!$C$4:$C$503,_calc!$E$445)))=0,"","Issuer: "&amp;IF(LEN(INDEX('Licences'!$C$4:$C$503,_calc!$E$445))=0,"",INDEX('Licences'!$C$4:$C$503,_calc!$E$445))&amp;". ")&amp;IF(LEN(IF(LEN(INDEX('Licences'!$E$4:$E$503,_calc!$E$445))=0,"",INDEX('Licences'!$E$4:$E$503,_calc!$E$445)))=0,"","Site: "&amp;IF(LEN(INDEX('Licences'!$E$4:$E$503,_calc!$E$445))=0,"",INDEX('Licences'!$E$4:$E$503,_calc!$E$445))&amp;". ")&amp;IF(LEN(IF(LEN(INDEX('Licences'!$F$4:$F$503,_calc!$E$445))=0,"",INDEX('Licences'!$F$4:$F$503,_calc!$E$445)))=0,"","Owner: "&amp;IF(LEN(INDEX('Licences'!$F$4:$F$503,_calc!$E$445))=0,"",INDEX('Licences'!$F$4:$F$503,_calc!$E$445))&amp;". ")&amp;IF(LEN(IF(LEN(INDEX('Licences'!$R$4:$R$503,_calc!$E$445))=0,"",INDEX('Licences'!$R$4:$R$503,_calc!$E$445)))=0,"",IF(LEN(INDEX('Licences'!$R$4:$R$503,_calc!$E$445))=0,"",INDEX('Licences'!$R$4:$R$503,_calc!$E$445)))))</f>
        <v/>
      </c>
      <c r="G443" s="44">
        <f>IF(_calc!$E$445="","",IF(LEN(INDEX('Licences'!$Q$4:$Q$503,_calc!$E$445))=0,"",INDEX('Licences'!$Q$4:$Q$503,_calc!$E$445)))</f>
        <v/>
      </c>
      <c r="H443" s="44">
        <f>IF(_calc!$E$445="","",IF(LEN(INDEX('Licences'!$O$4:$O$503,_calc!$E$445))=0,"",INDEX('Licences'!$O$4:$O$503,_calc!$E$445)))</f>
        <v/>
      </c>
      <c r="I443" s="44">
        <f>IF(_calc!$E$445="","",IF(LEN(INDEX('Licences'!$P$4:$P$503,_calc!$E$445))=0,"",INDEX('Licences'!$P$4:$P$503,_calc!$E$445)))</f>
        <v/>
      </c>
      <c r="K443" s="44">
        <f>IF(_calc!$E$445="","",IF(LEN(INDEX('Licences'!$G$4:$G$503,_calc!$E$445))=0,"",INDEX('Licences'!$G$4:$G$503,_calc!$E$445)))</f>
        <v/>
      </c>
    </row>
    <row r="444">
      <c r="A444" s="44">
        <f>IF(_calc!$E$446="","",IF(LEN(INDEX('Licences'!$A$4:$A$503,_calc!$E$446))=0,"",INDEX('Licences'!$A$4:$A$503,_calc!$E$446)))</f>
        <v/>
      </c>
      <c r="B444" s="44">
        <f>IF(_calc!$E$446="","",IF(ISNUMBER(INDEX('Licences'!$J$4:$J$503,_calc!$E$446)),TEXT(INDEX('Licences'!$J$4:$J$503,_calc!$E$446),"yyyy-mm-dd"),""))</f>
        <v/>
      </c>
      <c r="C444" s="44">
        <f>IF(_calc!$E$446="","",IF(LEN(INDEX('Licences'!$B$4:$B$503,_calc!$E$446))=0,"",INDEX('Licences'!$B$4:$B$503,_calc!$E$446)))</f>
        <v/>
      </c>
      <c r="D444" s="44">
        <f>IF(_calc!$E$446="","",IF(ISNUMBER(INDEX('Licences'!$I$4:$I$503,_calc!$E$446)),TEXT(INDEX('Licences'!$I$4:$I$503,_calc!$E$446),"yyyy-mm-dd"),""))</f>
        <v/>
      </c>
      <c r="E444" s="44">
        <f>IF(_calc!$E$446="","",IF(LEN(INDEX('Licences'!$H$4:$H$503,_calc!$E$446))=0,"",INDEX('Licences'!$H$4:$H$503,_calc!$E$446)))</f>
        <v/>
      </c>
      <c r="F444" s="44">
        <f>IF(_calc!$E$446="","",TRIM(IF(LEN(IF(LEN(INDEX('Licences'!$D$4:$D$503,_calc!$E$446))=0,"",INDEX('Licences'!$D$4:$D$503,_calc!$E$446)))=0,"","Ref: "&amp;IF(LEN(INDEX('Licences'!$D$4:$D$503,_calc!$E$446))=0,"",INDEX('Licences'!$D$4:$D$503,_calc!$E$446))&amp;". ")&amp;IF(LEN(IF(LEN(INDEX('Licences'!$C$4:$C$503,_calc!$E$446))=0,"",INDEX('Licences'!$C$4:$C$503,_calc!$E$446)))=0,"","Issuer: "&amp;IF(LEN(INDEX('Licences'!$C$4:$C$503,_calc!$E$446))=0,"",INDEX('Licences'!$C$4:$C$503,_calc!$E$446))&amp;". ")&amp;IF(LEN(IF(LEN(INDEX('Licences'!$E$4:$E$503,_calc!$E$446))=0,"",INDEX('Licences'!$E$4:$E$503,_calc!$E$446)))=0,"","Site: "&amp;IF(LEN(INDEX('Licences'!$E$4:$E$503,_calc!$E$446))=0,"",INDEX('Licences'!$E$4:$E$503,_calc!$E$446))&amp;". ")&amp;IF(LEN(IF(LEN(INDEX('Licences'!$F$4:$F$503,_calc!$E$446))=0,"",INDEX('Licences'!$F$4:$F$503,_calc!$E$446)))=0,"","Owner: "&amp;IF(LEN(INDEX('Licences'!$F$4:$F$503,_calc!$E$446))=0,"",INDEX('Licences'!$F$4:$F$503,_calc!$E$446))&amp;". ")&amp;IF(LEN(IF(LEN(INDEX('Licences'!$R$4:$R$503,_calc!$E$446))=0,"",INDEX('Licences'!$R$4:$R$503,_calc!$E$446)))=0,"",IF(LEN(INDEX('Licences'!$R$4:$R$503,_calc!$E$446))=0,"",INDEX('Licences'!$R$4:$R$503,_calc!$E$446)))))</f>
        <v/>
      </c>
      <c r="G444" s="44">
        <f>IF(_calc!$E$446="","",IF(LEN(INDEX('Licences'!$Q$4:$Q$503,_calc!$E$446))=0,"",INDEX('Licences'!$Q$4:$Q$503,_calc!$E$446)))</f>
        <v/>
      </c>
      <c r="H444" s="44">
        <f>IF(_calc!$E$446="","",IF(LEN(INDEX('Licences'!$O$4:$O$503,_calc!$E$446))=0,"",INDEX('Licences'!$O$4:$O$503,_calc!$E$446)))</f>
        <v/>
      </c>
      <c r="I444" s="44">
        <f>IF(_calc!$E$446="","",IF(LEN(INDEX('Licences'!$P$4:$P$503,_calc!$E$446))=0,"",INDEX('Licences'!$P$4:$P$503,_calc!$E$446)))</f>
        <v/>
      </c>
      <c r="K444" s="44">
        <f>IF(_calc!$E$446="","",IF(LEN(INDEX('Licences'!$G$4:$G$503,_calc!$E$446))=0,"",INDEX('Licences'!$G$4:$G$503,_calc!$E$446)))</f>
        <v/>
      </c>
    </row>
    <row r="445">
      <c r="A445" s="44">
        <f>IF(_calc!$E$447="","",IF(LEN(INDEX('Licences'!$A$4:$A$503,_calc!$E$447))=0,"",INDEX('Licences'!$A$4:$A$503,_calc!$E$447)))</f>
        <v/>
      </c>
      <c r="B445" s="44">
        <f>IF(_calc!$E$447="","",IF(ISNUMBER(INDEX('Licences'!$J$4:$J$503,_calc!$E$447)),TEXT(INDEX('Licences'!$J$4:$J$503,_calc!$E$447),"yyyy-mm-dd"),""))</f>
        <v/>
      </c>
      <c r="C445" s="44">
        <f>IF(_calc!$E$447="","",IF(LEN(INDEX('Licences'!$B$4:$B$503,_calc!$E$447))=0,"",INDEX('Licences'!$B$4:$B$503,_calc!$E$447)))</f>
        <v/>
      </c>
      <c r="D445" s="44">
        <f>IF(_calc!$E$447="","",IF(ISNUMBER(INDEX('Licences'!$I$4:$I$503,_calc!$E$447)),TEXT(INDEX('Licences'!$I$4:$I$503,_calc!$E$447),"yyyy-mm-dd"),""))</f>
        <v/>
      </c>
      <c r="E445" s="44">
        <f>IF(_calc!$E$447="","",IF(LEN(INDEX('Licences'!$H$4:$H$503,_calc!$E$447))=0,"",INDEX('Licences'!$H$4:$H$503,_calc!$E$447)))</f>
        <v/>
      </c>
      <c r="F445" s="44">
        <f>IF(_calc!$E$447="","",TRIM(IF(LEN(IF(LEN(INDEX('Licences'!$D$4:$D$503,_calc!$E$447))=0,"",INDEX('Licences'!$D$4:$D$503,_calc!$E$447)))=0,"","Ref: "&amp;IF(LEN(INDEX('Licences'!$D$4:$D$503,_calc!$E$447))=0,"",INDEX('Licences'!$D$4:$D$503,_calc!$E$447))&amp;". ")&amp;IF(LEN(IF(LEN(INDEX('Licences'!$C$4:$C$503,_calc!$E$447))=0,"",INDEX('Licences'!$C$4:$C$503,_calc!$E$447)))=0,"","Issuer: "&amp;IF(LEN(INDEX('Licences'!$C$4:$C$503,_calc!$E$447))=0,"",INDEX('Licences'!$C$4:$C$503,_calc!$E$447))&amp;". ")&amp;IF(LEN(IF(LEN(INDEX('Licences'!$E$4:$E$503,_calc!$E$447))=0,"",INDEX('Licences'!$E$4:$E$503,_calc!$E$447)))=0,"","Site: "&amp;IF(LEN(INDEX('Licences'!$E$4:$E$503,_calc!$E$447))=0,"",INDEX('Licences'!$E$4:$E$503,_calc!$E$447))&amp;". ")&amp;IF(LEN(IF(LEN(INDEX('Licences'!$F$4:$F$503,_calc!$E$447))=0,"",INDEX('Licences'!$F$4:$F$503,_calc!$E$447)))=0,"","Owner: "&amp;IF(LEN(INDEX('Licences'!$F$4:$F$503,_calc!$E$447))=0,"",INDEX('Licences'!$F$4:$F$503,_calc!$E$447))&amp;". ")&amp;IF(LEN(IF(LEN(INDEX('Licences'!$R$4:$R$503,_calc!$E$447))=0,"",INDEX('Licences'!$R$4:$R$503,_calc!$E$447)))=0,"",IF(LEN(INDEX('Licences'!$R$4:$R$503,_calc!$E$447))=0,"",INDEX('Licences'!$R$4:$R$503,_calc!$E$447)))))</f>
        <v/>
      </c>
      <c r="G445" s="44">
        <f>IF(_calc!$E$447="","",IF(LEN(INDEX('Licences'!$Q$4:$Q$503,_calc!$E$447))=0,"",INDEX('Licences'!$Q$4:$Q$503,_calc!$E$447)))</f>
        <v/>
      </c>
      <c r="H445" s="44">
        <f>IF(_calc!$E$447="","",IF(LEN(INDEX('Licences'!$O$4:$O$503,_calc!$E$447))=0,"",INDEX('Licences'!$O$4:$O$503,_calc!$E$447)))</f>
        <v/>
      </c>
      <c r="I445" s="44">
        <f>IF(_calc!$E$447="","",IF(LEN(INDEX('Licences'!$P$4:$P$503,_calc!$E$447))=0,"",INDEX('Licences'!$P$4:$P$503,_calc!$E$447)))</f>
        <v/>
      </c>
      <c r="K445" s="44">
        <f>IF(_calc!$E$447="","",IF(LEN(INDEX('Licences'!$G$4:$G$503,_calc!$E$447))=0,"",INDEX('Licences'!$G$4:$G$503,_calc!$E$447)))</f>
        <v/>
      </c>
    </row>
    <row r="446">
      <c r="A446" s="44">
        <f>IF(_calc!$E$448="","",IF(LEN(INDEX('Licences'!$A$4:$A$503,_calc!$E$448))=0,"",INDEX('Licences'!$A$4:$A$503,_calc!$E$448)))</f>
        <v/>
      </c>
      <c r="B446" s="44">
        <f>IF(_calc!$E$448="","",IF(ISNUMBER(INDEX('Licences'!$J$4:$J$503,_calc!$E$448)),TEXT(INDEX('Licences'!$J$4:$J$503,_calc!$E$448),"yyyy-mm-dd"),""))</f>
        <v/>
      </c>
      <c r="C446" s="44">
        <f>IF(_calc!$E$448="","",IF(LEN(INDEX('Licences'!$B$4:$B$503,_calc!$E$448))=0,"",INDEX('Licences'!$B$4:$B$503,_calc!$E$448)))</f>
        <v/>
      </c>
      <c r="D446" s="44">
        <f>IF(_calc!$E$448="","",IF(ISNUMBER(INDEX('Licences'!$I$4:$I$503,_calc!$E$448)),TEXT(INDEX('Licences'!$I$4:$I$503,_calc!$E$448),"yyyy-mm-dd"),""))</f>
        <v/>
      </c>
      <c r="E446" s="44">
        <f>IF(_calc!$E$448="","",IF(LEN(INDEX('Licences'!$H$4:$H$503,_calc!$E$448))=0,"",INDEX('Licences'!$H$4:$H$503,_calc!$E$448)))</f>
        <v/>
      </c>
      <c r="F446" s="44">
        <f>IF(_calc!$E$448="","",TRIM(IF(LEN(IF(LEN(INDEX('Licences'!$D$4:$D$503,_calc!$E$448))=0,"",INDEX('Licences'!$D$4:$D$503,_calc!$E$448)))=0,"","Ref: "&amp;IF(LEN(INDEX('Licences'!$D$4:$D$503,_calc!$E$448))=0,"",INDEX('Licences'!$D$4:$D$503,_calc!$E$448))&amp;". ")&amp;IF(LEN(IF(LEN(INDEX('Licences'!$C$4:$C$503,_calc!$E$448))=0,"",INDEX('Licences'!$C$4:$C$503,_calc!$E$448)))=0,"","Issuer: "&amp;IF(LEN(INDEX('Licences'!$C$4:$C$503,_calc!$E$448))=0,"",INDEX('Licences'!$C$4:$C$503,_calc!$E$448))&amp;". ")&amp;IF(LEN(IF(LEN(INDEX('Licences'!$E$4:$E$503,_calc!$E$448))=0,"",INDEX('Licences'!$E$4:$E$503,_calc!$E$448)))=0,"","Site: "&amp;IF(LEN(INDEX('Licences'!$E$4:$E$503,_calc!$E$448))=0,"",INDEX('Licences'!$E$4:$E$503,_calc!$E$448))&amp;". ")&amp;IF(LEN(IF(LEN(INDEX('Licences'!$F$4:$F$503,_calc!$E$448))=0,"",INDEX('Licences'!$F$4:$F$503,_calc!$E$448)))=0,"","Owner: "&amp;IF(LEN(INDEX('Licences'!$F$4:$F$503,_calc!$E$448))=0,"",INDEX('Licences'!$F$4:$F$503,_calc!$E$448))&amp;". ")&amp;IF(LEN(IF(LEN(INDEX('Licences'!$R$4:$R$503,_calc!$E$448))=0,"",INDEX('Licences'!$R$4:$R$503,_calc!$E$448)))=0,"",IF(LEN(INDEX('Licences'!$R$4:$R$503,_calc!$E$448))=0,"",INDEX('Licences'!$R$4:$R$503,_calc!$E$448)))))</f>
        <v/>
      </c>
      <c r="G446" s="44">
        <f>IF(_calc!$E$448="","",IF(LEN(INDEX('Licences'!$Q$4:$Q$503,_calc!$E$448))=0,"",INDEX('Licences'!$Q$4:$Q$503,_calc!$E$448)))</f>
        <v/>
      </c>
      <c r="H446" s="44">
        <f>IF(_calc!$E$448="","",IF(LEN(INDEX('Licences'!$O$4:$O$503,_calc!$E$448))=0,"",INDEX('Licences'!$O$4:$O$503,_calc!$E$448)))</f>
        <v/>
      </c>
      <c r="I446" s="44">
        <f>IF(_calc!$E$448="","",IF(LEN(INDEX('Licences'!$P$4:$P$503,_calc!$E$448))=0,"",INDEX('Licences'!$P$4:$P$503,_calc!$E$448)))</f>
        <v/>
      </c>
      <c r="K446" s="44">
        <f>IF(_calc!$E$448="","",IF(LEN(INDEX('Licences'!$G$4:$G$503,_calc!$E$448))=0,"",INDEX('Licences'!$G$4:$G$503,_calc!$E$448)))</f>
        <v/>
      </c>
    </row>
    <row r="447">
      <c r="A447" s="44">
        <f>IF(_calc!$E$449="","",IF(LEN(INDEX('Licences'!$A$4:$A$503,_calc!$E$449))=0,"",INDEX('Licences'!$A$4:$A$503,_calc!$E$449)))</f>
        <v/>
      </c>
      <c r="B447" s="44">
        <f>IF(_calc!$E$449="","",IF(ISNUMBER(INDEX('Licences'!$J$4:$J$503,_calc!$E$449)),TEXT(INDEX('Licences'!$J$4:$J$503,_calc!$E$449),"yyyy-mm-dd"),""))</f>
        <v/>
      </c>
      <c r="C447" s="44">
        <f>IF(_calc!$E$449="","",IF(LEN(INDEX('Licences'!$B$4:$B$503,_calc!$E$449))=0,"",INDEX('Licences'!$B$4:$B$503,_calc!$E$449)))</f>
        <v/>
      </c>
      <c r="D447" s="44">
        <f>IF(_calc!$E$449="","",IF(ISNUMBER(INDEX('Licences'!$I$4:$I$503,_calc!$E$449)),TEXT(INDEX('Licences'!$I$4:$I$503,_calc!$E$449),"yyyy-mm-dd"),""))</f>
        <v/>
      </c>
      <c r="E447" s="44">
        <f>IF(_calc!$E$449="","",IF(LEN(INDEX('Licences'!$H$4:$H$503,_calc!$E$449))=0,"",INDEX('Licences'!$H$4:$H$503,_calc!$E$449)))</f>
        <v/>
      </c>
      <c r="F447" s="44">
        <f>IF(_calc!$E$449="","",TRIM(IF(LEN(IF(LEN(INDEX('Licences'!$D$4:$D$503,_calc!$E$449))=0,"",INDEX('Licences'!$D$4:$D$503,_calc!$E$449)))=0,"","Ref: "&amp;IF(LEN(INDEX('Licences'!$D$4:$D$503,_calc!$E$449))=0,"",INDEX('Licences'!$D$4:$D$503,_calc!$E$449))&amp;". ")&amp;IF(LEN(IF(LEN(INDEX('Licences'!$C$4:$C$503,_calc!$E$449))=0,"",INDEX('Licences'!$C$4:$C$503,_calc!$E$449)))=0,"","Issuer: "&amp;IF(LEN(INDEX('Licences'!$C$4:$C$503,_calc!$E$449))=0,"",INDEX('Licences'!$C$4:$C$503,_calc!$E$449))&amp;". ")&amp;IF(LEN(IF(LEN(INDEX('Licences'!$E$4:$E$503,_calc!$E$449))=0,"",INDEX('Licences'!$E$4:$E$503,_calc!$E$449)))=0,"","Site: "&amp;IF(LEN(INDEX('Licences'!$E$4:$E$503,_calc!$E$449))=0,"",INDEX('Licences'!$E$4:$E$503,_calc!$E$449))&amp;". ")&amp;IF(LEN(IF(LEN(INDEX('Licences'!$F$4:$F$503,_calc!$E$449))=0,"",INDEX('Licences'!$F$4:$F$503,_calc!$E$449)))=0,"","Owner: "&amp;IF(LEN(INDEX('Licences'!$F$4:$F$503,_calc!$E$449))=0,"",INDEX('Licences'!$F$4:$F$503,_calc!$E$449))&amp;". ")&amp;IF(LEN(IF(LEN(INDEX('Licences'!$R$4:$R$503,_calc!$E$449))=0,"",INDEX('Licences'!$R$4:$R$503,_calc!$E$449)))=0,"",IF(LEN(INDEX('Licences'!$R$4:$R$503,_calc!$E$449))=0,"",INDEX('Licences'!$R$4:$R$503,_calc!$E$449)))))</f>
        <v/>
      </c>
      <c r="G447" s="44">
        <f>IF(_calc!$E$449="","",IF(LEN(INDEX('Licences'!$Q$4:$Q$503,_calc!$E$449))=0,"",INDEX('Licences'!$Q$4:$Q$503,_calc!$E$449)))</f>
        <v/>
      </c>
      <c r="H447" s="44">
        <f>IF(_calc!$E$449="","",IF(LEN(INDEX('Licences'!$O$4:$O$503,_calc!$E$449))=0,"",INDEX('Licences'!$O$4:$O$503,_calc!$E$449)))</f>
        <v/>
      </c>
      <c r="I447" s="44">
        <f>IF(_calc!$E$449="","",IF(LEN(INDEX('Licences'!$P$4:$P$503,_calc!$E$449))=0,"",INDEX('Licences'!$P$4:$P$503,_calc!$E$449)))</f>
        <v/>
      </c>
      <c r="K447" s="44">
        <f>IF(_calc!$E$449="","",IF(LEN(INDEX('Licences'!$G$4:$G$503,_calc!$E$449))=0,"",INDEX('Licences'!$G$4:$G$503,_calc!$E$449)))</f>
        <v/>
      </c>
    </row>
    <row r="448">
      <c r="A448" s="44">
        <f>IF(_calc!$E$450="","",IF(LEN(INDEX('Licences'!$A$4:$A$503,_calc!$E$450))=0,"",INDEX('Licences'!$A$4:$A$503,_calc!$E$450)))</f>
        <v/>
      </c>
      <c r="B448" s="44">
        <f>IF(_calc!$E$450="","",IF(ISNUMBER(INDEX('Licences'!$J$4:$J$503,_calc!$E$450)),TEXT(INDEX('Licences'!$J$4:$J$503,_calc!$E$450),"yyyy-mm-dd"),""))</f>
        <v/>
      </c>
      <c r="C448" s="44">
        <f>IF(_calc!$E$450="","",IF(LEN(INDEX('Licences'!$B$4:$B$503,_calc!$E$450))=0,"",INDEX('Licences'!$B$4:$B$503,_calc!$E$450)))</f>
        <v/>
      </c>
      <c r="D448" s="44">
        <f>IF(_calc!$E$450="","",IF(ISNUMBER(INDEX('Licences'!$I$4:$I$503,_calc!$E$450)),TEXT(INDEX('Licences'!$I$4:$I$503,_calc!$E$450),"yyyy-mm-dd"),""))</f>
        <v/>
      </c>
      <c r="E448" s="44">
        <f>IF(_calc!$E$450="","",IF(LEN(INDEX('Licences'!$H$4:$H$503,_calc!$E$450))=0,"",INDEX('Licences'!$H$4:$H$503,_calc!$E$450)))</f>
        <v/>
      </c>
      <c r="F448" s="44">
        <f>IF(_calc!$E$450="","",TRIM(IF(LEN(IF(LEN(INDEX('Licences'!$D$4:$D$503,_calc!$E$450))=0,"",INDEX('Licences'!$D$4:$D$503,_calc!$E$450)))=0,"","Ref: "&amp;IF(LEN(INDEX('Licences'!$D$4:$D$503,_calc!$E$450))=0,"",INDEX('Licences'!$D$4:$D$503,_calc!$E$450))&amp;". ")&amp;IF(LEN(IF(LEN(INDEX('Licences'!$C$4:$C$503,_calc!$E$450))=0,"",INDEX('Licences'!$C$4:$C$503,_calc!$E$450)))=0,"","Issuer: "&amp;IF(LEN(INDEX('Licences'!$C$4:$C$503,_calc!$E$450))=0,"",INDEX('Licences'!$C$4:$C$503,_calc!$E$450))&amp;". ")&amp;IF(LEN(IF(LEN(INDEX('Licences'!$E$4:$E$503,_calc!$E$450))=0,"",INDEX('Licences'!$E$4:$E$503,_calc!$E$450)))=0,"","Site: "&amp;IF(LEN(INDEX('Licences'!$E$4:$E$503,_calc!$E$450))=0,"",INDEX('Licences'!$E$4:$E$503,_calc!$E$450))&amp;". ")&amp;IF(LEN(IF(LEN(INDEX('Licences'!$F$4:$F$503,_calc!$E$450))=0,"",INDEX('Licences'!$F$4:$F$503,_calc!$E$450)))=0,"","Owner: "&amp;IF(LEN(INDEX('Licences'!$F$4:$F$503,_calc!$E$450))=0,"",INDEX('Licences'!$F$4:$F$503,_calc!$E$450))&amp;". ")&amp;IF(LEN(IF(LEN(INDEX('Licences'!$R$4:$R$503,_calc!$E$450))=0,"",INDEX('Licences'!$R$4:$R$503,_calc!$E$450)))=0,"",IF(LEN(INDEX('Licences'!$R$4:$R$503,_calc!$E$450))=0,"",INDEX('Licences'!$R$4:$R$503,_calc!$E$450)))))</f>
        <v/>
      </c>
      <c r="G448" s="44">
        <f>IF(_calc!$E$450="","",IF(LEN(INDEX('Licences'!$Q$4:$Q$503,_calc!$E$450))=0,"",INDEX('Licences'!$Q$4:$Q$503,_calc!$E$450)))</f>
        <v/>
      </c>
      <c r="H448" s="44">
        <f>IF(_calc!$E$450="","",IF(LEN(INDEX('Licences'!$O$4:$O$503,_calc!$E$450))=0,"",INDEX('Licences'!$O$4:$O$503,_calc!$E$450)))</f>
        <v/>
      </c>
      <c r="I448" s="44">
        <f>IF(_calc!$E$450="","",IF(LEN(INDEX('Licences'!$P$4:$P$503,_calc!$E$450))=0,"",INDEX('Licences'!$P$4:$P$503,_calc!$E$450)))</f>
        <v/>
      </c>
      <c r="K448" s="44">
        <f>IF(_calc!$E$450="","",IF(LEN(INDEX('Licences'!$G$4:$G$503,_calc!$E$450))=0,"",INDEX('Licences'!$G$4:$G$503,_calc!$E$450)))</f>
        <v/>
      </c>
    </row>
    <row r="449">
      <c r="A449" s="44">
        <f>IF(_calc!$E$451="","",IF(LEN(INDEX('Licences'!$A$4:$A$503,_calc!$E$451))=0,"",INDEX('Licences'!$A$4:$A$503,_calc!$E$451)))</f>
        <v/>
      </c>
      <c r="B449" s="44">
        <f>IF(_calc!$E$451="","",IF(ISNUMBER(INDEX('Licences'!$J$4:$J$503,_calc!$E$451)),TEXT(INDEX('Licences'!$J$4:$J$503,_calc!$E$451),"yyyy-mm-dd"),""))</f>
        <v/>
      </c>
      <c r="C449" s="44">
        <f>IF(_calc!$E$451="","",IF(LEN(INDEX('Licences'!$B$4:$B$503,_calc!$E$451))=0,"",INDEX('Licences'!$B$4:$B$503,_calc!$E$451)))</f>
        <v/>
      </c>
      <c r="D449" s="44">
        <f>IF(_calc!$E$451="","",IF(ISNUMBER(INDEX('Licences'!$I$4:$I$503,_calc!$E$451)),TEXT(INDEX('Licences'!$I$4:$I$503,_calc!$E$451),"yyyy-mm-dd"),""))</f>
        <v/>
      </c>
      <c r="E449" s="44">
        <f>IF(_calc!$E$451="","",IF(LEN(INDEX('Licences'!$H$4:$H$503,_calc!$E$451))=0,"",INDEX('Licences'!$H$4:$H$503,_calc!$E$451)))</f>
        <v/>
      </c>
      <c r="F449" s="44">
        <f>IF(_calc!$E$451="","",TRIM(IF(LEN(IF(LEN(INDEX('Licences'!$D$4:$D$503,_calc!$E$451))=0,"",INDEX('Licences'!$D$4:$D$503,_calc!$E$451)))=0,"","Ref: "&amp;IF(LEN(INDEX('Licences'!$D$4:$D$503,_calc!$E$451))=0,"",INDEX('Licences'!$D$4:$D$503,_calc!$E$451))&amp;". ")&amp;IF(LEN(IF(LEN(INDEX('Licences'!$C$4:$C$503,_calc!$E$451))=0,"",INDEX('Licences'!$C$4:$C$503,_calc!$E$451)))=0,"","Issuer: "&amp;IF(LEN(INDEX('Licences'!$C$4:$C$503,_calc!$E$451))=0,"",INDEX('Licences'!$C$4:$C$503,_calc!$E$451))&amp;". ")&amp;IF(LEN(IF(LEN(INDEX('Licences'!$E$4:$E$503,_calc!$E$451))=0,"",INDEX('Licences'!$E$4:$E$503,_calc!$E$451)))=0,"","Site: "&amp;IF(LEN(INDEX('Licences'!$E$4:$E$503,_calc!$E$451))=0,"",INDEX('Licences'!$E$4:$E$503,_calc!$E$451))&amp;". ")&amp;IF(LEN(IF(LEN(INDEX('Licences'!$F$4:$F$503,_calc!$E$451))=0,"",INDEX('Licences'!$F$4:$F$503,_calc!$E$451)))=0,"","Owner: "&amp;IF(LEN(INDEX('Licences'!$F$4:$F$503,_calc!$E$451))=0,"",INDEX('Licences'!$F$4:$F$503,_calc!$E$451))&amp;". ")&amp;IF(LEN(IF(LEN(INDEX('Licences'!$R$4:$R$503,_calc!$E$451))=0,"",INDEX('Licences'!$R$4:$R$503,_calc!$E$451)))=0,"",IF(LEN(INDEX('Licences'!$R$4:$R$503,_calc!$E$451))=0,"",INDEX('Licences'!$R$4:$R$503,_calc!$E$451)))))</f>
        <v/>
      </c>
      <c r="G449" s="44">
        <f>IF(_calc!$E$451="","",IF(LEN(INDEX('Licences'!$Q$4:$Q$503,_calc!$E$451))=0,"",INDEX('Licences'!$Q$4:$Q$503,_calc!$E$451)))</f>
        <v/>
      </c>
      <c r="H449" s="44">
        <f>IF(_calc!$E$451="","",IF(LEN(INDEX('Licences'!$O$4:$O$503,_calc!$E$451))=0,"",INDEX('Licences'!$O$4:$O$503,_calc!$E$451)))</f>
        <v/>
      </c>
      <c r="I449" s="44">
        <f>IF(_calc!$E$451="","",IF(LEN(INDEX('Licences'!$P$4:$P$503,_calc!$E$451))=0,"",INDEX('Licences'!$P$4:$P$503,_calc!$E$451)))</f>
        <v/>
      </c>
      <c r="K449" s="44">
        <f>IF(_calc!$E$451="","",IF(LEN(INDEX('Licences'!$G$4:$G$503,_calc!$E$451))=0,"",INDEX('Licences'!$G$4:$G$503,_calc!$E$451)))</f>
        <v/>
      </c>
    </row>
    <row r="450">
      <c r="A450" s="44">
        <f>IF(_calc!$E$452="","",IF(LEN(INDEX('Licences'!$A$4:$A$503,_calc!$E$452))=0,"",INDEX('Licences'!$A$4:$A$503,_calc!$E$452)))</f>
        <v/>
      </c>
      <c r="B450" s="44">
        <f>IF(_calc!$E$452="","",IF(ISNUMBER(INDEX('Licences'!$J$4:$J$503,_calc!$E$452)),TEXT(INDEX('Licences'!$J$4:$J$503,_calc!$E$452),"yyyy-mm-dd"),""))</f>
        <v/>
      </c>
      <c r="C450" s="44">
        <f>IF(_calc!$E$452="","",IF(LEN(INDEX('Licences'!$B$4:$B$503,_calc!$E$452))=0,"",INDEX('Licences'!$B$4:$B$503,_calc!$E$452)))</f>
        <v/>
      </c>
      <c r="D450" s="44">
        <f>IF(_calc!$E$452="","",IF(ISNUMBER(INDEX('Licences'!$I$4:$I$503,_calc!$E$452)),TEXT(INDEX('Licences'!$I$4:$I$503,_calc!$E$452),"yyyy-mm-dd"),""))</f>
        <v/>
      </c>
      <c r="E450" s="44">
        <f>IF(_calc!$E$452="","",IF(LEN(INDEX('Licences'!$H$4:$H$503,_calc!$E$452))=0,"",INDEX('Licences'!$H$4:$H$503,_calc!$E$452)))</f>
        <v/>
      </c>
      <c r="F450" s="44">
        <f>IF(_calc!$E$452="","",TRIM(IF(LEN(IF(LEN(INDEX('Licences'!$D$4:$D$503,_calc!$E$452))=0,"",INDEX('Licences'!$D$4:$D$503,_calc!$E$452)))=0,"","Ref: "&amp;IF(LEN(INDEX('Licences'!$D$4:$D$503,_calc!$E$452))=0,"",INDEX('Licences'!$D$4:$D$503,_calc!$E$452))&amp;". ")&amp;IF(LEN(IF(LEN(INDEX('Licences'!$C$4:$C$503,_calc!$E$452))=0,"",INDEX('Licences'!$C$4:$C$503,_calc!$E$452)))=0,"","Issuer: "&amp;IF(LEN(INDEX('Licences'!$C$4:$C$503,_calc!$E$452))=0,"",INDEX('Licences'!$C$4:$C$503,_calc!$E$452))&amp;". ")&amp;IF(LEN(IF(LEN(INDEX('Licences'!$E$4:$E$503,_calc!$E$452))=0,"",INDEX('Licences'!$E$4:$E$503,_calc!$E$452)))=0,"","Site: "&amp;IF(LEN(INDEX('Licences'!$E$4:$E$503,_calc!$E$452))=0,"",INDEX('Licences'!$E$4:$E$503,_calc!$E$452))&amp;". ")&amp;IF(LEN(IF(LEN(INDEX('Licences'!$F$4:$F$503,_calc!$E$452))=0,"",INDEX('Licences'!$F$4:$F$503,_calc!$E$452)))=0,"","Owner: "&amp;IF(LEN(INDEX('Licences'!$F$4:$F$503,_calc!$E$452))=0,"",INDEX('Licences'!$F$4:$F$503,_calc!$E$452))&amp;". ")&amp;IF(LEN(IF(LEN(INDEX('Licences'!$R$4:$R$503,_calc!$E$452))=0,"",INDEX('Licences'!$R$4:$R$503,_calc!$E$452)))=0,"",IF(LEN(INDEX('Licences'!$R$4:$R$503,_calc!$E$452))=0,"",INDEX('Licences'!$R$4:$R$503,_calc!$E$452)))))</f>
        <v/>
      </c>
      <c r="G450" s="44">
        <f>IF(_calc!$E$452="","",IF(LEN(INDEX('Licences'!$Q$4:$Q$503,_calc!$E$452))=0,"",INDEX('Licences'!$Q$4:$Q$503,_calc!$E$452)))</f>
        <v/>
      </c>
      <c r="H450" s="44">
        <f>IF(_calc!$E$452="","",IF(LEN(INDEX('Licences'!$O$4:$O$503,_calc!$E$452))=0,"",INDEX('Licences'!$O$4:$O$503,_calc!$E$452)))</f>
        <v/>
      </c>
      <c r="I450" s="44">
        <f>IF(_calc!$E$452="","",IF(LEN(INDEX('Licences'!$P$4:$P$503,_calc!$E$452))=0,"",INDEX('Licences'!$P$4:$P$503,_calc!$E$452)))</f>
        <v/>
      </c>
      <c r="K450" s="44">
        <f>IF(_calc!$E$452="","",IF(LEN(INDEX('Licences'!$G$4:$G$503,_calc!$E$452))=0,"",INDEX('Licences'!$G$4:$G$503,_calc!$E$452)))</f>
        <v/>
      </c>
    </row>
    <row r="451">
      <c r="A451" s="44">
        <f>IF(_calc!$E$453="","",IF(LEN(INDEX('Licences'!$A$4:$A$503,_calc!$E$453))=0,"",INDEX('Licences'!$A$4:$A$503,_calc!$E$453)))</f>
        <v/>
      </c>
      <c r="B451" s="44">
        <f>IF(_calc!$E$453="","",IF(ISNUMBER(INDEX('Licences'!$J$4:$J$503,_calc!$E$453)),TEXT(INDEX('Licences'!$J$4:$J$503,_calc!$E$453),"yyyy-mm-dd"),""))</f>
        <v/>
      </c>
      <c r="C451" s="44">
        <f>IF(_calc!$E$453="","",IF(LEN(INDEX('Licences'!$B$4:$B$503,_calc!$E$453))=0,"",INDEX('Licences'!$B$4:$B$503,_calc!$E$453)))</f>
        <v/>
      </c>
      <c r="D451" s="44">
        <f>IF(_calc!$E$453="","",IF(ISNUMBER(INDEX('Licences'!$I$4:$I$503,_calc!$E$453)),TEXT(INDEX('Licences'!$I$4:$I$503,_calc!$E$453),"yyyy-mm-dd"),""))</f>
        <v/>
      </c>
      <c r="E451" s="44">
        <f>IF(_calc!$E$453="","",IF(LEN(INDEX('Licences'!$H$4:$H$503,_calc!$E$453))=0,"",INDEX('Licences'!$H$4:$H$503,_calc!$E$453)))</f>
        <v/>
      </c>
      <c r="F451" s="44">
        <f>IF(_calc!$E$453="","",TRIM(IF(LEN(IF(LEN(INDEX('Licences'!$D$4:$D$503,_calc!$E$453))=0,"",INDEX('Licences'!$D$4:$D$503,_calc!$E$453)))=0,"","Ref: "&amp;IF(LEN(INDEX('Licences'!$D$4:$D$503,_calc!$E$453))=0,"",INDEX('Licences'!$D$4:$D$503,_calc!$E$453))&amp;". ")&amp;IF(LEN(IF(LEN(INDEX('Licences'!$C$4:$C$503,_calc!$E$453))=0,"",INDEX('Licences'!$C$4:$C$503,_calc!$E$453)))=0,"","Issuer: "&amp;IF(LEN(INDEX('Licences'!$C$4:$C$503,_calc!$E$453))=0,"",INDEX('Licences'!$C$4:$C$503,_calc!$E$453))&amp;". ")&amp;IF(LEN(IF(LEN(INDEX('Licences'!$E$4:$E$503,_calc!$E$453))=0,"",INDEX('Licences'!$E$4:$E$503,_calc!$E$453)))=0,"","Site: "&amp;IF(LEN(INDEX('Licences'!$E$4:$E$503,_calc!$E$453))=0,"",INDEX('Licences'!$E$4:$E$503,_calc!$E$453))&amp;". ")&amp;IF(LEN(IF(LEN(INDEX('Licences'!$F$4:$F$503,_calc!$E$453))=0,"",INDEX('Licences'!$F$4:$F$503,_calc!$E$453)))=0,"","Owner: "&amp;IF(LEN(INDEX('Licences'!$F$4:$F$503,_calc!$E$453))=0,"",INDEX('Licences'!$F$4:$F$503,_calc!$E$453))&amp;". ")&amp;IF(LEN(IF(LEN(INDEX('Licences'!$R$4:$R$503,_calc!$E$453))=0,"",INDEX('Licences'!$R$4:$R$503,_calc!$E$453)))=0,"",IF(LEN(INDEX('Licences'!$R$4:$R$503,_calc!$E$453))=0,"",INDEX('Licences'!$R$4:$R$503,_calc!$E$453)))))</f>
        <v/>
      </c>
      <c r="G451" s="44">
        <f>IF(_calc!$E$453="","",IF(LEN(INDEX('Licences'!$Q$4:$Q$503,_calc!$E$453))=0,"",INDEX('Licences'!$Q$4:$Q$503,_calc!$E$453)))</f>
        <v/>
      </c>
      <c r="H451" s="44">
        <f>IF(_calc!$E$453="","",IF(LEN(INDEX('Licences'!$O$4:$O$503,_calc!$E$453))=0,"",INDEX('Licences'!$O$4:$O$503,_calc!$E$453)))</f>
        <v/>
      </c>
      <c r="I451" s="44">
        <f>IF(_calc!$E$453="","",IF(LEN(INDEX('Licences'!$P$4:$P$503,_calc!$E$453))=0,"",INDEX('Licences'!$P$4:$P$503,_calc!$E$453)))</f>
        <v/>
      </c>
      <c r="K451" s="44">
        <f>IF(_calc!$E$453="","",IF(LEN(INDEX('Licences'!$G$4:$G$503,_calc!$E$453))=0,"",INDEX('Licences'!$G$4:$G$503,_calc!$E$453)))</f>
        <v/>
      </c>
    </row>
    <row r="452">
      <c r="A452" s="44">
        <f>IF(_calc!$E$454="","",IF(LEN(INDEX('Licences'!$A$4:$A$503,_calc!$E$454))=0,"",INDEX('Licences'!$A$4:$A$503,_calc!$E$454)))</f>
        <v/>
      </c>
      <c r="B452" s="44">
        <f>IF(_calc!$E$454="","",IF(ISNUMBER(INDEX('Licences'!$J$4:$J$503,_calc!$E$454)),TEXT(INDEX('Licences'!$J$4:$J$503,_calc!$E$454),"yyyy-mm-dd"),""))</f>
        <v/>
      </c>
      <c r="C452" s="44">
        <f>IF(_calc!$E$454="","",IF(LEN(INDEX('Licences'!$B$4:$B$503,_calc!$E$454))=0,"",INDEX('Licences'!$B$4:$B$503,_calc!$E$454)))</f>
        <v/>
      </c>
      <c r="D452" s="44">
        <f>IF(_calc!$E$454="","",IF(ISNUMBER(INDEX('Licences'!$I$4:$I$503,_calc!$E$454)),TEXT(INDEX('Licences'!$I$4:$I$503,_calc!$E$454),"yyyy-mm-dd"),""))</f>
        <v/>
      </c>
      <c r="E452" s="44">
        <f>IF(_calc!$E$454="","",IF(LEN(INDEX('Licences'!$H$4:$H$503,_calc!$E$454))=0,"",INDEX('Licences'!$H$4:$H$503,_calc!$E$454)))</f>
        <v/>
      </c>
      <c r="F452" s="44">
        <f>IF(_calc!$E$454="","",TRIM(IF(LEN(IF(LEN(INDEX('Licences'!$D$4:$D$503,_calc!$E$454))=0,"",INDEX('Licences'!$D$4:$D$503,_calc!$E$454)))=0,"","Ref: "&amp;IF(LEN(INDEX('Licences'!$D$4:$D$503,_calc!$E$454))=0,"",INDEX('Licences'!$D$4:$D$503,_calc!$E$454))&amp;". ")&amp;IF(LEN(IF(LEN(INDEX('Licences'!$C$4:$C$503,_calc!$E$454))=0,"",INDEX('Licences'!$C$4:$C$503,_calc!$E$454)))=0,"","Issuer: "&amp;IF(LEN(INDEX('Licences'!$C$4:$C$503,_calc!$E$454))=0,"",INDEX('Licences'!$C$4:$C$503,_calc!$E$454))&amp;". ")&amp;IF(LEN(IF(LEN(INDEX('Licences'!$E$4:$E$503,_calc!$E$454))=0,"",INDEX('Licences'!$E$4:$E$503,_calc!$E$454)))=0,"","Site: "&amp;IF(LEN(INDEX('Licences'!$E$4:$E$503,_calc!$E$454))=0,"",INDEX('Licences'!$E$4:$E$503,_calc!$E$454))&amp;". ")&amp;IF(LEN(IF(LEN(INDEX('Licences'!$F$4:$F$503,_calc!$E$454))=0,"",INDEX('Licences'!$F$4:$F$503,_calc!$E$454)))=0,"","Owner: "&amp;IF(LEN(INDEX('Licences'!$F$4:$F$503,_calc!$E$454))=0,"",INDEX('Licences'!$F$4:$F$503,_calc!$E$454))&amp;". ")&amp;IF(LEN(IF(LEN(INDEX('Licences'!$R$4:$R$503,_calc!$E$454))=0,"",INDEX('Licences'!$R$4:$R$503,_calc!$E$454)))=0,"",IF(LEN(INDEX('Licences'!$R$4:$R$503,_calc!$E$454))=0,"",INDEX('Licences'!$R$4:$R$503,_calc!$E$454)))))</f>
        <v/>
      </c>
      <c r="G452" s="44">
        <f>IF(_calc!$E$454="","",IF(LEN(INDEX('Licences'!$Q$4:$Q$503,_calc!$E$454))=0,"",INDEX('Licences'!$Q$4:$Q$503,_calc!$E$454)))</f>
        <v/>
      </c>
      <c r="H452" s="44">
        <f>IF(_calc!$E$454="","",IF(LEN(INDEX('Licences'!$O$4:$O$503,_calc!$E$454))=0,"",INDEX('Licences'!$O$4:$O$503,_calc!$E$454)))</f>
        <v/>
      </c>
      <c r="I452" s="44">
        <f>IF(_calc!$E$454="","",IF(LEN(INDEX('Licences'!$P$4:$P$503,_calc!$E$454))=0,"",INDEX('Licences'!$P$4:$P$503,_calc!$E$454)))</f>
        <v/>
      </c>
      <c r="K452" s="44">
        <f>IF(_calc!$E$454="","",IF(LEN(INDEX('Licences'!$G$4:$G$503,_calc!$E$454))=0,"",INDEX('Licences'!$G$4:$G$503,_calc!$E$454)))</f>
        <v/>
      </c>
    </row>
    <row r="453">
      <c r="A453" s="44">
        <f>IF(_calc!$E$455="","",IF(LEN(INDEX('Licences'!$A$4:$A$503,_calc!$E$455))=0,"",INDEX('Licences'!$A$4:$A$503,_calc!$E$455)))</f>
        <v/>
      </c>
      <c r="B453" s="44">
        <f>IF(_calc!$E$455="","",IF(ISNUMBER(INDEX('Licences'!$J$4:$J$503,_calc!$E$455)),TEXT(INDEX('Licences'!$J$4:$J$503,_calc!$E$455),"yyyy-mm-dd"),""))</f>
        <v/>
      </c>
      <c r="C453" s="44">
        <f>IF(_calc!$E$455="","",IF(LEN(INDEX('Licences'!$B$4:$B$503,_calc!$E$455))=0,"",INDEX('Licences'!$B$4:$B$503,_calc!$E$455)))</f>
        <v/>
      </c>
      <c r="D453" s="44">
        <f>IF(_calc!$E$455="","",IF(ISNUMBER(INDEX('Licences'!$I$4:$I$503,_calc!$E$455)),TEXT(INDEX('Licences'!$I$4:$I$503,_calc!$E$455),"yyyy-mm-dd"),""))</f>
        <v/>
      </c>
      <c r="E453" s="44">
        <f>IF(_calc!$E$455="","",IF(LEN(INDEX('Licences'!$H$4:$H$503,_calc!$E$455))=0,"",INDEX('Licences'!$H$4:$H$503,_calc!$E$455)))</f>
        <v/>
      </c>
      <c r="F453" s="44">
        <f>IF(_calc!$E$455="","",TRIM(IF(LEN(IF(LEN(INDEX('Licences'!$D$4:$D$503,_calc!$E$455))=0,"",INDEX('Licences'!$D$4:$D$503,_calc!$E$455)))=0,"","Ref: "&amp;IF(LEN(INDEX('Licences'!$D$4:$D$503,_calc!$E$455))=0,"",INDEX('Licences'!$D$4:$D$503,_calc!$E$455))&amp;". ")&amp;IF(LEN(IF(LEN(INDEX('Licences'!$C$4:$C$503,_calc!$E$455))=0,"",INDEX('Licences'!$C$4:$C$503,_calc!$E$455)))=0,"","Issuer: "&amp;IF(LEN(INDEX('Licences'!$C$4:$C$503,_calc!$E$455))=0,"",INDEX('Licences'!$C$4:$C$503,_calc!$E$455))&amp;". ")&amp;IF(LEN(IF(LEN(INDEX('Licences'!$E$4:$E$503,_calc!$E$455))=0,"",INDEX('Licences'!$E$4:$E$503,_calc!$E$455)))=0,"","Site: "&amp;IF(LEN(INDEX('Licences'!$E$4:$E$503,_calc!$E$455))=0,"",INDEX('Licences'!$E$4:$E$503,_calc!$E$455))&amp;". ")&amp;IF(LEN(IF(LEN(INDEX('Licences'!$F$4:$F$503,_calc!$E$455))=0,"",INDEX('Licences'!$F$4:$F$503,_calc!$E$455)))=0,"","Owner: "&amp;IF(LEN(INDEX('Licences'!$F$4:$F$503,_calc!$E$455))=0,"",INDEX('Licences'!$F$4:$F$503,_calc!$E$455))&amp;". ")&amp;IF(LEN(IF(LEN(INDEX('Licences'!$R$4:$R$503,_calc!$E$455))=0,"",INDEX('Licences'!$R$4:$R$503,_calc!$E$455)))=0,"",IF(LEN(INDEX('Licences'!$R$4:$R$503,_calc!$E$455))=0,"",INDEX('Licences'!$R$4:$R$503,_calc!$E$455)))))</f>
        <v/>
      </c>
      <c r="G453" s="44">
        <f>IF(_calc!$E$455="","",IF(LEN(INDEX('Licences'!$Q$4:$Q$503,_calc!$E$455))=0,"",INDEX('Licences'!$Q$4:$Q$503,_calc!$E$455)))</f>
        <v/>
      </c>
      <c r="H453" s="44">
        <f>IF(_calc!$E$455="","",IF(LEN(INDEX('Licences'!$O$4:$O$503,_calc!$E$455))=0,"",INDEX('Licences'!$O$4:$O$503,_calc!$E$455)))</f>
        <v/>
      </c>
      <c r="I453" s="44">
        <f>IF(_calc!$E$455="","",IF(LEN(INDEX('Licences'!$P$4:$P$503,_calc!$E$455))=0,"",INDEX('Licences'!$P$4:$P$503,_calc!$E$455)))</f>
        <v/>
      </c>
      <c r="K453" s="44">
        <f>IF(_calc!$E$455="","",IF(LEN(INDEX('Licences'!$G$4:$G$503,_calc!$E$455))=0,"",INDEX('Licences'!$G$4:$G$503,_calc!$E$455)))</f>
        <v/>
      </c>
    </row>
    <row r="454">
      <c r="A454" s="44">
        <f>IF(_calc!$E$456="","",IF(LEN(INDEX('Licences'!$A$4:$A$503,_calc!$E$456))=0,"",INDEX('Licences'!$A$4:$A$503,_calc!$E$456)))</f>
        <v/>
      </c>
      <c r="B454" s="44">
        <f>IF(_calc!$E$456="","",IF(ISNUMBER(INDEX('Licences'!$J$4:$J$503,_calc!$E$456)),TEXT(INDEX('Licences'!$J$4:$J$503,_calc!$E$456),"yyyy-mm-dd"),""))</f>
        <v/>
      </c>
      <c r="C454" s="44">
        <f>IF(_calc!$E$456="","",IF(LEN(INDEX('Licences'!$B$4:$B$503,_calc!$E$456))=0,"",INDEX('Licences'!$B$4:$B$503,_calc!$E$456)))</f>
        <v/>
      </c>
      <c r="D454" s="44">
        <f>IF(_calc!$E$456="","",IF(ISNUMBER(INDEX('Licences'!$I$4:$I$503,_calc!$E$456)),TEXT(INDEX('Licences'!$I$4:$I$503,_calc!$E$456),"yyyy-mm-dd"),""))</f>
        <v/>
      </c>
      <c r="E454" s="44">
        <f>IF(_calc!$E$456="","",IF(LEN(INDEX('Licences'!$H$4:$H$503,_calc!$E$456))=0,"",INDEX('Licences'!$H$4:$H$503,_calc!$E$456)))</f>
        <v/>
      </c>
      <c r="F454" s="44">
        <f>IF(_calc!$E$456="","",TRIM(IF(LEN(IF(LEN(INDEX('Licences'!$D$4:$D$503,_calc!$E$456))=0,"",INDEX('Licences'!$D$4:$D$503,_calc!$E$456)))=0,"","Ref: "&amp;IF(LEN(INDEX('Licences'!$D$4:$D$503,_calc!$E$456))=0,"",INDEX('Licences'!$D$4:$D$503,_calc!$E$456))&amp;". ")&amp;IF(LEN(IF(LEN(INDEX('Licences'!$C$4:$C$503,_calc!$E$456))=0,"",INDEX('Licences'!$C$4:$C$503,_calc!$E$456)))=0,"","Issuer: "&amp;IF(LEN(INDEX('Licences'!$C$4:$C$503,_calc!$E$456))=0,"",INDEX('Licences'!$C$4:$C$503,_calc!$E$456))&amp;". ")&amp;IF(LEN(IF(LEN(INDEX('Licences'!$E$4:$E$503,_calc!$E$456))=0,"",INDEX('Licences'!$E$4:$E$503,_calc!$E$456)))=0,"","Site: "&amp;IF(LEN(INDEX('Licences'!$E$4:$E$503,_calc!$E$456))=0,"",INDEX('Licences'!$E$4:$E$503,_calc!$E$456))&amp;". ")&amp;IF(LEN(IF(LEN(INDEX('Licences'!$F$4:$F$503,_calc!$E$456))=0,"",INDEX('Licences'!$F$4:$F$503,_calc!$E$456)))=0,"","Owner: "&amp;IF(LEN(INDEX('Licences'!$F$4:$F$503,_calc!$E$456))=0,"",INDEX('Licences'!$F$4:$F$503,_calc!$E$456))&amp;". ")&amp;IF(LEN(IF(LEN(INDEX('Licences'!$R$4:$R$503,_calc!$E$456))=0,"",INDEX('Licences'!$R$4:$R$503,_calc!$E$456)))=0,"",IF(LEN(INDEX('Licences'!$R$4:$R$503,_calc!$E$456))=0,"",INDEX('Licences'!$R$4:$R$503,_calc!$E$456)))))</f>
        <v/>
      </c>
      <c r="G454" s="44">
        <f>IF(_calc!$E$456="","",IF(LEN(INDEX('Licences'!$Q$4:$Q$503,_calc!$E$456))=0,"",INDEX('Licences'!$Q$4:$Q$503,_calc!$E$456)))</f>
        <v/>
      </c>
      <c r="H454" s="44">
        <f>IF(_calc!$E$456="","",IF(LEN(INDEX('Licences'!$O$4:$O$503,_calc!$E$456))=0,"",INDEX('Licences'!$O$4:$O$503,_calc!$E$456)))</f>
        <v/>
      </c>
      <c r="I454" s="44">
        <f>IF(_calc!$E$456="","",IF(LEN(INDEX('Licences'!$P$4:$P$503,_calc!$E$456))=0,"",INDEX('Licences'!$P$4:$P$503,_calc!$E$456)))</f>
        <v/>
      </c>
      <c r="K454" s="44">
        <f>IF(_calc!$E$456="","",IF(LEN(INDEX('Licences'!$G$4:$G$503,_calc!$E$456))=0,"",INDEX('Licences'!$G$4:$G$503,_calc!$E$456)))</f>
        <v/>
      </c>
    </row>
    <row r="455">
      <c r="A455" s="44">
        <f>IF(_calc!$E$457="","",IF(LEN(INDEX('Licences'!$A$4:$A$503,_calc!$E$457))=0,"",INDEX('Licences'!$A$4:$A$503,_calc!$E$457)))</f>
        <v/>
      </c>
      <c r="B455" s="44">
        <f>IF(_calc!$E$457="","",IF(ISNUMBER(INDEX('Licences'!$J$4:$J$503,_calc!$E$457)),TEXT(INDEX('Licences'!$J$4:$J$503,_calc!$E$457),"yyyy-mm-dd"),""))</f>
        <v/>
      </c>
      <c r="C455" s="44">
        <f>IF(_calc!$E$457="","",IF(LEN(INDEX('Licences'!$B$4:$B$503,_calc!$E$457))=0,"",INDEX('Licences'!$B$4:$B$503,_calc!$E$457)))</f>
        <v/>
      </c>
      <c r="D455" s="44">
        <f>IF(_calc!$E$457="","",IF(ISNUMBER(INDEX('Licences'!$I$4:$I$503,_calc!$E$457)),TEXT(INDEX('Licences'!$I$4:$I$503,_calc!$E$457),"yyyy-mm-dd"),""))</f>
        <v/>
      </c>
      <c r="E455" s="44">
        <f>IF(_calc!$E$457="","",IF(LEN(INDEX('Licences'!$H$4:$H$503,_calc!$E$457))=0,"",INDEX('Licences'!$H$4:$H$503,_calc!$E$457)))</f>
        <v/>
      </c>
      <c r="F455" s="44">
        <f>IF(_calc!$E$457="","",TRIM(IF(LEN(IF(LEN(INDEX('Licences'!$D$4:$D$503,_calc!$E$457))=0,"",INDEX('Licences'!$D$4:$D$503,_calc!$E$457)))=0,"","Ref: "&amp;IF(LEN(INDEX('Licences'!$D$4:$D$503,_calc!$E$457))=0,"",INDEX('Licences'!$D$4:$D$503,_calc!$E$457))&amp;". ")&amp;IF(LEN(IF(LEN(INDEX('Licences'!$C$4:$C$503,_calc!$E$457))=0,"",INDEX('Licences'!$C$4:$C$503,_calc!$E$457)))=0,"","Issuer: "&amp;IF(LEN(INDEX('Licences'!$C$4:$C$503,_calc!$E$457))=0,"",INDEX('Licences'!$C$4:$C$503,_calc!$E$457))&amp;". ")&amp;IF(LEN(IF(LEN(INDEX('Licences'!$E$4:$E$503,_calc!$E$457))=0,"",INDEX('Licences'!$E$4:$E$503,_calc!$E$457)))=0,"","Site: "&amp;IF(LEN(INDEX('Licences'!$E$4:$E$503,_calc!$E$457))=0,"",INDEX('Licences'!$E$4:$E$503,_calc!$E$457))&amp;". ")&amp;IF(LEN(IF(LEN(INDEX('Licences'!$F$4:$F$503,_calc!$E$457))=0,"",INDEX('Licences'!$F$4:$F$503,_calc!$E$457)))=0,"","Owner: "&amp;IF(LEN(INDEX('Licences'!$F$4:$F$503,_calc!$E$457))=0,"",INDEX('Licences'!$F$4:$F$503,_calc!$E$457))&amp;". ")&amp;IF(LEN(IF(LEN(INDEX('Licences'!$R$4:$R$503,_calc!$E$457))=0,"",INDEX('Licences'!$R$4:$R$503,_calc!$E$457)))=0,"",IF(LEN(INDEX('Licences'!$R$4:$R$503,_calc!$E$457))=0,"",INDEX('Licences'!$R$4:$R$503,_calc!$E$457)))))</f>
        <v/>
      </c>
      <c r="G455" s="44">
        <f>IF(_calc!$E$457="","",IF(LEN(INDEX('Licences'!$Q$4:$Q$503,_calc!$E$457))=0,"",INDEX('Licences'!$Q$4:$Q$503,_calc!$E$457)))</f>
        <v/>
      </c>
      <c r="H455" s="44">
        <f>IF(_calc!$E$457="","",IF(LEN(INDEX('Licences'!$O$4:$O$503,_calc!$E$457))=0,"",INDEX('Licences'!$O$4:$O$503,_calc!$E$457)))</f>
        <v/>
      </c>
      <c r="I455" s="44">
        <f>IF(_calc!$E$457="","",IF(LEN(INDEX('Licences'!$P$4:$P$503,_calc!$E$457))=0,"",INDEX('Licences'!$P$4:$P$503,_calc!$E$457)))</f>
        <v/>
      </c>
      <c r="K455" s="44">
        <f>IF(_calc!$E$457="","",IF(LEN(INDEX('Licences'!$G$4:$G$503,_calc!$E$457))=0,"",INDEX('Licences'!$G$4:$G$503,_calc!$E$457)))</f>
        <v/>
      </c>
    </row>
    <row r="456">
      <c r="A456" s="44">
        <f>IF(_calc!$E$458="","",IF(LEN(INDEX('Licences'!$A$4:$A$503,_calc!$E$458))=0,"",INDEX('Licences'!$A$4:$A$503,_calc!$E$458)))</f>
        <v/>
      </c>
      <c r="B456" s="44">
        <f>IF(_calc!$E$458="","",IF(ISNUMBER(INDEX('Licences'!$J$4:$J$503,_calc!$E$458)),TEXT(INDEX('Licences'!$J$4:$J$503,_calc!$E$458),"yyyy-mm-dd"),""))</f>
        <v/>
      </c>
      <c r="C456" s="44">
        <f>IF(_calc!$E$458="","",IF(LEN(INDEX('Licences'!$B$4:$B$503,_calc!$E$458))=0,"",INDEX('Licences'!$B$4:$B$503,_calc!$E$458)))</f>
        <v/>
      </c>
      <c r="D456" s="44">
        <f>IF(_calc!$E$458="","",IF(ISNUMBER(INDEX('Licences'!$I$4:$I$503,_calc!$E$458)),TEXT(INDEX('Licences'!$I$4:$I$503,_calc!$E$458),"yyyy-mm-dd"),""))</f>
        <v/>
      </c>
      <c r="E456" s="44">
        <f>IF(_calc!$E$458="","",IF(LEN(INDEX('Licences'!$H$4:$H$503,_calc!$E$458))=0,"",INDEX('Licences'!$H$4:$H$503,_calc!$E$458)))</f>
        <v/>
      </c>
      <c r="F456" s="44">
        <f>IF(_calc!$E$458="","",TRIM(IF(LEN(IF(LEN(INDEX('Licences'!$D$4:$D$503,_calc!$E$458))=0,"",INDEX('Licences'!$D$4:$D$503,_calc!$E$458)))=0,"","Ref: "&amp;IF(LEN(INDEX('Licences'!$D$4:$D$503,_calc!$E$458))=0,"",INDEX('Licences'!$D$4:$D$503,_calc!$E$458))&amp;". ")&amp;IF(LEN(IF(LEN(INDEX('Licences'!$C$4:$C$503,_calc!$E$458))=0,"",INDEX('Licences'!$C$4:$C$503,_calc!$E$458)))=0,"","Issuer: "&amp;IF(LEN(INDEX('Licences'!$C$4:$C$503,_calc!$E$458))=0,"",INDEX('Licences'!$C$4:$C$503,_calc!$E$458))&amp;". ")&amp;IF(LEN(IF(LEN(INDEX('Licences'!$E$4:$E$503,_calc!$E$458))=0,"",INDEX('Licences'!$E$4:$E$503,_calc!$E$458)))=0,"","Site: "&amp;IF(LEN(INDEX('Licences'!$E$4:$E$503,_calc!$E$458))=0,"",INDEX('Licences'!$E$4:$E$503,_calc!$E$458))&amp;". ")&amp;IF(LEN(IF(LEN(INDEX('Licences'!$F$4:$F$503,_calc!$E$458))=0,"",INDEX('Licences'!$F$4:$F$503,_calc!$E$458)))=0,"","Owner: "&amp;IF(LEN(INDEX('Licences'!$F$4:$F$503,_calc!$E$458))=0,"",INDEX('Licences'!$F$4:$F$503,_calc!$E$458))&amp;". ")&amp;IF(LEN(IF(LEN(INDEX('Licences'!$R$4:$R$503,_calc!$E$458))=0,"",INDEX('Licences'!$R$4:$R$503,_calc!$E$458)))=0,"",IF(LEN(INDEX('Licences'!$R$4:$R$503,_calc!$E$458))=0,"",INDEX('Licences'!$R$4:$R$503,_calc!$E$458)))))</f>
        <v/>
      </c>
      <c r="G456" s="44">
        <f>IF(_calc!$E$458="","",IF(LEN(INDEX('Licences'!$Q$4:$Q$503,_calc!$E$458))=0,"",INDEX('Licences'!$Q$4:$Q$503,_calc!$E$458)))</f>
        <v/>
      </c>
      <c r="H456" s="44">
        <f>IF(_calc!$E$458="","",IF(LEN(INDEX('Licences'!$O$4:$O$503,_calc!$E$458))=0,"",INDEX('Licences'!$O$4:$O$503,_calc!$E$458)))</f>
        <v/>
      </c>
      <c r="I456" s="44">
        <f>IF(_calc!$E$458="","",IF(LEN(INDEX('Licences'!$P$4:$P$503,_calc!$E$458))=0,"",INDEX('Licences'!$P$4:$P$503,_calc!$E$458)))</f>
        <v/>
      </c>
      <c r="K456" s="44">
        <f>IF(_calc!$E$458="","",IF(LEN(INDEX('Licences'!$G$4:$G$503,_calc!$E$458))=0,"",INDEX('Licences'!$G$4:$G$503,_calc!$E$458)))</f>
        <v/>
      </c>
    </row>
    <row r="457">
      <c r="A457" s="44">
        <f>IF(_calc!$E$459="","",IF(LEN(INDEX('Licences'!$A$4:$A$503,_calc!$E$459))=0,"",INDEX('Licences'!$A$4:$A$503,_calc!$E$459)))</f>
        <v/>
      </c>
      <c r="B457" s="44">
        <f>IF(_calc!$E$459="","",IF(ISNUMBER(INDEX('Licences'!$J$4:$J$503,_calc!$E$459)),TEXT(INDEX('Licences'!$J$4:$J$503,_calc!$E$459),"yyyy-mm-dd"),""))</f>
        <v/>
      </c>
      <c r="C457" s="44">
        <f>IF(_calc!$E$459="","",IF(LEN(INDEX('Licences'!$B$4:$B$503,_calc!$E$459))=0,"",INDEX('Licences'!$B$4:$B$503,_calc!$E$459)))</f>
        <v/>
      </c>
      <c r="D457" s="44">
        <f>IF(_calc!$E$459="","",IF(ISNUMBER(INDEX('Licences'!$I$4:$I$503,_calc!$E$459)),TEXT(INDEX('Licences'!$I$4:$I$503,_calc!$E$459),"yyyy-mm-dd"),""))</f>
        <v/>
      </c>
      <c r="E457" s="44">
        <f>IF(_calc!$E$459="","",IF(LEN(INDEX('Licences'!$H$4:$H$503,_calc!$E$459))=0,"",INDEX('Licences'!$H$4:$H$503,_calc!$E$459)))</f>
        <v/>
      </c>
      <c r="F457" s="44">
        <f>IF(_calc!$E$459="","",TRIM(IF(LEN(IF(LEN(INDEX('Licences'!$D$4:$D$503,_calc!$E$459))=0,"",INDEX('Licences'!$D$4:$D$503,_calc!$E$459)))=0,"","Ref: "&amp;IF(LEN(INDEX('Licences'!$D$4:$D$503,_calc!$E$459))=0,"",INDEX('Licences'!$D$4:$D$503,_calc!$E$459))&amp;". ")&amp;IF(LEN(IF(LEN(INDEX('Licences'!$C$4:$C$503,_calc!$E$459))=0,"",INDEX('Licences'!$C$4:$C$503,_calc!$E$459)))=0,"","Issuer: "&amp;IF(LEN(INDEX('Licences'!$C$4:$C$503,_calc!$E$459))=0,"",INDEX('Licences'!$C$4:$C$503,_calc!$E$459))&amp;". ")&amp;IF(LEN(IF(LEN(INDEX('Licences'!$E$4:$E$503,_calc!$E$459))=0,"",INDEX('Licences'!$E$4:$E$503,_calc!$E$459)))=0,"","Site: "&amp;IF(LEN(INDEX('Licences'!$E$4:$E$503,_calc!$E$459))=0,"",INDEX('Licences'!$E$4:$E$503,_calc!$E$459))&amp;". ")&amp;IF(LEN(IF(LEN(INDEX('Licences'!$F$4:$F$503,_calc!$E$459))=0,"",INDEX('Licences'!$F$4:$F$503,_calc!$E$459)))=0,"","Owner: "&amp;IF(LEN(INDEX('Licences'!$F$4:$F$503,_calc!$E$459))=0,"",INDEX('Licences'!$F$4:$F$503,_calc!$E$459))&amp;". ")&amp;IF(LEN(IF(LEN(INDEX('Licences'!$R$4:$R$503,_calc!$E$459))=0,"",INDEX('Licences'!$R$4:$R$503,_calc!$E$459)))=0,"",IF(LEN(INDEX('Licences'!$R$4:$R$503,_calc!$E$459))=0,"",INDEX('Licences'!$R$4:$R$503,_calc!$E$459)))))</f>
        <v/>
      </c>
      <c r="G457" s="44">
        <f>IF(_calc!$E$459="","",IF(LEN(INDEX('Licences'!$Q$4:$Q$503,_calc!$E$459))=0,"",INDEX('Licences'!$Q$4:$Q$503,_calc!$E$459)))</f>
        <v/>
      </c>
      <c r="H457" s="44">
        <f>IF(_calc!$E$459="","",IF(LEN(INDEX('Licences'!$O$4:$O$503,_calc!$E$459))=0,"",INDEX('Licences'!$O$4:$O$503,_calc!$E$459)))</f>
        <v/>
      </c>
      <c r="I457" s="44">
        <f>IF(_calc!$E$459="","",IF(LEN(INDEX('Licences'!$P$4:$P$503,_calc!$E$459))=0,"",INDEX('Licences'!$P$4:$P$503,_calc!$E$459)))</f>
        <v/>
      </c>
      <c r="K457" s="44">
        <f>IF(_calc!$E$459="","",IF(LEN(INDEX('Licences'!$G$4:$G$503,_calc!$E$459))=0,"",INDEX('Licences'!$G$4:$G$503,_calc!$E$459)))</f>
        <v/>
      </c>
    </row>
    <row r="458">
      <c r="A458" s="44">
        <f>IF(_calc!$E$460="","",IF(LEN(INDEX('Licences'!$A$4:$A$503,_calc!$E$460))=0,"",INDEX('Licences'!$A$4:$A$503,_calc!$E$460)))</f>
        <v/>
      </c>
      <c r="B458" s="44">
        <f>IF(_calc!$E$460="","",IF(ISNUMBER(INDEX('Licences'!$J$4:$J$503,_calc!$E$460)),TEXT(INDEX('Licences'!$J$4:$J$503,_calc!$E$460),"yyyy-mm-dd"),""))</f>
        <v/>
      </c>
      <c r="C458" s="44">
        <f>IF(_calc!$E$460="","",IF(LEN(INDEX('Licences'!$B$4:$B$503,_calc!$E$460))=0,"",INDEX('Licences'!$B$4:$B$503,_calc!$E$460)))</f>
        <v/>
      </c>
      <c r="D458" s="44">
        <f>IF(_calc!$E$460="","",IF(ISNUMBER(INDEX('Licences'!$I$4:$I$503,_calc!$E$460)),TEXT(INDEX('Licences'!$I$4:$I$503,_calc!$E$460),"yyyy-mm-dd"),""))</f>
        <v/>
      </c>
      <c r="E458" s="44">
        <f>IF(_calc!$E$460="","",IF(LEN(INDEX('Licences'!$H$4:$H$503,_calc!$E$460))=0,"",INDEX('Licences'!$H$4:$H$503,_calc!$E$460)))</f>
        <v/>
      </c>
      <c r="F458" s="44">
        <f>IF(_calc!$E$460="","",TRIM(IF(LEN(IF(LEN(INDEX('Licences'!$D$4:$D$503,_calc!$E$460))=0,"",INDEX('Licences'!$D$4:$D$503,_calc!$E$460)))=0,"","Ref: "&amp;IF(LEN(INDEX('Licences'!$D$4:$D$503,_calc!$E$460))=0,"",INDEX('Licences'!$D$4:$D$503,_calc!$E$460))&amp;". ")&amp;IF(LEN(IF(LEN(INDEX('Licences'!$C$4:$C$503,_calc!$E$460))=0,"",INDEX('Licences'!$C$4:$C$503,_calc!$E$460)))=0,"","Issuer: "&amp;IF(LEN(INDEX('Licences'!$C$4:$C$503,_calc!$E$460))=0,"",INDEX('Licences'!$C$4:$C$503,_calc!$E$460))&amp;". ")&amp;IF(LEN(IF(LEN(INDEX('Licences'!$E$4:$E$503,_calc!$E$460))=0,"",INDEX('Licences'!$E$4:$E$503,_calc!$E$460)))=0,"","Site: "&amp;IF(LEN(INDEX('Licences'!$E$4:$E$503,_calc!$E$460))=0,"",INDEX('Licences'!$E$4:$E$503,_calc!$E$460))&amp;". ")&amp;IF(LEN(IF(LEN(INDEX('Licences'!$F$4:$F$503,_calc!$E$460))=0,"",INDEX('Licences'!$F$4:$F$503,_calc!$E$460)))=0,"","Owner: "&amp;IF(LEN(INDEX('Licences'!$F$4:$F$503,_calc!$E$460))=0,"",INDEX('Licences'!$F$4:$F$503,_calc!$E$460))&amp;". ")&amp;IF(LEN(IF(LEN(INDEX('Licences'!$R$4:$R$503,_calc!$E$460))=0,"",INDEX('Licences'!$R$4:$R$503,_calc!$E$460)))=0,"",IF(LEN(INDEX('Licences'!$R$4:$R$503,_calc!$E$460))=0,"",INDEX('Licences'!$R$4:$R$503,_calc!$E$460)))))</f>
        <v/>
      </c>
      <c r="G458" s="44">
        <f>IF(_calc!$E$460="","",IF(LEN(INDEX('Licences'!$Q$4:$Q$503,_calc!$E$460))=0,"",INDEX('Licences'!$Q$4:$Q$503,_calc!$E$460)))</f>
        <v/>
      </c>
      <c r="H458" s="44">
        <f>IF(_calc!$E$460="","",IF(LEN(INDEX('Licences'!$O$4:$O$503,_calc!$E$460))=0,"",INDEX('Licences'!$O$4:$O$503,_calc!$E$460)))</f>
        <v/>
      </c>
      <c r="I458" s="44">
        <f>IF(_calc!$E$460="","",IF(LEN(INDEX('Licences'!$P$4:$P$503,_calc!$E$460))=0,"",INDEX('Licences'!$P$4:$P$503,_calc!$E$460)))</f>
        <v/>
      </c>
      <c r="K458" s="44">
        <f>IF(_calc!$E$460="","",IF(LEN(INDEX('Licences'!$G$4:$G$503,_calc!$E$460))=0,"",INDEX('Licences'!$G$4:$G$503,_calc!$E$460)))</f>
        <v/>
      </c>
    </row>
    <row r="459">
      <c r="A459" s="44">
        <f>IF(_calc!$E$461="","",IF(LEN(INDEX('Licences'!$A$4:$A$503,_calc!$E$461))=0,"",INDEX('Licences'!$A$4:$A$503,_calc!$E$461)))</f>
        <v/>
      </c>
      <c r="B459" s="44">
        <f>IF(_calc!$E$461="","",IF(ISNUMBER(INDEX('Licences'!$J$4:$J$503,_calc!$E$461)),TEXT(INDEX('Licences'!$J$4:$J$503,_calc!$E$461),"yyyy-mm-dd"),""))</f>
        <v/>
      </c>
      <c r="C459" s="44">
        <f>IF(_calc!$E$461="","",IF(LEN(INDEX('Licences'!$B$4:$B$503,_calc!$E$461))=0,"",INDEX('Licences'!$B$4:$B$503,_calc!$E$461)))</f>
        <v/>
      </c>
      <c r="D459" s="44">
        <f>IF(_calc!$E$461="","",IF(ISNUMBER(INDEX('Licences'!$I$4:$I$503,_calc!$E$461)),TEXT(INDEX('Licences'!$I$4:$I$503,_calc!$E$461),"yyyy-mm-dd"),""))</f>
        <v/>
      </c>
      <c r="E459" s="44">
        <f>IF(_calc!$E$461="","",IF(LEN(INDEX('Licences'!$H$4:$H$503,_calc!$E$461))=0,"",INDEX('Licences'!$H$4:$H$503,_calc!$E$461)))</f>
        <v/>
      </c>
      <c r="F459" s="44">
        <f>IF(_calc!$E$461="","",TRIM(IF(LEN(IF(LEN(INDEX('Licences'!$D$4:$D$503,_calc!$E$461))=0,"",INDEX('Licences'!$D$4:$D$503,_calc!$E$461)))=0,"","Ref: "&amp;IF(LEN(INDEX('Licences'!$D$4:$D$503,_calc!$E$461))=0,"",INDEX('Licences'!$D$4:$D$503,_calc!$E$461))&amp;". ")&amp;IF(LEN(IF(LEN(INDEX('Licences'!$C$4:$C$503,_calc!$E$461))=0,"",INDEX('Licences'!$C$4:$C$503,_calc!$E$461)))=0,"","Issuer: "&amp;IF(LEN(INDEX('Licences'!$C$4:$C$503,_calc!$E$461))=0,"",INDEX('Licences'!$C$4:$C$503,_calc!$E$461))&amp;". ")&amp;IF(LEN(IF(LEN(INDEX('Licences'!$E$4:$E$503,_calc!$E$461))=0,"",INDEX('Licences'!$E$4:$E$503,_calc!$E$461)))=0,"","Site: "&amp;IF(LEN(INDEX('Licences'!$E$4:$E$503,_calc!$E$461))=0,"",INDEX('Licences'!$E$4:$E$503,_calc!$E$461))&amp;". ")&amp;IF(LEN(IF(LEN(INDEX('Licences'!$F$4:$F$503,_calc!$E$461))=0,"",INDEX('Licences'!$F$4:$F$503,_calc!$E$461)))=0,"","Owner: "&amp;IF(LEN(INDEX('Licences'!$F$4:$F$503,_calc!$E$461))=0,"",INDEX('Licences'!$F$4:$F$503,_calc!$E$461))&amp;". ")&amp;IF(LEN(IF(LEN(INDEX('Licences'!$R$4:$R$503,_calc!$E$461))=0,"",INDEX('Licences'!$R$4:$R$503,_calc!$E$461)))=0,"",IF(LEN(INDEX('Licences'!$R$4:$R$503,_calc!$E$461))=0,"",INDEX('Licences'!$R$4:$R$503,_calc!$E$461)))))</f>
        <v/>
      </c>
      <c r="G459" s="44">
        <f>IF(_calc!$E$461="","",IF(LEN(INDEX('Licences'!$Q$4:$Q$503,_calc!$E$461))=0,"",INDEX('Licences'!$Q$4:$Q$503,_calc!$E$461)))</f>
        <v/>
      </c>
      <c r="H459" s="44">
        <f>IF(_calc!$E$461="","",IF(LEN(INDEX('Licences'!$O$4:$O$503,_calc!$E$461))=0,"",INDEX('Licences'!$O$4:$O$503,_calc!$E$461)))</f>
        <v/>
      </c>
      <c r="I459" s="44">
        <f>IF(_calc!$E$461="","",IF(LEN(INDEX('Licences'!$P$4:$P$503,_calc!$E$461))=0,"",INDEX('Licences'!$P$4:$P$503,_calc!$E$461)))</f>
        <v/>
      </c>
      <c r="K459" s="44">
        <f>IF(_calc!$E$461="","",IF(LEN(INDEX('Licences'!$G$4:$G$503,_calc!$E$461))=0,"",INDEX('Licences'!$G$4:$G$503,_calc!$E$461)))</f>
        <v/>
      </c>
    </row>
    <row r="460">
      <c r="A460" s="44">
        <f>IF(_calc!$E$462="","",IF(LEN(INDEX('Licences'!$A$4:$A$503,_calc!$E$462))=0,"",INDEX('Licences'!$A$4:$A$503,_calc!$E$462)))</f>
        <v/>
      </c>
      <c r="B460" s="44">
        <f>IF(_calc!$E$462="","",IF(ISNUMBER(INDEX('Licences'!$J$4:$J$503,_calc!$E$462)),TEXT(INDEX('Licences'!$J$4:$J$503,_calc!$E$462),"yyyy-mm-dd"),""))</f>
        <v/>
      </c>
      <c r="C460" s="44">
        <f>IF(_calc!$E$462="","",IF(LEN(INDEX('Licences'!$B$4:$B$503,_calc!$E$462))=0,"",INDEX('Licences'!$B$4:$B$503,_calc!$E$462)))</f>
        <v/>
      </c>
      <c r="D460" s="44">
        <f>IF(_calc!$E$462="","",IF(ISNUMBER(INDEX('Licences'!$I$4:$I$503,_calc!$E$462)),TEXT(INDEX('Licences'!$I$4:$I$503,_calc!$E$462),"yyyy-mm-dd"),""))</f>
        <v/>
      </c>
      <c r="E460" s="44">
        <f>IF(_calc!$E$462="","",IF(LEN(INDEX('Licences'!$H$4:$H$503,_calc!$E$462))=0,"",INDEX('Licences'!$H$4:$H$503,_calc!$E$462)))</f>
        <v/>
      </c>
      <c r="F460" s="44">
        <f>IF(_calc!$E$462="","",TRIM(IF(LEN(IF(LEN(INDEX('Licences'!$D$4:$D$503,_calc!$E$462))=0,"",INDEX('Licences'!$D$4:$D$503,_calc!$E$462)))=0,"","Ref: "&amp;IF(LEN(INDEX('Licences'!$D$4:$D$503,_calc!$E$462))=0,"",INDEX('Licences'!$D$4:$D$503,_calc!$E$462))&amp;". ")&amp;IF(LEN(IF(LEN(INDEX('Licences'!$C$4:$C$503,_calc!$E$462))=0,"",INDEX('Licences'!$C$4:$C$503,_calc!$E$462)))=0,"","Issuer: "&amp;IF(LEN(INDEX('Licences'!$C$4:$C$503,_calc!$E$462))=0,"",INDEX('Licences'!$C$4:$C$503,_calc!$E$462))&amp;". ")&amp;IF(LEN(IF(LEN(INDEX('Licences'!$E$4:$E$503,_calc!$E$462))=0,"",INDEX('Licences'!$E$4:$E$503,_calc!$E$462)))=0,"","Site: "&amp;IF(LEN(INDEX('Licences'!$E$4:$E$503,_calc!$E$462))=0,"",INDEX('Licences'!$E$4:$E$503,_calc!$E$462))&amp;". ")&amp;IF(LEN(IF(LEN(INDEX('Licences'!$F$4:$F$503,_calc!$E$462))=0,"",INDEX('Licences'!$F$4:$F$503,_calc!$E$462)))=0,"","Owner: "&amp;IF(LEN(INDEX('Licences'!$F$4:$F$503,_calc!$E$462))=0,"",INDEX('Licences'!$F$4:$F$503,_calc!$E$462))&amp;". ")&amp;IF(LEN(IF(LEN(INDEX('Licences'!$R$4:$R$503,_calc!$E$462))=0,"",INDEX('Licences'!$R$4:$R$503,_calc!$E$462)))=0,"",IF(LEN(INDEX('Licences'!$R$4:$R$503,_calc!$E$462))=0,"",INDEX('Licences'!$R$4:$R$503,_calc!$E$462)))))</f>
        <v/>
      </c>
      <c r="G460" s="44">
        <f>IF(_calc!$E$462="","",IF(LEN(INDEX('Licences'!$Q$4:$Q$503,_calc!$E$462))=0,"",INDEX('Licences'!$Q$4:$Q$503,_calc!$E$462)))</f>
        <v/>
      </c>
      <c r="H460" s="44">
        <f>IF(_calc!$E$462="","",IF(LEN(INDEX('Licences'!$O$4:$O$503,_calc!$E$462))=0,"",INDEX('Licences'!$O$4:$O$503,_calc!$E$462)))</f>
        <v/>
      </c>
      <c r="I460" s="44">
        <f>IF(_calc!$E$462="","",IF(LEN(INDEX('Licences'!$P$4:$P$503,_calc!$E$462))=0,"",INDEX('Licences'!$P$4:$P$503,_calc!$E$462)))</f>
        <v/>
      </c>
      <c r="K460" s="44">
        <f>IF(_calc!$E$462="","",IF(LEN(INDEX('Licences'!$G$4:$G$503,_calc!$E$462))=0,"",INDEX('Licences'!$G$4:$G$503,_calc!$E$462)))</f>
        <v/>
      </c>
    </row>
    <row r="461">
      <c r="A461" s="44">
        <f>IF(_calc!$E$463="","",IF(LEN(INDEX('Licences'!$A$4:$A$503,_calc!$E$463))=0,"",INDEX('Licences'!$A$4:$A$503,_calc!$E$463)))</f>
        <v/>
      </c>
      <c r="B461" s="44">
        <f>IF(_calc!$E$463="","",IF(ISNUMBER(INDEX('Licences'!$J$4:$J$503,_calc!$E$463)),TEXT(INDEX('Licences'!$J$4:$J$503,_calc!$E$463),"yyyy-mm-dd"),""))</f>
        <v/>
      </c>
      <c r="C461" s="44">
        <f>IF(_calc!$E$463="","",IF(LEN(INDEX('Licences'!$B$4:$B$503,_calc!$E$463))=0,"",INDEX('Licences'!$B$4:$B$503,_calc!$E$463)))</f>
        <v/>
      </c>
      <c r="D461" s="44">
        <f>IF(_calc!$E$463="","",IF(ISNUMBER(INDEX('Licences'!$I$4:$I$503,_calc!$E$463)),TEXT(INDEX('Licences'!$I$4:$I$503,_calc!$E$463),"yyyy-mm-dd"),""))</f>
        <v/>
      </c>
      <c r="E461" s="44">
        <f>IF(_calc!$E$463="","",IF(LEN(INDEX('Licences'!$H$4:$H$503,_calc!$E$463))=0,"",INDEX('Licences'!$H$4:$H$503,_calc!$E$463)))</f>
        <v/>
      </c>
      <c r="F461" s="44">
        <f>IF(_calc!$E$463="","",TRIM(IF(LEN(IF(LEN(INDEX('Licences'!$D$4:$D$503,_calc!$E$463))=0,"",INDEX('Licences'!$D$4:$D$503,_calc!$E$463)))=0,"","Ref: "&amp;IF(LEN(INDEX('Licences'!$D$4:$D$503,_calc!$E$463))=0,"",INDEX('Licences'!$D$4:$D$503,_calc!$E$463))&amp;". ")&amp;IF(LEN(IF(LEN(INDEX('Licences'!$C$4:$C$503,_calc!$E$463))=0,"",INDEX('Licences'!$C$4:$C$503,_calc!$E$463)))=0,"","Issuer: "&amp;IF(LEN(INDEX('Licences'!$C$4:$C$503,_calc!$E$463))=0,"",INDEX('Licences'!$C$4:$C$503,_calc!$E$463))&amp;". ")&amp;IF(LEN(IF(LEN(INDEX('Licences'!$E$4:$E$503,_calc!$E$463))=0,"",INDEX('Licences'!$E$4:$E$503,_calc!$E$463)))=0,"","Site: "&amp;IF(LEN(INDEX('Licences'!$E$4:$E$503,_calc!$E$463))=0,"",INDEX('Licences'!$E$4:$E$503,_calc!$E$463))&amp;". ")&amp;IF(LEN(IF(LEN(INDEX('Licences'!$F$4:$F$503,_calc!$E$463))=0,"",INDEX('Licences'!$F$4:$F$503,_calc!$E$463)))=0,"","Owner: "&amp;IF(LEN(INDEX('Licences'!$F$4:$F$503,_calc!$E$463))=0,"",INDEX('Licences'!$F$4:$F$503,_calc!$E$463))&amp;". ")&amp;IF(LEN(IF(LEN(INDEX('Licences'!$R$4:$R$503,_calc!$E$463))=0,"",INDEX('Licences'!$R$4:$R$503,_calc!$E$463)))=0,"",IF(LEN(INDEX('Licences'!$R$4:$R$503,_calc!$E$463))=0,"",INDEX('Licences'!$R$4:$R$503,_calc!$E$463)))))</f>
        <v/>
      </c>
      <c r="G461" s="44">
        <f>IF(_calc!$E$463="","",IF(LEN(INDEX('Licences'!$Q$4:$Q$503,_calc!$E$463))=0,"",INDEX('Licences'!$Q$4:$Q$503,_calc!$E$463)))</f>
        <v/>
      </c>
      <c r="H461" s="44">
        <f>IF(_calc!$E$463="","",IF(LEN(INDEX('Licences'!$O$4:$O$503,_calc!$E$463))=0,"",INDEX('Licences'!$O$4:$O$503,_calc!$E$463)))</f>
        <v/>
      </c>
      <c r="I461" s="44">
        <f>IF(_calc!$E$463="","",IF(LEN(INDEX('Licences'!$P$4:$P$503,_calc!$E$463))=0,"",INDEX('Licences'!$P$4:$P$503,_calc!$E$463)))</f>
        <v/>
      </c>
      <c r="K461" s="44">
        <f>IF(_calc!$E$463="","",IF(LEN(INDEX('Licences'!$G$4:$G$503,_calc!$E$463))=0,"",INDEX('Licences'!$G$4:$G$503,_calc!$E$463)))</f>
        <v/>
      </c>
    </row>
    <row r="462">
      <c r="A462" s="44">
        <f>IF(_calc!$E$464="","",IF(LEN(INDEX('Licences'!$A$4:$A$503,_calc!$E$464))=0,"",INDEX('Licences'!$A$4:$A$503,_calc!$E$464)))</f>
        <v/>
      </c>
      <c r="B462" s="44">
        <f>IF(_calc!$E$464="","",IF(ISNUMBER(INDEX('Licences'!$J$4:$J$503,_calc!$E$464)),TEXT(INDEX('Licences'!$J$4:$J$503,_calc!$E$464),"yyyy-mm-dd"),""))</f>
        <v/>
      </c>
      <c r="C462" s="44">
        <f>IF(_calc!$E$464="","",IF(LEN(INDEX('Licences'!$B$4:$B$503,_calc!$E$464))=0,"",INDEX('Licences'!$B$4:$B$503,_calc!$E$464)))</f>
        <v/>
      </c>
      <c r="D462" s="44">
        <f>IF(_calc!$E$464="","",IF(ISNUMBER(INDEX('Licences'!$I$4:$I$503,_calc!$E$464)),TEXT(INDEX('Licences'!$I$4:$I$503,_calc!$E$464),"yyyy-mm-dd"),""))</f>
        <v/>
      </c>
      <c r="E462" s="44">
        <f>IF(_calc!$E$464="","",IF(LEN(INDEX('Licences'!$H$4:$H$503,_calc!$E$464))=0,"",INDEX('Licences'!$H$4:$H$503,_calc!$E$464)))</f>
        <v/>
      </c>
      <c r="F462" s="44">
        <f>IF(_calc!$E$464="","",TRIM(IF(LEN(IF(LEN(INDEX('Licences'!$D$4:$D$503,_calc!$E$464))=0,"",INDEX('Licences'!$D$4:$D$503,_calc!$E$464)))=0,"","Ref: "&amp;IF(LEN(INDEX('Licences'!$D$4:$D$503,_calc!$E$464))=0,"",INDEX('Licences'!$D$4:$D$503,_calc!$E$464))&amp;". ")&amp;IF(LEN(IF(LEN(INDEX('Licences'!$C$4:$C$503,_calc!$E$464))=0,"",INDEX('Licences'!$C$4:$C$503,_calc!$E$464)))=0,"","Issuer: "&amp;IF(LEN(INDEX('Licences'!$C$4:$C$503,_calc!$E$464))=0,"",INDEX('Licences'!$C$4:$C$503,_calc!$E$464))&amp;". ")&amp;IF(LEN(IF(LEN(INDEX('Licences'!$E$4:$E$503,_calc!$E$464))=0,"",INDEX('Licences'!$E$4:$E$503,_calc!$E$464)))=0,"","Site: "&amp;IF(LEN(INDEX('Licences'!$E$4:$E$503,_calc!$E$464))=0,"",INDEX('Licences'!$E$4:$E$503,_calc!$E$464))&amp;". ")&amp;IF(LEN(IF(LEN(INDEX('Licences'!$F$4:$F$503,_calc!$E$464))=0,"",INDEX('Licences'!$F$4:$F$503,_calc!$E$464)))=0,"","Owner: "&amp;IF(LEN(INDEX('Licences'!$F$4:$F$503,_calc!$E$464))=0,"",INDEX('Licences'!$F$4:$F$503,_calc!$E$464))&amp;". ")&amp;IF(LEN(IF(LEN(INDEX('Licences'!$R$4:$R$503,_calc!$E$464))=0,"",INDEX('Licences'!$R$4:$R$503,_calc!$E$464)))=0,"",IF(LEN(INDEX('Licences'!$R$4:$R$503,_calc!$E$464))=0,"",INDEX('Licences'!$R$4:$R$503,_calc!$E$464)))))</f>
        <v/>
      </c>
      <c r="G462" s="44">
        <f>IF(_calc!$E$464="","",IF(LEN(INDEX('Licences'!$Q$4:$Q$503,_calc!$E$464))=0,"",INDEX('Licences'!$Q$4:$Q$503,_calc!$E$464)))</f>
        <v/>
      </c>
      <c r="H462" s="44">
        <f>IF(_calc!$E$464="","",IF(LEN(INDEX('Licences'!$O$4:$O$503,_calc!$E$464))=0,"",INDEX('Licences'!$O$4:$O$503,_calc!$E$464)))</f>
        <v/>
      </c>
      <c r="I462" s="44">
        <f>IF(_calc!$E$464="","",IF(LEN(INDEX('Licences'!$P$4:$P$503,_calc!$E$464))=0,"",INDEX('Licences'!$P$4:$P$503,_calc!$E$464)))</f>
        <v/>
      </c>
      <c r="K462" s="44">
        <f>IF(_calc!$E$464="","",IF(LEN(INDEX('Licences'!$G$4:$G$503,_calc!$E$464))=0,"",INDEX('Licences'!$G$4:$G$503,_calc!$E$464)))</f>
        <v/>
      </c>
    </row>
    <row r="463">
      <c r="A463" s="44">
        <f>IF(_calc!$E$465="","",IF(LEN(INDEX('Licences'!$A$4:$A$503,_calc!$E$465))=0,"",INDEX('Licences'!$A$4:$A$503,_calc!$E$465)))</f>
        <v/>
      </c>
      <c r="B463" s="44">
        <f>IF(_calc!$E$465="","",IF(ISNUMBER(INDEX('Licences'!$J$4:$J$503,_calc!$E$465)),TEXT(INDEX('Licences'!$J$4:$J$503,_calc!$E$465),"yyyy-mm-dd"),""))</f>
        <v/>
      </c>
      <c r="C463" s="44">
        <f>IF(_calc!$E$465="","",IF(LEN(INDEX('Licences'!$B$4:$B$503,_calc!$E$465))=0,"",INDEX('Licences'!$B$4:$B$503,_calc!$E$465)))</f>
        <v/>
      </c>
      <c r="D463" s="44">
        <f>IF(_calc!$E$465="","",IF(ISNUMBER(INDEX('Licences'!$I$4:$I$503,_calc!$E$465)),TEXT(INDEX('Licences'!$I$4:$I$503,_calc!$E$465),"yyyy-mm-dd"),""))</f>
        <v/>
      </c>
      <c r="E463" s="44">
        <f>IF(_calc!$E$465="","",IF(LEN(INDEX('Licences'!$H$4:$H$503,_calc!$E$465))=0,"",INDEX('Licences'!$H$4:$H$503,_calc!$E$465)))</f>
        <v/>
      </c>
      <c r="F463" s="44">
        <f>IF(_calc!$E$465="","",TRIM(IF(LEN(IF(LEN(INDEX('Licences'!$D$4:$D$503,_calc!$E$465))=0,"",INDEX('Licences'!$D$4:$D$503,_calc!$E$465)))=0,"","Ref: "&amp;IF(LEN(INDEX('Licences'!$D$4:$D$503,_calc!$E$465))=0,"",INDEX('Licences'!$D$4:$D$503,_calc!$E$465))&amp;". ")&amp;IF(LEN(IF(LEN(INDEX('Licences'!$C$4:$C$503,_calc!$E$465))=0,"",INDEX('Licences'!$C$4:$C$503,_calc!$E$465)))=0,"","Issuer: "&amp;IF(LEN(INDEX('Licences'!$C$4:$C$503,_calc!$E$465))=0,"",INDEX('Licences'!$C$4:$C$503,_calc!$E$465))&amp;". ")&amp;IF(LEN(IF(LEN(INDEX('Licences'!$E$4:$E$503,_calc!$E$465))=0,"",INDEX('Licences'!$E$4:$E$503,_calc!$E$465)))=0,"","Site: "&amp;IF(LEN(INDEX('Licences'!$E$4:$E$503,_calc!$E$465))=0,"",INDEX('Licences'!$E$4:$E$503,_calc!$E$465))&amp;". ")&amp;IF(LEN(IF(LEN(INDEX('Licences'!$F$4:$F$503,_calc!$E$465))=0,"",INDEX('Licences'!$F$4:$F$503,_calc!$E$465)))=0,"","Owner: "&amp;IF(LEN(INDEX('Licences'!$F$4:$F$503,_calc!$E$465))=0,"",INDEX('Licences'!$F$4:$F$503,_calc!$E$465))&amp;". ")&amp;IF(LEN(IF(LEN(INDEX('Licences'!$R$4:$R$503,_calc!$E$465))=0,"",INDEX('Licences'!$R$4:$R$503,_calc!$E$465)))=0,"",IF(LEN(INDEX('Licences'!$R$4:$R$503,_calc!$E$465))=0,"",INDEX('Licences'!$R$4:$R$503,_calc!$E$465)))))</f>
        <v/>
      </c>
      <c r="G463" s="44">
        <f>IF(_calc!$E$465="","",IF(LEN(INDEX('Licences'!$Q$4:$Q$503,_calc!$E$465))=0,"",INDEX('Licences'!$Q$4:$Q$503,_calc!$E$465)))</f>
        <v/>
      </c>
      <c r="H463" s="44">
        <f>IF(_calc!$E$465="","",IF(LEN(INDEX('Licences'!$O$4:$O$503,_calc!$E$465))=0,"",INDEX('Licences'!$O$4:$O$503,_calc!$E$465)))</f>
        <v/>
      </c>
      <c r="I463" s="44">
        <f>IF(_calc!$E$465="","",IF(LEN(INDEX('Licences'!$P$4:$P$503,_calc!$E$465))=0,"",INDEX('Licences'!$P$4:$P$503,_calc!$E$465)))</f>
        <v/>
      </c>
      <c r="K463" s="44">
        <f>IF(_calc!$E$465="","",IF(LEN(INDEX('Licences'!$G$4:$G$503,_calc!$E$465))=0,"",INDEX('Licences'!$G$4:$G$503,_calc!$E$465)))</f>
        <v/>
      </c>
    </row>
    <row r="464">
      <c r="A464" s="44">
        <f>IF(_calc!$E$466="","",IF(LEN(INDEX('Licences'!$A$4:$A$503,_calc!$E$466))=0,"",INDEX('Licences'!$A$4:$A$503,_calc!$E$466)))</f>
        <v/>
      </c>
      <c r="B464" s="44">
        <f>IF(_calc!$E$466="","",IF(ISNUMBER(INDEX('Licences'!$J$4:$J$503,_calc!$E$466)),TEXT(INDEX('Licences'!$J$4:$J$503,_calc!$E$466),"yyyy-mm-dd"),""))</f>
        <v/>
      </c>
      <c r="C464" s="44">
        <f>IF(_calc!$E$466="","",IF(LEN(INDEX('Licences'!$B$4:$B$503,_calc!$E$466))=0,"",INDEX('Licences'!$B$4:$B$503,_calc!$E$466)))</f>
        <v/>
      </c>
      <c r="D464" s="44">
        <f>IF(_calc!$E$466="","",IF(ISNUMBER(INDEX('Licences'!$I$4:$I$503,_calc!$E$466)),TEXT(INDEX('Licences'!$I$4:$I$503,_calc!$E$466),"yyyy-mm-dd"),""))</f>
        <v/>
      </c>
      <c r="E464" s="44">
        <f>IF(_calc!$E$466="","",IF(LEN(INDEX('Licences'!$H$4:$H$503,_calc!$E$466))=0,"",INDEX('Licences'!$H$4:$H$503,_calc!$E$466)))</f>
        <v/>
      </c>
      <c r="F464" s="44">
        <f>IF(_calc!$E$466="","",TRIM(IF(LEN(IF(LEN(INDEX('Licences'!$D$4:$D$503,_calc!$E$466))=0,"",INDEX('Licences'!$D$4:$D$503,_calc!$E$466)))=0,"","Ref: "&amp;IF(LEN(INDEX('Licences'!$D$4:$D$503,_calc!$E$466))=0,"",INDEX('Licences'!$D$4:$D$503,_calc!$E$466))&amp;". ")&amp;IF(LEN(IF(LEN(INDEX('Licences'!$C$4:$C$503,_calc!$E$466))=0,"",INDEX('Licences'!$C$4:$C$503,_calc!$E$466)))=0,"","Issuer: "&amp;IF(LEN(INDEX('Licences'!$C$4:$C$503,_calc!$E$466))=0,"",INDEX('Licences'!$C$4:$C$503,_calc!$E$466))&amp;". ")&amp;IF(LEN(IF(LEN(INDEX('Licences'!$E$4:$E$503,_calc!$E$466))=0,"",INDEX('Licences'!$E$4:$E$503,_calc!$E$466)))=0,"","Site: "&amp;IF(LEN(INDEX('Licences'!$E$4:$E$503,_calc!$E$466))=0,"",INDEX('Licences'!$E$4:$E$503,_calc!$E$466))&amp;". ")&amp;IF(LEN(IF(LEN(INDEX('Licences'!$F$4:$F$503,_calc!$E$466))=0,"",INDEX('Licences'!$F$4:$F$503,_calc!$E$466)))=0,"","Owner: "&amp;IF(LEN(INDEX('Licences'!$F$4:$F$503,_calc!$E$466))=0,"",INDEX('Licences'!$F$4:$F$503,_calc!$E$466))&amp;". ")&amp;IF(LEN(IF(LEN(INDEX('Licences'!$R$4:$R$503,_calc!$E$466))=0,"",INDEX('Licences'!$R$4:$R$503,_calc!$E$466)))=0,"",IF(LEN(INDEX('Licences'!$R$4:$R$503,_calc!$E$466))=0,"",INDEX('Licences'!$R$4:$R$503,_calc!$E$466)))))</f>
        <v/>
      </c>
      <c r="G464" s="44">
        <f>IF(_calc!$E$466="","",IF(LEN(INDEX('Licences'!$Q$4:$Q$503,_calc!$E$466))=0,"",INDEX('Licences'!$Q$4:$Q$503,_calc!$E$466)))</f>
        <v/>
      </c>
      <c r="H464" s="44">
        <f>IF(_calc!$E$466="","",IF(LEN(INDEX('Licences'!$O$4:$O$503,_calc!$E$466))=0,"",INDEX('Licences'!$O$4:$O$503,_calc!$E$466)))</f>
        <v/>
      </c>
      <c r="I464" s="44">
        <f>IF(_calc!$E$466="","",IF(LEN(INDEX('Licences'!$P$4:$P$503,_calc!$E$466))=0,"",INDEX('Licences'!$P$4:$P$503,_calc!$E$466)))</f>
        <v/>
      </c>
      <c r="K464" s="44">
        <f>IF(_calc!$E$466="","",IF(LEN(INDEX('Licences'!$G$4:$G$503,_calc!$E$466))=0,"",INDEX('Licences'!$G$4:$G$503,_calc!$E$466)))</f>
        <v/>
      </c>
    </row>
    <row r="465">
      <c r="A465" s="44">
        <f>IF(_calc!$E$467="","",IF(LEN(INDEX('Licences'!$A$4:$A$503,_calc!$E$467))=0,"",INDEX('Licences'!$A$4:$A$503,_calc!$E$467)))</f>
        <v/>
      </c>
      <c r="B465" s="44">
        <f>IF(_calc!$E$467="","",IF(ISNUMBER(INDEX('Licences'!$J$4:$J$503,_calc!$E$467)),TEXT(INDEX('Licences'!$J$4:$J$503,_calc!$E$467),"yyyy-mm-dd"),""))</f>
        <v/>
      </c>
      <c r="C465" s="44">
        <f>IF(_calc!$E$467="","",IF(LEN(INDEX('Licences'!$B$4:$B$503,_calc!$E$467))=0,"",INDEX('Licences'!$B$4:$B$503,_calc!$E$467)))</f>
        <v/>
      </c>
      <c r="D465" s="44">
        <f>IF(_calc!$E$467="","",IF(ISNUMBER(INDEX('Licences'!$I$4:$I$503,_calc!$E$467)),TEXT(INDEX('Licences'!$I$4:$I$503,_calc!$E$467),"yyyy-mm-dd"),""))</f>
        <v/>
      </c>
      <c r="E465" s="44">
        <f>IF(_calc!$E$467="","",IF(LEN(INDEX('Licences'!$H$4:$H$503,_calc!$E$467))=0,"",INDEX('Licences'!$H$4:$H$503,_calc!$E$467)))</f>
        <v/>
      </c>
      <c r="F465" s="44">
        <f>IF(_calc!$E$467="","",TRIM(IF(LEN(IF(LEN(INDEX('Licences'!$D$4:$D$503,_calc!$E$467))=0,"",INDEX('Licences'!$D$4:$D$503,_calc!$E$467)))=0,"","Ref: "&amp;IF(LEN(INDEX('Licences'!$D$4:$D$503,_calc!$E$467))=0,"",INDEX('Licences'!$D$4:$D$503,_calc!$E$467))&amp;". ")&amp;IF(LEN(IF(LEN(INDEX('Licences'!$C$4:$C$503,_calc!$E$467))=0,"",INDEX('Licences'!$C$4:$C$503,_calc!$E$467)))=0,"","Issuer: "&amp;IF(LEN(INDEX('Licences'!$C$4:$C$503,_calc!$E$467))=0,"",INDEX('Licences'!$C$4:$C$503,_calc!$E$467))&amp;". ")&amp;IF(LEN(IF(LEN(INDEX('Licences'!$E$4:$E$503,_calc!$E$467))=0,"",INDEX('Licences'!$E$4:$E$503,_calc!$E$467)))=0,"","Site: "&amp;IF(LEN(INDEX('Licences'!$E$4:$E$503,_calc!$E$467))=0,"",INDEX('Licences'!$E$4:$E$503,_calc!$E$467))&amp;". ")&amp;IF(LEN(IF(LEN(INDEX('Licences'!$F$4:$F$503,_calc!$E$467))=0,"",INDEX('Licences'!$F$4:$F$503,_calc!$E$467)))=0,"","Owner: "&amp;IF(LEN(INDEX('Licences'!$F$4:$F$503,_calc!$E$467))=0,"",INDEX('Licences'!$F$4:$F$503,_calc!$E$467))&amp;". ")&amp;IF(LEN(IF(LEN(INDEX('Licences'!$R$4:$R$503,_calc!$E$467))=0,"",INDEX('Licences'!$R$4:$R$503,_calc!$E$467)))=0,"",IF(LEN(INDEX('Licences'!$R$4:$R$503,_calc!$E$467))=0,"",INDEX('Licences'!$R$4:$R$503,_calc!$E$467)))))</f>
        <v/>
      </c>
      <c r="G465" s="44">
        <f>IF(_calc!$E$467="","",IF(LEN(INDEX('Licences'!$Q$4:$Q$503,_calc!$E$467))=0,"",INDEX('Licences'!$Q$4:$Q$503,_calc!$E$467)))</f>
        <v/>
      </c>
      <c r="H465" s="44">
        <f>IF(_calc!$E$467="","",IF(LEN(INDEX('Licences'!$O$4:$O$503,_calc!$E$467))=0,"",INDEX('Licences'!$O$4:$O$503,_calc!$E$467)))</f>
        <v/>
      </c>
      <c r="I465" s="44">
        <f>IF(_calc!$E$467="","",IF(LEN(INDEX('Licences'!$P$4:$P$503,_calc!$E$467))=0,"",INDEX('Licences'!$P$4:$P$503,_calc!$E$467)))</f>
        <v/>
      </c>
      <c r="K465" s="44">
        <f>IF(_calc!$E$467="","",IF(LEN(INDEX('Licences'!$G$4:$G$503,_calc!$E$467))=0,"",INDEX('Licences'!$G$4:$G$503,_calc!$E$467)))</f>
        <v/>
      </c>
    </row>
    <row r="466">
      <c r="A466" s="44">
        <f>IF(_calc!$E$468="","",IF(LEN(INDEX('Licences'!$A$4:$A$503,_calc!$E$468))=0,"",INDEX('Licences'!$A$4:$A$503,_calc!$E$468)))</f>
        <v/>
      </c>
      <c r="B466" s="44">
        <f>IF(_calc!$E$468="","",IF(ISNUMBER(INDEX('Licences'!$J$4:$J$503,_calc!$E$468)),TEXT(INDEX('Licences'!$J$4:$J$503,_calc!$E$468),"yyyy-mm-dd"),""))</f>
        <v/>
      </c>
      <c r="C466" s="44">
        <f>IF(_calc!$E$468="","",IF(LEN(INDEX('Licences'!$B$4:$B$503,_calc!$E$468))=0,"",INDEX('Licences'!$B$4:$B$503,_calc!$E$468)))</f>
        <v/>
      </c>
      <c r="D466" s="44">
        <f>IF(_calc!$E$468="","",IF(ISNUMBER(INDEX('Licences'!$I$4:$I$503,_calc!$E$468)),TEXT(INDEX('Licences'!$I$4:$I$503,_calc!$E$468),"yyyy-mm-dd"),""))</f>
        <v/>
      </c>
      <c r="E466" s="44">
        <f>IF(_calc!$E$468="","",IF(LEN(INDEX('Licences'!$H$4:$H$503,_calc!$E$468))=0,"",INDEX('Licences'!$H$4:$H$503,_calc!$E$468)))</f>
        <v/>
      </c>
      <c r="F466" s="44">
        <f>IF(_calc!$E$468="","",TRIM(IF(LEN(IF(LEN(INDEX('Licences'!$D$4:$D$503,_calc!$E$468))=0,"",INDEX('Licences'!$D$4:$D$503,_calc!$E$468)))=0,"","Ref: "&amp;IF(LEN(INDEX('Licences'!$D$4:$D$503,_calc!$E$468))=0,"",INDEX('Licences'!$D$4:$D$503,_calc!$E$468))&amp;". ")&amp;IF(LEN(IF(LEN(INDEX('Licences'!$C$4:$C$503,_calc!$E$468))=0,"",INDEX('Licences'!$C$4:$C$503,_calc!$E$468)))=0,"","Issuer: "&amp;IF(LEN(INDEX('Licences'!$C$4:$C$503,_calc!$E$468))=0,"",INDEX('Licences'!$C$4:$C$503,_calc!$E$468))&amp;". ")&amp;IF(LEN(IF(LEN(INDEX('Licences'!$E$4:$E$503,_calc!$E$468))=0,"",INDEX('Licences'!$E$4:$E$503,_calc!$E$468)))=0,"","Site: "&amp;IF(LEN(INDEX('Licences'!$E$4:$E$503,_calc!$E$468))=0,"",INDEX('Licences'!$E$4:$E$503,_calc!$E$468))&amp;". ")&amp;IF(LEN(IF(LEN(INDEX('Licences'!$F$4:$F$503,_calc!$E$468))=0,"",INDEX('Licences'!$F$4:$F$503,_calc!$E$468)))=0,"","Owner: "&amp;IF(LEN(INDEX('Licences'!$F$4:$F$503,_calc!$E$468))=0,"",INDEX('Licences'!$F$4:$F$503,_calc!$E$468))&amp;". ")&amp;IF(LEN(IF(LEN(INDEX('Licences'!$R$4:$R$503,_calc!$E$468))=0,"",INDEX('Licences'!$R$4:$R$503,_calc!$E$468)))=0,"",IF(LEN(INDEX('Licences'!$R$4:$R$503,_calc!$E$468))=0,"",INDEX('Licences'!$R$4:$R$503,_calc!$E$468)))))</f>
        <v/>
      </c>
      <c r="G466" s="44">
        <f>IF(_calc!$E$468="","",IF(LEN(INDEX('Licences'!$Q$4:$Q$503,_calc!$E$468))=0,"",INDEX('Licences'!$Q$4:$Q$503,_calc!$E$468)))</f>
        <v/>
      </c>
      <c r="H466" s="44">
        <f>IF(_calc!$E$468="","",IF(LEN(INDEX('Licences'!$O$4:$O$503,_calc!$E$468))=0,"",INDEX('Licences'!$O$4:$O$503,_calc!$E$468)))</f>
        <v/>
      </c>
      <c r="I466" s="44">
        <f>IF(_calc!$E$468="","",IF(LEN(INDEX('Licences'!$P$4:$P$503,_calc!$E$468))=0,"",INDEX('Licences'!$P$4:$P$503,_calc!$E$468)))</f>
        <v/>
      </c>
      <c r="K466" s="44">
        <f>IF(_calc!$E$468="","",IF(LEN(INDEX('Licences'!$G$4:$G$503,_calc!$E$468))=0,"",INDEX('Licences'!$G$4:$G$503,_calc!$E$468)))</f>
        <v/>
      </c>
    </row>
    <row r="467">
      <c r="A467" s="44">
        <f>IF(_calc!$E$469="","",IF(LEN(INDEX('Licences'!$A$4:$A$503,_calc!$E$469))=0,"",INDEX('Licences'!$A$4:$A$503,_calc!$E$469)))</f>
        <v/>
      </c>
      <c r="B467" s="44">
        <f>IF(_calc!$E$469="","",IF(ISNUMBER(INDEX('Licences'!$J$4:$J$503,_calc!$E$469)),TEXT(INDEX('Licences'!$J$4:$J$503,_calc!$E$469),"yyyy-mm-dd"),""))</f>
        <v/>
      </c>
      <c r="C467" s="44">
        <f>IF(_calc!$E$469="","",IF(LEN(INDEX('Licences'!$B$4:$B$503,_calc!$E$469))=0,"",INDEX('Licences'!$B$4:$B$503,_calc!$E$469)))</f>
        <v/>
      </c>
      <c r="D467" s="44">
        <f>IF(_calc!$E$469="","",IF(ISNUMBER(INDEX('Licences'!$I$4:$I$503,_calc!$E$469)),TEXT(INDEX('Licences'!$I$4:$I$503,_calc!$E$469),"yyyy-mm-dd"),""))</f>
        <v/>
      </c>
      <c r="E467" s="44">
        <f>IF(_calc!$E$469="","",IF(LEN(INDEX('Licences'!$H$4:$H$503,_calc!$E$469))=0,"",INDEX('Licences'!$H$4:$H$503,_calc!$E$469)))</f>
        <v/>
      </c>
      <c r="F467" s="44">
        <f>IF(_calc!$E$469="","",TRIM(IF(LEN(IF(LEN(INDEX('Licences'!$D$4:$D$503,_calc!$E$469))=0,"",INDEX('Licences'!$D$4:$D$503,_calc!$E$469)))=0,"","Ref: "&amp;IF(LEN(INDEX('Licences'!$D$4:$D$503,_calc!$E$469))=0,"",INDEX('Licences'!$D$4:$D$503,_calc!$E$469))&amp;". ")&amp;IF(LEN(IF(LEN(INDEX('Licences'!$C$4:$C$503,_calc!$E$469))=0,"",INDEX('Licences'!$C$4:$C$503,_calc!$E$469)))=0,"","Issuer: "&amp;IF(LEN(INDEX('Licences'!$C$4:$C$503,_calc!$E$469))=0,"",INDEX('Licences'!$C$4:$C$503,_calc!$E$469))&amp;". ")&amp;IF(LEN(IF(LEN(INDEX('Licences'!$E$4:$E$503,_calc!$E$469))=0,"",INDEX('Licences'!$E$4:$E$503,_calc!$E$469)))=0,"","Site: "&amp;IF(LEN(INDEX('Licences'!$E$4:$E$503,_calc!$E$469))=0,"",INDEX('Licences'!$E$4:$E$503,_calc!$E$469))&amp;". ")&amp;IF(LEN(IF(LEN(INDEX('Licences'!$F$4:$F$503,_calc!$E$469))=0,"",INDEX('Licences'!$F$4:$F$503,_calc!$E$469)))=0,"","Owner: "&amp;IF(LEN(INDEX('Licences'!$F$4:$F$503,_calc!$E$469))=0,"",INDEX('Licences'!$F$4:$F$503,_calc!$E$469))&amp;". ")&amp;IF(LEN(IF(LEN(INDEX('Licences'!$R$4:$R$503,_calc!$E$469))=0,"",INDEX('Licences'!$R$4:$R$503,_calc!$E$469)))=0,"",IF(LEN(INDEX('Licences'!$R$4:$R$503,_calc!$E$469))=0,"",INDEX('Licences'!$R$4:$R$503,_calc!$E$469)))))</f>
        <v/>
      </c>
      <c r="G467" s="44">
        <f>IF(_calc!$E$469="","",IF(LEN(INDEX('Licences'!$Q$4:$Q$503,_calc!$E$469))=0,"",INDEX('Licences'!$Q$4:$Q$503,_calc!$E$469)))</f>
        <v/>
      </c>
      <c r="H467" s="44">
        <f>IF(_calc!$E$469="","",IF(LEN(INDEX('Licences'!$O$4:$O$503,_calc!$E$469))=0,"",INDEX('Licences'!$O$4:$O$503,_calc!$E$469)))</f>
        <v/>
      </c>
      <c r="I467" s="44">
        <f>IF(_calc!$E$469="","",IF(LEN(INDEX('Licences'!$P$4:$P$503,_calc!$E$469))=0,"",INDEX('Licences'!$P$4:$P$503,_calc!$E$469)))</f>
        <v/>
      </c>
      <c r="K467" s="44">
        <f>IF(_calc!$E$469="","",IF(LEN(INDEX('Licences'!$G$4:$G$503,_calc!$E$469))=0,"",INDEX('Licences'!$G$4:$G$503,_calc!$E$469)))</f>
        <v/>
      </c>
    </row>
    <row r="468">
      <c r="A468" s="44">
        <f>IF(_calc!$E$470="","",IF(LEN(INDEX('Licences'!$A$4:$A$503,_calc!$E$470))=0,"",INDEX('Licences'!$A$4:$A$503,_calc!$E$470)))</f>
        <v/>
      </c>
      <c r="B468" s="44">
        <f>IF(_calc!$E$470="","",IF(ISNUMBER(INDEX('Licences'!$J$4:$J$503,_calc!$E$470)),TEXT(INDEX('Licences'!$J$4:$J$503,_calc!$E$470),"yyyy-mm-dd"),""))</f>
        <v/>
      </c>
      <c r="C468" s="44">
        <f>IF(_calc!$E$470="","",IF(LEN(INDEX('Licences'!$B$4:$B$503,_calc!$E$470))=0,"",INDEX('Licences'!$B$4:$B$503,_calc!$E$470)))</f>
        <v/>
      </c>
      <c r="D468" s="44">
        <f>IF(_calc!$E$470="","",IF(ISNUMBER(INDEX('Licences'!$I$4:$I$503,_calc!$E$470)),TEXT(INDEX('Licences'!$I$4:$I$503,_calc!$E$470),"yyyy-mm-dd"),""))</f>
        <v/>
      </c>
      <c r="E468" s="44">
        <f>IF(_calc!$E$470="","",IF(LEN(INDEX('Licences'!$H$4:$H$503,_calc!$E$470))=0,"",INDEX('Licences'!$H$4:$H$503,_calc!$E$470)))</f>
        <v/>
      </c>
      <c r="F468" s="44">
        <f>IF(_calc!$E$470="","",TRIM(IF(LEN(IF(LEN(INDEX('Licences'!$D$4:$D$503,_calc!$E$470))=0,"",INDEX('Licences'!$D$4:$D$503,_calc!$E$470)))=0,"","Ref: "&amp;IF(LEN(INDEX('Licences'!$D$4:$D$503,_calc!$E$470))=0,"",INDEX('Licences'!$D$4:$D$503,_calc!$E$470))&amp;". ")&amp;IF(LEN(IF(LEN(INDEX('Licences'!$C$4:$C$503,_calc!$E$470))=0,"",INDEX('Licences'!$C$4:$C$503,_calc!$E$470)))=0,"","Issuer: "&amp;IF(LEN(INDEX('Licences'!$C$4:$C$503,_calc!$E$470))=0,"",INDEX('Licences'!$C$4:$C$503,_calc!$E$470))&amp;". ")&amp;IF(LEN(IF(LEN(INDEX('Licences'!$E$4:$E$503,_calc!$E$470))=0,"",INDEX('Licences'!$E$4:$E$503,_calc!$E$470)))=0,"","Site: "&amp;IF(LEN(INDEX('Licences'!$E$4:$E$503,_calc!$E$470))=0,"",INDEX('Licences'!$E$4:$E$503,_calc!$E$470))&amp;". ")&amp;IF(LEN(IF(LEN(INDEX('Licences'!$F$4:$F$503,_calc!$E$470))=0,"",INDEX('Licences'!$F$4:$F$503,_calc!$E$470)))=0,"","Owner: "&amp;IF(LEN(INDEX('Licences'!$F$4:$F$503,_calc!$E$470))=0,"",INDEX('Licences'!$F$4:$F$503,_calc!$E$470))&amp;". ")&amp;IF(LEN(IF(LEN(INDEX('Licences'!$R$4:$R$503,_calc!$E$470))=0,"",INDEX('Licences'!$R$4:$R$503,_calc!$E$470)))=0,"",IF(LEN(INDEX('Licences'!$R$4:$R$503,_calc!$E$470))=0,"",INDEX('Licences'!$R$4:$R$503,_calc!$E$470)))))</f>
        <v/>
      </c>
      <c r="G468" s="44">
        <f>IF(_calc!$E$470="","",IF(LEN(INDEX('Licences'!$Q$4:$Q$503,_calc!$E$470))=0,"",INDEX('Licences'!$Q$4:$Q$503,_calc!$E$470)))</f>
        <v/>
      </c>
      <c r="H468" s="44">
        <f>IF(_calc!$E$470="","",IF(LEN(INDEX('Licences'!$O$4:$O$503,_calc!$E$470))=0,"",INDEX('Licences'!$O$4:$O$503,_calc!$E$470)))</f>
        <v/>
      </c>
      <c r="I468" s="44">
        <f>IF(_calc!$E$470="","",IF(LEN(INDEX('Licences'!$P$4:$P$503,_calc!$E$470))=0,"",INDEX('Licences'!$P$4:$P$503,_calc!$E$470)))</f>
        <v/>
      </c>
      <c r="K468" s="44">
        <f>IF(_calc!$E$470="","",IF(LEN(INDEX('Licences'!$G$4:$G$503,_calc!$E$470))=0,"",INDEX('Licences'!$G$4:$G$503,_calc!$E$470)))</f>
        <v/>
      </c>
    </row>
    <row r="469">
      <c r="A469" s="44">
        <f>IF(_calc!$E$471="","",IF(LEN(INDEX('Licences'!$A$4:$A$503,_calc!$E$471))=0,"",INDEX('Licences'!$A$4:$A$503,_calc!$E$471)))</f>
        <v/>
      </c>
      <c r="B469" s="44">
        <f>IF(_calc!$E$471="","",IF(ISNUMBER(INDEX('Licences'!$J$4:$J$503,_calc!$E$471)),TEXT(INDEX('Licences'!$J$4:$J$503,_calc!$E$471),"yyyy-mm-dd"),""))</f>
        <v/>
      </c>
      <c r="C469" s="44">
        <f>IF(_calc!$E$471="","",IF(LEN(INDEX('Licences'!$B$4:$B$503,_calc!$E$471))=0,"",INDEX('Licences'!$B$4:$B$503,_calc!$E$471)))</f>
        <v/>
      </c>
      <c r="D469" s="44">
        <f>IF(_calc!$E$471="","",IF(ISNUMBER(INDEX('Licences'!$I$4:$I$503,_calc!$E$471)),TEXT(INDEX('Licences'!$I$4:$I$503,_calc!$E$471),"yyyy-mm-dd"),""))</f>
        <v/>
      </c>
      <c r="E469" s="44">
        <f>IF(_calc!$E$471="","",IF(LEN(INDEX('Licences'!$H$4:$H$503,_calc!$E$471))=0,"",INDEX('Licences'!$H$4:$H$503,_calc!$E$471)))</f>
        <v/>
      </c>
      <c r="F469" s="44">
        <f>IF(_calc!$E$471="","",TRIM(IF(LEN(IF(LEN(INDEX('Licences'!$D$4:$D$503,_calc!$E$471))=0,"",INDEX('Licences'!$D$4:$D$503,_calc!$E$471)))=0,"","Ref: "&amp;IF(LEN(INDEX('Licences'!$D$4:$D$503,_calc!$E$471))=0,"",INDEX('Licences'!$D$4:$D$503,_calc!$E$471))&amp;". ")&amp;IF(LEN(IF(LEN(INDEX('Licences'!$C$4:$C$503,_calc!$E$471))=0,"",INDEX('Licences'!$C$4:$C$503,_calc!$E$471)))=0,"","Issuer: "&amp;IF(LEN(INDEX('Licences'!$C$4:$C$503,_calc!$E$471))=0,"",INDEX('Licences'!$C$4:$C$503,_calc!$E$471))&amp;". ")&amp;IF(LEN(IF(LEN(INDEX('Licences'!$E$4:$E$503,_calc!$E$471))=0,"",INDEX('Licences'!$E$4:$E$503,_calc!$E$471)))=0,"","Site: "&amp;IF(LEN(INDEX('Licences'!$E$4:$E$503,_calc!$E$471))=0,"",INDEX('Licences'!$E$4:$E$503,_calc!$E$471))&amp;". ")&amp;IF(LEN(IF(LEN(INDEX('Licences'!$F$4:$F$503,_calc!$E$471))=0,"",INDEX('Licences'!$F$4:$F$503,_calc!$E$471)))=0,"","Owner: "&amp;IF(LEN(INDEX('Licences'!$F$4:$F$503,_calc!$E$471))=0,"",INDEX('Licences'!$F$4:$F$503,_calc!$E$471))&amp;". ")&amp;IF(LEN(IF(LEN(INDEX('Licences'!$R$4:$R$503,_calc!$E$471))=0,"",INDEX('Licences'!$R$4:$R$503,_calc!$E$471)))=0,"",IF(LEN(INDEX('Licences'!$R$4:$R$503,_calc!$E$471))=0,"",INDEX('Licences'!$R$4:$R$503,_calc!$E$471)))))</f>
        <v/>
      </c>
      <c r="G469" s="44">
        <f>IF(_calc!$E$471="","",IF(LEN(INDEX('Licences'!$Q$4:$Q$503,_calc!$E$471))=0,"",INDEX('Licences'!$Q$4:$Q$503,_calc!$E$471)))</f>
        <v/>
      </c>
      <c r="H469" s="44">
        <f>IF(_calc!$E$471="","",IF(LEN(INDEX('Licences'!$O$4:$O$503,_calc!$E$471))=0,"",INDEX('Licences'!$O$4:$O$503,_calc!$E$471)))</f>
        <v/>
      </c>
      <c r="I469" s="44">
        <f>IF(_calc!$E$471="","",IF(LEN(INDEX('Licences'!$P$4:$P$503,_calc!$E$471))=0,"",INDEX('Licences'!$P$4:$P$503,_calc!$E$471)))</f>
        <v/>
      </c>
      <c r="K469" s="44">
        <f>IF(_calc!$E$471="","",IF(LEN(INDEX('Licences'!$G$4:$G$503,_calc!$E$471))=0,"",INDEX('Licences'!$G$4:$G$503,_calc!$E$471)))</f>
        <v/>
      </c>
    </row>
    <row r="470">
      <c r="A470" s="44">
        <f>IF(_calc!$E$472="","",IF(LEN(INDEX('Licences'!$A$4:$A$503,_calc!$E$472))=0,"",INDEX('Licences'!$A$4:$A$503,_calc!$E$472)))</f>
        <v/>
      </c>
      <c r="B470" s="44">
        <f>IF(_calc!$E$472="","",IF(ISNUMBER(INDEX('Licences'!$J$4:$J$503,_calc!$E$472)),TEXT(INDEX('Licences'!$J$4:$J$503,_calc!$E$472),"yyyy-mm-dd"),""))</f>
        <v/>
      </c>
      <c r="C470" s="44">
        <f>IF(_calc!$E$472="","",IF(LEN(INDEX('Licences'!$B$4:$B$503,_calc!$E$472))=0,"",INDEX('Licences'!$B$4:$B$503,_calc!$E$472)))</f>
        <v/>
      </c>
      <c r="D470" s="44">
        <f>IF(_calc!$E$472="","",IF(ISNUMBER(INDEX('Licences'!$I$4:$I$503,_calc!$E$472)),TEXT(INDEX('Licences'!$I$4:$I$503,_calc!$E$472),"yyyy-mm-dd"),""))</f>
        <v/>
      </c>
      <c r="E470" s="44">
        <f>IF(_calc!$E$472="","",IF(LEN(INDEX('Licences'!$H$4:$H$503,_calc!$E$472))=0,"",INDEX('Licences'!$H$4:$H$503,_calc!$E$472)))</f>
        <v/>
      </c>
      <c r="F470" s="44">
        <f>IF(_calc!$E$472="","",TRIM(IF(LEN(IF(LEN(INDEX('Licences'!$D$4:$D$503,_calc!$E$472))=0,"",INDEX('Licences'!$D$4:$D$503,_calc!$E$472)))=0,"","Ref: "&amp;IF(LEN(INDEX('Licences'!$D$4:$D$503,_calc!$E$472))=0,"",INDEX('Licences'!$D$4:$D$503,_calc!$E$472))&amp;". ")&amp;IF(LEN(IF(LEN(INDEX('Licences'!$C$4:$C$503,_calc!$E$472))=0,"",INDEX('Licences'!$C$4:$C$503,_calc!$E$472)))=0,"","Issuer: "&amp;IF(LEN(INDEX('Licences'!$C$4:$C$503,_calc!$E$472))=0,"",INDEX('Licences'!$C$4:$C$503,_calc!$E$472))&amp;". ")&amp;IF(LEN(IF(LEN(INDEX('Licences'!$E$4:$E$503,_calc!$E$472))=0,"",INDEX('Licences'!$E$4:$E$503,_calc!$E$472)))=0,"","Site: "&amp;IF(LEN(INDEX('Licences'!$E$4:$E$503,_calc!$E$472))=0,"",INDEX('Licences'!$E$4:$E$503,_calc!$E$472))&amp;". ")&amp;IF(LEN(IF(LEN(INDEX('Licences'!$F$4:$F$503,_calc!$E$472))=0,"",INDEX('Licences'!$F$4:$F$503,_calc!$E$472)))=0,"","Owner: "&amp;IF(LEN(INDEX('Licences'!$F$4:$F$503,_calc!$E$472))=0,"",INDEX('Licences'!$F$4:$F$503,_calc!$E$472))&amp;". ")&amp;IF(LEN(IF(LEN(INDEX('Licences'!$R$4:$R$503,_calc!$E$472))=0,"",INDEX('Licences'!$R$4:$R$503,_calc!$E$472)))=0,"",IF(LEN(INDEX('Licences'!$R$4:$R$503,_calc!$E$472))=0,"",INDEX('Licences'!$R$4:$R$503,_calc!$E$472)))))</f>
        <v/>
      </c>
      <c r="G470" s="44">
        <f>IF(_calc!$E$472="","",IF(LEN(INDEX('Licences'!$Q$4:$Q$503,_calc!$E$472))=0,"",INDEX('Licences'!$Q$4:$Q$503,_calc!$E$472)))</f>
        <v/>
      </c>
      <c r="H470" s="44">
        <f>IF(_calc!$E$472="","",IF(LEN(INDEX('Licences'!$O$4:$O$503,_calc!$E$472))=0,"",INDEX('Licences'!$O$4:$O$503,_calc!$E$472)))</f>
        <v/>
      </c>
      <c r="I470" s="44">
        <f>IF(_calc!$E$472="","",IF(LEN(INDEX('Licences'!$P$4:$P$503,_calc!$E$472))=0,"",INDEX('Licences'!$P$4:$P$503,_calc!$E$472)))</f>
        <v/>
      </c>
      <c r="K470" s="44">
        <f>IF(_calc!$E$472="","",IF(LEN(INDEX('Licences'!$G$4:$G$503,_calc!$E$472))=0,"",INDEX('Licences'!$G$4:$G$503,_calc!$E$472)))</f>
        <v/>
      </c>
    </row>
    <row r="471">
      <c r="A471" s="44">
        <f>IF(_calc!$E$473="","",IF(LEN(INDEX('Licences'!$A$4:$A$503,_calc!$E$473))=0,"",INDEX('Licences'!$A$4:$A$503,_calc!$E$473)))</f>
        <v/>
      </c>
      <c r="B471" s="44">
        <f>IF(_calc!$E$473="","",IF(ISNUMBER(INDEX('Licences'!$J$4:$J$503,_calc!$E$473)),TEXT(INDEX('Licences'!$J$4:$J$503,_calc!$E$473),"yyyy-mm-dd"),""))</f>
        <v/>
      </c>
      <c r="C471" s="44">
        <f>IF(_calc!$E$473="","",IF(LEN(INDEX('Licences'!$B$4:$B$503,_calc!$E$473))=0,"",INDEX('Licences'!$B$4:$B$503,_calc!$E$473)))</f>
        <v/>
      </c>
      <c r="D471" s="44">
        <f>IF(_calc!$E$473="","",IF(ISNUMBER(INDEX('Licences'!$I$4:$I$503,_calc!$E$473)),TEXT(INDEX('Licences'!$I$4:$I$503,_calc!$E$473),"yyyy-mm-dd"),""))</f>
        <v/>
      </c>
      <c r="E471" s="44">
        <f>IF(_calc!$E$473="","",IF(LEN(INDEX('Licences'!$H$4:$H$503,_calc!$E$473))=0,"",INDEX('Licences'!$H$4:$H$503,_calc!$E$473)))</f>
        <v/>
      </c>
      <c r="F471" s="44">
        <f>IF(_calc!$E$473="","",TRIM(IF(LEN(IF(LEN(INDEX('Licences'!$D$4:$D$503,_calc!$E$473))=0,"",INDEX('Licences'!$D$4:$D$503,_calc!$E$473)))=0,"","Ref: "&amp;IF(LEN(INDEX('Licences'!$D$4:$D$503,_calc!$E$473))=0,"",INDEX('Licences'!$D$4:$D$503,_calc!$E$473))&amp;". ")&amp;IF(LEN(IF(LEN(INDEX('Licences'!$C$4:$C$503,_calc!$E$473))=0,"",INDEX('Licences'!$C$4:$C$503,_calc!$E$473)))=0,"","Issuer: "&amp;IF(LEN(INDEX('Licences'!$C$4:$C$503,_calc!$E$473))=0,"",INDEX('Licences'!$C$4:$C$503,_calc!$E$473))&amp;". ")&amp;IF(LEN(IF(LEN(INDEX('Licences'!$E$4:$E$503,_calc!$E$473))=0,"",INDEX('Licences'!$E$4:$E$503,_calc!$E$473)))=0,"","Site: "&amp;IF(LEN(INDEX('Licences'!$E$4:$E$503,_calc!$E$473))=0,"",INDEX('Licences'!$E$4:$E$503,_calc!$E$473))&amp;". ")&amp;IF(LEN(IF(LEN(INDEX('Licences'!$F$4:$F$503,_calc!$E$473))=0,"",INDEX('Licences'!$F$4:$F$503,_calc!$E$473)))=0,"","Owner: "&amp;IF(LEN(INDEX('Licences'!$F$4:$F$503,_calc!$E$473))=0,"",INDEX('Licences'!$F$4:$F$503,_calc!$E$473))&amp;". ")&amp;IF(LEN(IF(LEN(INDEX('Licences'!$R$4:$R$503,_calc!$E$473))=0,"",INDEX('Licences'!$R$4:$R$503,_calc!$E$473)))=0,"",IF(LEN(INDEX('Licences'!$R$4:$R$503,_calc!$E$473))=0,"",INDEX('Licences'!$R$4:$R$503,_calc!$E$473)))))</f>
        <v/>
      </c>
      <c r="G471" s="44">
        <f>IF(_calc!$E$473="","",IF(LEN(INDEX('Licences'!$Q$4:$Q$503,_calc!$E$473))=0,"",INDEX('Licences'!$Q$4:$Q$503,_calc!$E$473)))</f>
        <v/>
      </c>
      <c r="H471" s="44">
        <f>IF(_calc!$E$473="","",IF(LEN(INDEX('Licences'!$O$4:$O$503,_calc!$E$473))=0,"",INDEX('Licences'!$O$4:$O$503,_calc!$E$473)))</f>
        <v/>
      </c>
      <c r="I471" s="44">
        <f>IF(_calc!$E$473="","",IF(LEN(INDEX('Licences'!$P$4:$P$503,_calc!$E$473))=0,"",INDEX('Licences'!$P$4:$P$503,_calc!$E$473)))</f>
        <v/>
      </c>
      <c r="K471" s="44">
        <f>IF(_calc!$E$473="","",IF(LEN(INDEX('Licences'!$G$4:$G$503,_calc!$E$473))=0,"",INDEX('Licences'!$G$4:$G$503,_calc!$E$473)))</f>
        <v/>
      </c>
    </row>
    <row r="472">
      <c r="A472" s="44">
        <f>IF(_calc!$E$474="","",IF(LEN(INDEX('Licences'!$A$4:$A$503,_calc!$E$474))=0,"",INDEX('Licences'!$A$4:$A$503,_calc!$E$474)))</f>
        <v/>
      </c>
      <c r="B472" s="44">
        <f>IF(_calc!$E$474="","",IF(ISNUMBER(INDEX('Licences'!$J$4:$J$503,_calc!$E$474)),TEXT(INDEX('Licences'!$J$4:$J$503,_calc!$E$474),"yyyy-mm-dd"),""))</f>
        <v/>
      </c>
      <c r="C472" s="44">
        <f>IF(_calc!$E$474="","",IF(LEN(INDEX('Licences'!$B$4:$B$503,_calc!$E$474))=0,"",INDEX('Licences'!$B$4:$B$503,_calc!$E$474)))</f>
        <v/>
      </c>
      <c r="D472" s="44">
        <f>IF(_calc!$E$474="","",IF(ISNUMBER(INDEX('Licences'!$I$4:$I$503,_calc!$E$474)),TEXT(INDEX('Licences'!$I$4:$I$503,_calc!$E$474),"yyyy-mm-dd"),""))</f>
        <v/>
      </c>
      <c r="E472" s="44">
        <f>IF(_calc!$E$474="","",IF(LEN(INDEX('Licences'!$H$4:$H$503,_calc!$E$474))=0,"",INDEX('Licences'!$H$4:$H$503,_calc!$E$474)))</f>
        <v/>
      </c>
      <c r="F472" s="44">
        <f>IF(_calc!$E$474="","",TRIM(IF(LEN(IF(LEN(INDEX('Licences'!$D$4:$D$503,_calc!$E$474))=0,"",INDEX('Licences'!$D$4:$D$503,_calc!$E$474)))=0,"","Ref: "&amp;IF(LEN(INDEX('Licences'!$D$4:$D$503,_calc!$E$474))=0,"",INDEX('Licences'!$D$4:$D$503,_calc!$E$474))&amp;". ")&amp;IF(LEN(IF(LEN(INDEX('Licences'!$C$4:$C$503,_calc!$E$474))=0,"",INDEX('Licences'!$C$4:$C$503,_calc!$E$474)))=0,"","Issuer: "&amp;IF(LEN(INDEX('Licences'!$C$4:$C$503,_calc!$E$474))=0,"",INDEX('Licences'!$C$4:$C$503,_calc!$E$474))&amp;". ")&amp;IF(LEN(IF(LEN(INDEX('Licences'!$E$4:$E$503,_calc!$E$474))=0,"",INDEX('Licences'!$E$4:$E$503,_calc!$E$474)))=0,"","Site: "&amp;IF(LEN(INDEX('Licences'!$E$4:$E$503,_calc!$E$474))=0,"",INDEX('Licences'!$E$4:$E$503,_calc!$E$474))&amp;". ")&amp;IF(LEN(IF(LEN(INDEX('Licences'!$F$4:$F$503,_calc!$E$474))=0,"",INDEX('Licences'!$F$4:$F$503,_calc!$E$474)))=0,"","Owner: "&amp;IF(LEN(INDEX('Licences'!$F$4:$F$503,_calc!$E$474))=0,"",INDEX('Licences'!$F$4:$F$503,_calc!$E$474))&amp;". ")&amp;IF(LEN(IF(LEN(INDEX('Licences'!$R$4:$R$503,_calc!$E$474))=0,"",INDEX('Licences'!$R$4:$R$503,_calc!$E$474)))=0,"",IF(LEN(INDEX('Licences'!$R$4:$R$503,_calc!$E$474))=0,"",INDEX('Licences'!$R$4:$R$503,_calc!$E$474)))))</f>
        <v/>
      </c>
      <c r="G472" s="44">
        <f>IF(_calc!$E$474="","",IF(LEN(INDEX('Licences'!$Q$4:$Q$503,_calc!$E$474))=0,"",INDEX('Licences'!$Q$4:$Q$503,_calc!$E$474)))</f>
        <v/>
      </c>
      <c r="H472" s="44">
        <f>IF(_calc!$E$474="","",IF(LEN(INDEX('Licences'!$O$4:$O$503,_calc!$E$474))=0,"",INDEX('Licences'!$O$4:$O$503,_calc!$E$474)))</f>
        <v/>
      </c>
      <c r="I472" s="44">
        <f>IF(_calc!$E$474="","",IF(LEN(INDEX('Licences'!$P$4:$P$503,_calc!$E$474))=0,"",INDEX('Licences'!$P$4:$P$503,_calc!$E$474)))</f>
        <v/>
      </c>
      <c r="K472" s="44">
        <f>IF(_calc!$E$474="","",IF(LEN(INDEX('Licences'!$G$4:$G$503,_calc!$E$474))=0,"",INDEX('Licences'!$G$4:$G$503,_calc!$E$474)))</f>
        <v/>
      </c>
    </row>
    <row r="473">
      <c r="A473" s="44">
        <f>IF(_calc!$E$475="","",IF(LEN(INDEX('Licences'!$A$4:$A$503,_calc!$E$475))=0,"",INDEX('Licences'!$A$4:$A$503,_calc!$E$475)))</f>
        <v/>
      </c>
      <c r="B473" s="44">
        <f>IF(_calc!$E$475="","",IF(ISNUMBER(INDEX('Licences'!$J$4:$J$503,_calc!$E$475)),TEXT(INDEX('Licences'!$J$4:$J$503,_calc!$E$475),"yyyy-mm-dd"),""))</f>
        <v/>
      </c>
      <c r="C473" s="44">
        <f>IF(_calc!$E$475="","",IF(LEN(INDEX('Licences'!$B$4:$B$503,_calc!$E$475))=0,"",INDEX('Licences'!$B$4:$B$503,_calc!$E$475)))</f>
        <v/>
      </c>
      <c r="D473" s="44">
        <f>IF(_calc!$E$475="","",IF(ISNUMBER(INDEX('Licences'!$I$4:$I$503,_calc!$E$475)),TEXT(INDEX('Licences'!$I$4:$I$503,_calc!$E$475),"yyyy-mm-dd"),""))</f>
        <v/>
      </c>
      <c r="E473" s="44">
        <f>IF(_calc!$E$475="","",IF(LEN(INDEX('Licences'!$H$4:$H$503,_calc!$E$475))=0,"",INDEX('Licences'!$H$4:$H$503,_calc!$E$475)))</f>
        <v/>
      </c>
      <c r="F473" s="44">
        <f>IF(_calc!$E$475="","",TRIM(IF(LEN(IF(LEN(INDEX('Licences'!$D$4:$D$503,_calc!$E$475))=0,"",INDEX('Licences'!$D$4:$D$503,_calc!$E$475)))=0,"","Ref: "&amp;IF(LEN(INDEX('Licences'!$D$4:$D$503,_calc!$E$475))=0,"",INDEX('Licences'!$D$4:$D$503,_calc!$E$475))&amp;". ")&amp;IF(LEN(IF(LEN(INDEX('Licences'!$C$4:$C$503,_calc!$E$475))=0,"",INDEX('Licences'!$C$4:$C$503,_calc!$E$475)))=0,"","Issuer: "&amp;IF(LEN(INDEX('Licences'!$C$4:$C$503,_calc!$E$475))=0,"",INDEX('Licences'!$C$4:$C$503,_calc!$E$475))&amp;". ")&amp;IF(LEN(IF(LEN(INDEX('Licences'!$E$4:$E$503,_calc!$E$475))=0,"",INDEX('Licences'!$E$4:$E$503,_calc!$E$475)))=0,"","Site: "&amp;IF(LEN(INDEX('Licences'!$E$4:$E$503,_calc!$E$475))=0,"",INDEX('Licences'!$E$4:$E$503,_calc!$E$475))&amp;". ")&amp;IF(LEN(IF(LEN(INDEX('Licences'!$F$4:$F$503,_calc!$E$475))=0,"",INDEX('Licences'!$F$4:$F$503,_calc!$E$475)))=0,"","Owner: "&amp;IF(LEN(INDEX('Licences'!$F$4:$F$503,_calc!$E$475))=0,"",INDEX('Licences'!$F$4:$F$503,_calc!$E$475))&amp;". ")&amp;IF(LEN(IF(LEN(INDEX('Licences'!$R$4:$R$503,_calc!$E$475))=0,"",INDEX('Licences'!$R$4:$R$503,_calc!$E$475)))=0,"",IF(LEN(INDEX('Licences'!$R$4:$R$503,_calc!$E$475))=0,"",INDEX('Licences'!$R$4:$R$503,_calc!$E$475)))))</f>
        <v/>
      </c>
      <c r="G473" s="44">
        <f>IF(_calc!$E$475="","",IF(LEN(INDEX('Licences'!$Q$4:$Q$503,_calc!$E$475))=0,"",INDEX('Licences'!$Q$4:$Q$503,_calc!$E$475)))</f>
        <v/>
      </c>
      <c r="H473" s="44">
        <f>IF(_calc!$E$475="","",IF(LEN(INDEX('Licences'!$O$4:$O$503,_calc!$E$475))=0,"",INDEX('Licences'!$O$4:$O$503,_calc!$E$475)))</f>
        <v/>
      </c>
      <c r="I473" s="44">
        <f>IF(_calc!$E$475="","",IF(LEN(INDEX('Licences'!$P$4:$P$503,_calc!$E$475))=0,"",INDEX('Licences'!$P$4:$P$503,_calc!$E$475)))</f>
        <v/>
      </c>
      <c r="K473" s="44">
        <f>IF(_calc!$E$475="","",IF(LEN(INDEX('Licences'!$G$4:$G$503,_calc!$E$475))=0,"",INDEX('Licences'!$G$4:$G$503,_calc!$E$475)))</f>
        <v/>
      </c>
    </row>
    <row r="474">
      <c r="A474" s="44">
        <f>IF(_calc!$E$476="","",IF(LEN(INDEX('Licences'!$A$4:$A$503,_calc!$E$476))=0,"",INDEX('Licences'!$A$4:$A$503,_calc!$E$476)))</f>
        <v/>
      </c>
      <c r="B474" s="44">
        <f>IF(_calc!$E$476="","",IF(ISNUMBER(INDEX('Licences'!$J$4:$J$503,_calc!$E$476)),TEXT(INDEX('Licences'!$J$4:$J$503,_calc!$E$476),"yyyy-mm-dd"),""))</f>
        <v/>
      </c>
      <c r="C474" s="44">
        <f>IF(_calc!$E$476="","",IF(LEN(INDEX('Licences'!$B$4:$B$503,_calc!$E$476))=0,"",INDEX('Licences'!$B$4:$B$503,_calc!$E$476)))</f>
        <v/>
      </c>
      <c r="D474" s="44">
        <f>IF(_calc!$E$476="","",IF(ISNUMBER(INDEX('Licences'!$I$4:$I$503,_calc!$E$476)),TEXT(INDEX('Licences'!$I$4:$I$503,_calc!$E$476),"yyyy-mm-dd"),""))</f>
        <v/>
      </c>
      <c r="E474" s="44">
        <f>IF(_calc!$E$476="","",IF(LEN(INDEX('Licences'!$H$4:$H$503,_calc!$E$476))=0,"",INDEX('Licences'!$H$4:$H$503,_calc!$E$476)))</f>
        <v/>
      </c>
      <c r="F474" s="44">
        <f>IF(_calc!$E$476="","",TRIM(IF(LEN(IF(LEN(INDEX('Licences'!$D$4:$D$503,_calc!$E$476))=0,"",INDEX('Licences'!$D$4:$D$503,_calc!$E$476)))=0,"","Ref: "&amp;IF(LEN(INDEX('Licences'!$D$4:$D$503,_calc!$E$476))=0,"",INDEX('Licences'!$D$4:$D$503,_calc!$E$476))&amp;". ")&amp;IF(LEN(IF(LEN(INDEX('Licences'!$C$4:$C$503,_calc!$E$476))=0,"",INDEX('Licences'!$C$4:$C$503,_calc!$E$476)))=0,"","Issuer: "&amp;IF(LEN(INDEX('Licences'!$C$4:$C$503,_calc!$E$476))=0,"",INDEX('Licences'!$C$4:$C$503,_calc!$E$476))&amp;". ")&amp;IF(LEN(IF(LEN(INDEX('Licences'!$E$4:$E$503,_calc!$E$476))=0,"",INDEX('Licences'!$E$4:$E$503,_calc!$E$476)))=0,"","Site: "&amp;IF(LEN(INDEX('Licences'!$E$4:$E$503,_calc!$E$476))=0,"",INDEX('Licences'!$E$4:$E$503,_calc!$E$476))&amp;". ")&amp;IF(LEN(IF(LEN(INDEX('Licences'!$F$4:$F$503,_calc!$E$476))=0,"",INDEX('Licences'!$F$4:$F$503,_calc!$E$476)))=0,"","Owner: "&amp;IF(LEN(INDEX('Licences'!$F$4:$F$503,_calc!$E$476))=0,"",INDEX('Licences'!$F$4:$F$503,_calc!$E$476))&amp;". ")&amp;IF(LEN(IF(LEN(INDEX('Licences'!$R$4:$R$503,_calc!$E$476))=0,"",INDEX('Licences'!$R$4:$R$503,_calc!$E$476)))=0,"",IF(LEN(INDEX('Licences'!$R$4:$R$503,_calc!$E$476))=0,"",INDEX('Licences'!$R$4:$R$503,_calc!$E$476)))))</f>
        <v/>
      </c>
      <c r="G474" s="44">
        <f>IF(_calc!$E$476="","",IF(LEN(INDEX('Licences'!$Q$4:$Q$503,_calc!$E$476))=0,"",INDEX('Licences'!$Q$4:$Q$503,_calc!$E$476)))</f>
        <v/>
      </c>
      <c r="H474" s="44">
        <f>IF(_calc!$E$476="","",IF(LEN(INDEX('Licences'!$O$4:$O$503,_calc!$E$476))=0,"",INDEX('Licences'!$O$4:$O$503,_calc!$E$476)))</f>
        <v/>
      </c>
      <c r="I474" s="44">
        <f>IF(_calc!$E$476="","",IF(LEN(INDEX('Licences'!$P$4:$P$503,_calc!$E$476))=0,"",INDEX('Licences'!$P$4:$P$503,_calc!$E$476)))</f>
        <v/>
      </c>
      <c r="K474" s="44">
        <f>IF(_calc!$E$476="","",IF(LEN(INDEX('Licences'!$G$4:$G$503,_calc!$E$476))=0,"",INDEX('Licences'!$G$4:$G$503,_calc!$E$476)))</f>
        <v/>
      </c>
    </row>
    <row r="475">
      <c r="A475" s="44">
        <f>IF(_calc!$E$477="","",IF(LEN(INDEX('Licences'!$A$4:$A$503,_calc!$E$477))=0,"",INDEX('Licences'!$A$4:$A$503,_calc!$E$477)))</f>
        <v/>
      </c>
      <c r="B475" s="44">
        <f>IF(_calc!$E$477="","",IF(ISNUMBER(INDEX('Licences'!$J$4:$J$503,_calc!$E$477)),TEXT(INDEX('Licences'!$J$4:$J$503,_calc!$E$477),"yyyy-mm-dd"),""))</f>
        <v/>
      </c>
      <c r="C475" s="44">
        <f>IF(_calc!$E$477="","",IF(LEN(INDEX('Licences'!$B$4:$B$503,_calc!$E$477))=0,"",INDEX('Licences'!$B$4:$B$503,_calc!$E$477)))</f>
        <v/>
      </c>
      <c r="D475" s="44">
        <f>IF(_calc!$E$477="","",IF(ISNUMBER(INDEX('Licences'!$I$4:$I$503,_calc!$E$477)),TEXT(INDEX('Licences'!$I$4:$I$503,_calc!$E$477),"yyyy-mm-dd"),""))</f>
        <v/>
      </c>
      <c r="E475" s="44">
        <f>IF(_calc!$E$477="","",IF(LEN(INDEX('Licences'!$H$4:$H$503,_calc!$E$477))=0,"",INDEX('Licences'!$H$4:$H$503,_calc!$E$477)))</f>
        <v/>
      </c>
      <c r="F475" s="44">
        <f>IF(_calc!$E$477="","",TRIM(IF(LEN(IF(LEN(INDEX('Licences'!$D$4:$D$503,_calc!$E$477))=0,"",INDEX('Licences'!$D$4:$D$503,_calc!$E$477)))=0,"","Ref: "&amp;IF(LEN(INDEX('Licences'!$D$4:$D$503,_calc!$E$477))=0,"",INDEX('Licences'!$D$4:$D$503,_calc!$E$477))&amp;". ")&amp;IF(LEN(IF(LEN(INDEX('Licences'!$C$4:$C$503,_calc!$E$477))=0,"",INDEX('Licences'!$C$4:$C$503,_calc!$E$477)))=0,"","Issuer: "&amp;IF(LEN(INDEX('Licences'!$C$4:$C$503,_calc!$E$477))=0,"",INDEX('Licences'!$C$4:$C$503,_calc!$E$477))&amp;". ")&amp;IF(LEN(IF(LEN(INDEX('Licences'!$E$4:$E$503,_calc!$E$477))=0,"",INDEX('Licences'!$E$4:$E$503,_calc!$E$477)))=0,"","Site: "&amp;IF(LEN(INDEX('Licences'!$E$4:$E$503,_calc!$E$477))=0,"",INDEX('Licences'!$E$4:$E$503,_calc!$E$477))&amp;". ")&amp;IF(LEN(IF(LEN(INDEX('Licences'!$F$4:$F$503,_calc!$E$477))=0,"",INDEX('Licences'!$F$4:$F$503,_calc!$E$477)))=0,"","Owner: "&amp;IF(LEN(INDEX('Licences'!$F$4:$F$503,_calc!$E$477))=0,"",INDEX('Licences'!$F$4:$F$503,_calc!$E$477))&amp;". ")&amp;IF(LEN(IF(LEN(INDEX('Licences'!$R$4:$R$503,_calc!$E$477))=0,"",INDEX('Licences'!$R$4:$R$503,_calc!$E$477)))=0,"",IF(LEN(INDEX('Licences'!$R$4:$R$503,_calc!$E$477))=0,"",INDEX('Licences'!$R$4:$R$503,_calc!$E$477)))))</f>
        <v/>
      </c>
      <c r="G475" s="44">
        <f>IF(_calc!$E$477="","",IF(LEN(INDEX('Licences'!$Q$4:$Q$503,_calc!$E$477))=0,"",INDEX('Licences'!$Q$4:$Q$503,_calc!$E$477)))</f>
        <v/>
      </c>
      <c r="H475" s="44">
        <f>IF(_calc!$E$477="","",IF(LEN(INDEX('Licences'!$O$4:$O$503,_calc!$E$477))=0,"",INDEX('Licences'!$O$4:$O$503,_calc!$E$477)))</f>
        <v/>
      </c>
      <c r="I475" s="44">
        <f>IF(_calc!$E$477="","",IF(LEN(INDEX('Licences'!$P$4:$P$503,_calc!$E$477))=0,"",INDEX('Licences'!$P$4:$P$503,_calc!$E$477)))</f>
        <v/>
      </c>
      <c r="K475" s="44">
        <f>IF(_calc!$E$477="","",IF(LEN(INDEX('Licences'!$G$4:$G$503,_calc!$E$477))=0,"",INDEX('Licences'!$G$4:$G$503,_calc!$E$477)))</f>
        <v/>
      </c>
    </row>
    <row r="476">
      <c r="A476" s="44">
        <f>IF(_calc!$E$478="","",IF(LEN(INDEX('Licences'!$A$4:$A$503,_calc!$E$478))=0,"",INDEX('Licences'!$A$4:$A$503,_calc!$E$478)))</f>
        <v/>
      </c>
      <c r="B476" s="44">
        <f>IF(_calc!$E$478="","",IF(ISNUMBER(INDEX('Licences'!$J$4:$J$503,_calc!$E$478)),TEXT(INDEX('Licences'!$J$4:$J$503,_calc!$E$478),"yyyy-mm-dd"),""))</f>
        <v/>
      </c>
      <c r="C476" s="44">
        <f>IF(_calc!$E$478="","",IF(LEN(INDEX('Licences'!$B$4:$B$503,_calc!$E$478))=0,"",INDEX('Licences'!$B$4:$B$503,_calc!$E$478)))</f>
        <v/>
      </c>
      <c r="D476" s="44">
        <f>IF(_calc!$E$478="","",IF(ISNUMBER(INDEX('Licences'!$I$4:$I$503,_calc!$E$478)),TEXT(INDEX('Licences'!$I$4:$I$503,_calc!$E$478),"yyyy-mm-dd"),""))</f>
        <v/>
      </c>
      <c r="E476" s="44">
        <f>IF(_calc!$E$478="","",IF(LEN(INDEX('Licences'!$H$4:$H$503,_calc!$E$478))=0,"",INDEX('Licences'!$H$4:$H$503,_calc!$E$478)))</f>
        <v/>
      </c>
      <c r="F476" s="44">
        <f>IF(_calc!$E$478="","",TRIM(IF(LEN(IF(LEN(INDEX('Licences'!$D$4:$D$503,_calc!$E$478))=0,"",INDEX('Licences'!$D$4:$D$503,_calc!$E$478)))=0,"","Ref: "&amp;IF(LEN(INDEX('Licences'!$D$4:$D$503,_calc!$E$478))=0,"",INDEX('Licences'!$D$4:$D$503,_calc!$E$478))&amp;". ")&amp;IF(LEN(IF(LEN(INDEX('Licences'!$C$4:$C$503,_calc!$E$478))=0,"",INDEX('Licences'!$C$4:$C$503,_calc!$E$478)))=0,"","Issuer: "&amp;IF(LEN(INDEX('Licences'!$C$4:$C$503,_calc!$E$478))=0,"",INDEX('Licences'!$C$4:$C$503,_calc!$E$478))&amp;". ")&amp;IF(LEN(IF(LEN(INDEX('Licences'!$E$4:$E$503,_calc!$E$478))=0,"",INDEX('Licences'!$E$4:$E$503,_calc!$E$478)))=0,"","Site: "&amp;IF(LEN(INDEX('Licences'!$E$4:$E$503,_calc!$E$478))=0,"",INDEX('Licences'!$E$4:$E$503,_calc!$E$478))&amp;". ")&amp;IF(LEN(IF(LEN(INDEX('Licences'!$F$4:$F$503,_calc!$E$478))=0,"",INDEX('Licences'!$F$4:$F$503,_calc!$E$478)))=0,"","Owner: "&amp;IF(LEN(INDEX('Licences'!$F$4:$F$503,_calc!$E$478))=0,"",INDEX('Licences'!$F$4:$F$503,_calc!$E$478))&amp;". ")&amp;IF(LEN(IF(LEN(INDEX('Licences'!$R$4:$R$503,_calc!$E$478))=0,"",INDEX('Licences'!$R$4:$R$503,_calc!$E$478)))=0,"",IF(LEN(INDEX('Licences'!$R$4:$R$503,_calc!$E$478))=0,"",INDEX('Licences'!$R$4:$R$503,_calc!$E$478)))))</f>
        <v/>
      </c>
      <c r="G476" s="44">
        <f>IF(_calc!$E$478="","",IF(LEN(INDEX('Licences'!$Q$4:$Q$503,_calc!$E$478))=0,"",INDEX('Licences'!$Q$4:$Q$503,_calc!$E$478)))</f>
        <v/>
      </c>
      <c r="H476" s="44">
        <f>IF(_calc!$E$478="","",IF(LEN(INDEX('Licences'!$O$4:$O$503,_calc!$E$478))=0,"",INDEX('Licences'!$O$4:$O$503,_calc!$E$478)))</f>
        <v/>
      </c>
      <c r="I476" s="44">
        <f>IF(_calc!$E$478="","",IF(LEN(INDEX('Licences'!$P$4:$P$503,_calc!$E$478))=0,"",INDEX('Licences'!$P$4:$P$503,_calc!$E$478)))</f>
        <v/>
      </c>
      <c r="K476" s="44">
        <f>IF(_calc!$E$478="","",IF(LEN(INDEX('Licences'!$G$4:$G$503,_calc!$E$478))=0,"",INDEX('Licences'!$G$4:$G$503,_calc!$E$478)))</f>
        <v/>
      </c>
    </row>
    <row r="477">
      <c r="A477" s="44">
        <f>IF(_calc!$E$479="","",IF(LEN(INDEX('Licences'!$A$4:$A$503,_calc!$E$479))=0,"",INDEX('Licences'!$A$4:$A$503,_calc!$E$479)))</f>
        <v/>
      </c>
      <c r="B477" s="44">
        <f>IF(_calc!$E$479="","",IF(ISNUMBER(INDEX('Licences'!$J$4:$J$503,_calc!$E$479)),TEXT(INDEX('Licences'!$J$4:$J$503,_calc!$E$479),"yyyy-mm-dd"),""))</f>
        <v/>
      </c>
      <c r="C477" s="44">
        <f>IF(_calc!$E$479="","",IF(LEN(INDEX('Licences'!$B$4:$B$503,_calc!$E$479))=0,"",INDEX('Licences'!$B$4:$B$503,_calc!$E$479)))</f>
        <v/>
      </c>
      <c r="D477" s="44">
        <f>IF(_calc!$E$479="","",IF(ISNUMBER(INDEX('Licences'!$I$4:$I$503,_calc!$E$479)),TEXT(INDEX('Licences'!$I$4:$I$503,_calc!$E$479),"yyyy-mm-dd"),""))</f>
        <v/>
      </c>
      <c r="E477" s="44">
        <f>IF(_calc!$E$479="","",IF(LEN(INDEX('Licences'!$H$4:$H$503,_calc!$E$479))=0,"",INDEX('Licences'!$H$4:$H$503,_calc!$E$479)))</f>
        <v/>
      </c>
      <c r="F477" s="44">
        <f>IF(_calc!$E$479="","",TRIM(IF(LEN(IF(LEN(INDEX('Licences'!$D$4:$D$503,_calc!$E$479))=0,"",INDEX('Licences'!$D$4:$D$503,_calc!$E$479)))=0,"","Ref: "&amp;IF(LEN(INDEX('Licences'!$D$4:$D$503,_calc!$E$479))=0,"",INDEX('Licences'!$D$4:$D$503,_calc!$E$479))&amp;". ")&amp;IF(LEN(IF(LEN(INDEX('Licences'!$C$4:$C$503,_calc!$E$479))=0,"",INDEX('Licences'!$C$4:$C$503,_calc!$E$479)))=0,"","Issuer: "&amp;IF(LEN(INDEX('Licences'!$C$4:$C$503,_calc!$E$479))=0,"",INDEX('Licences'!$C$4:$C$503,_calc!$E$479))&amp;". ")&amp;IF(LEN(IF(LEN(INDEX('Licences'!$E$4:$E$503,_calc!$E$479))=0,"",INDEX('Licences'!$E$4:$E$503,_calc!$E$479)))=0,"","Site: "&amp;IF(LEN(INDEX('Licences'!$E$4:$E$503,_calc!$E$479))=0,"",INDEX('Licences'!$E$4:$E$503,_calc!$E$479))&amp;". ")&amp;IF(LEN(IF(LEN(INDEX('Licences'!$F$4:$F$503,_calc!$E$479))=0,"",INDEX('Licences'!$F$4:$F$503,_calc!$E$479)))=0,"","Owner: "&amp;IF(LEN(INDEX('Licences'!$F$4:$F$503,_calc!$E$479))=0,"",INDEX('Licences'!$F$4:$F$503,_calc!$E$479))&amp;". ")&amp;IF(LEN(IF(LEN(INDEX('Licences'!$R$4:$R$503,_calc!$E$479))=0,"",INDEX('Licences'!$R$4:$R$503,_calc!$E$479)))=0,"",IF(LEN(INDEX('Licences'!$R$4:$R$503,_calc!$E$479))=0,"",INDEX('Licences'!$R$4:$R$503,_calc!$E$479)))))</f>
        <v/>
      </c>
      <c r="G477" s="44">
        <f>IF(_calc!$E$479="","",IF(LEN(INDEX('Licences'!$Q$4:$Q$503,_calc!$E$479))=0,"",INDEX('Licences'!$Q$4:$Q$503,_calc!$E$479)))</f>
        <v/>
      </c>
      <c r="H477" s="44">
        <f>IF(_calc!$E$479="","",IF(LEN(INDEX('Licences'!$O$4:$O$503,_calc!$E$479))=0,"",INDEX('Licences'!$O$4:$O$503,_calc!$E$479)))</f>
        <v/>
      </c>
      <c r="I477" s="44">
        <f>IF(_calc!$E$479="","",IF(LEN(INDEX('Licences'!$P$4:$P$503,_calc!$E$479))=0,"",INDEX('Licences'!$P$4:$P$503,_calc!$E$479)))</f>
        <v/>
      </c>
      <c r="K477" s="44">
        <f>IF(_calc!$E$479="","",IF(LEN(INDEX('Licences'!$G$4:$G$503,_calc!$E$479))=0,"",INDEX('Licences'!$G$4:$G$503,_calc!$E$479)))</f>
        <v/>
      </c>
    </row>
    <row r="478">
      <c r="A478" s="44">
        <f>IF(_calc!$E$480="","",IF(LEN(INDEX('Licences'!$A$4:$A$503,_calc!$E$480))=0,"",INDEX('Licences'!$A$4:$A$503,_calc!$E$480)))</f>
        <v/>
      </c>
      <c r="B478" s="44">
        <f>IF(_calc!$E$480="","",IF(ISNUMBER(INDEX('Licences'!$J$4:$J$503,_calc!$E$480)),TEXT(INDEX('Licences'!$J$4:$J$503,_calc!$E$480),"yyyy-mm-dd"),""))</f>
        <v/>
      </c>
      <c r="C478" s="44">
        <f>IF(_calc!$E$480="","",IF(LEN(INDEX('Licences'!$B$4:$B$503,_calc!$E$480))=0,"",INDEX('Licences'!$B$4:$B$503,_calc!$E$480)))</f>
        <v/>
      </c>
      <c r="D478" s="44">
        <f>IF(_calc!$E$480="","",IF(ISNUMBER(INDEX('Licences'!$I$4:$I$503,_calc!$E$480)),TEXT(INDEX('Licences'!$I$4:$I$503,_calc!$E$480),"yyyy-mm-dd"),""))</f>
        <v/>
      </c>
      <c r="E478" s="44">
        <f>IF(_calc!$E$480="","",IF(LEN(INDEX('Licences'!$H$4:$H$503,_calc!$E$480))=0,"",INDEX('Licences'!$H$4:$H$503,_calc!$E$480)))</f>
        <v/>
      </c>
      <c r="F478" s="44">
        <f>IF(_calc!$E$480="","",TRIM(IF(LEN(IF(LEN(INDEX('Licences'!$D$4:$D$503,_calc!$E$480))=0,"",INDEX('Licences'!$D$4:$D$503,_calc!$E$480)))=0,"","Ref: "&amp;IF(LEN(INDEX('Licences'!$D$4:$D$503,_calc!$E$480))=0,"",INDEX('Licences'!$D$4:$D$503,_calc!$E$480))&amp;". ")&amp;IF(LEN(IF(LEN(INDEX('Licences'!$C$4:$C$503,_calc!$E$480))=0,"",INDEX('Licences'!$C$4:$C$503,_calc!$E$480)))=0,"","Issuer: "&amp;IF(LEN(INDEX('Licences'!$C$4:$C$503,_calc!$E$480))=0,"",INDEX('Licences'!$C$4:$C$503,_calc!$E$480))&amp;". ")&amp;IF(LEN(IF(LEN(INDEX('Licences'!$E$4:$E$503,_calc!$E$480))=0,"",INDEX('Licences'!$E$4:$E$503,_calc!$E$480)))=0,"","Site: "&amp;IF(LEN(INDEX('Licences'!$E$4:$E$503,_calc!$E$480))=0,"",INDEX('Licences'!$E$4:$E$503,_calc!$E$480))&amp;". ")&amp;IF(LEN(IF(LEN(INDEX('Licences'!$F$4:$F$503,_calc!$E$480))=0,"",INDEX('Licences'!$F$4:$F$503,_calc!$E$480)))=0,"","Owner: "&amp;IF(LEN(INDEX('Licences'!$F$4:$F$503,_calc!$E$480))=0,"",INDEX('Licences'!$F$4:$F$503,_calc!$E$480))&amp;". ")&amp;IF(LEN(IF(LEN(INDEX('Licences'!$R$4:$R$503,_calc!$E$480))=0,"",INDEX('Licences'!$R$4:$R$503,_calc!$E$480)))=0,"",IF(LEN(INDEX('Licences'!$R$4:$R$503,_calc!$E$480))=0,"",INDEX('Licences'!$R$4:$R$503,_calc!$E$480)))))</f>
        <v/>
      </c>
      <c r="G478" s="44">
        <f>IF(_calc!$E$480="","",IF(LEN(INDEX('Licences'!$Q$4:$Q$503,_calc!$E$480))=0,"",INDEX('Licences'!$Q$4:$Q$503,_calc!$E$480)))</f>
        <v/>
      </c>
      <c r="H478" s="44">
        <f>IF(_calc!$E$480="","",IF(LEN(INDEX('Licences'!$O$4:$O$503,_calc!$E$480))=0,"",INDEX('Licences'!$O$4:$O$503,_calc!$E$480)))</f>
        <v/>
      </c>
      <c r="I478" s="44">
        <f>IF(_calc!$E$480="","",IF(LEN(INDEX('Licences'!$P$4:$P$503,_calc!$E$480))=0,"",INDEX('Licences'!$P$4:$P$503,_calc!$E$480)))</f>
        <v/>
      </c>
      <c r="K478" s="44">
        <f>IF(_calc!$E$480="","",IF(LEN(INDEX('Licences'!$G$4:$G$503,_calc!$E$480))=0,"",INDEX('Licences'!$G$4:$G$503,_calc!$E$480)))</f>
        <v/>
      </c>
    </row>
    <row r="479">
      <c r="A479" s="44">
        <f>IF(_calc!$E$481="","",IF(LEN(INDEX('Licences'!$A$4:$A$503,_calc!$E$481))=0,"",INDEX('Licences'!$A$4:$A$503,_calc!$E$481)))</f>
        <v/>
      </c>
      <c r="B479" s="44">
        <f>IF(_calc!$E$481="","",IF(ISNUMBER(INDEX('Licences'!$J$4:$J$503,_calc!$E$481)),TEXT(INDEX('Licences'!$J$4:$J$503,_calc!$E$481),"yyyy-mm-dd"),""))</f>
        <v/>
      </c>
      <c r="C479" s="44">
        <f>IF(_calc!$E$481="","",IF(LEN(INDEX('Licences'!$B$4:$B$503,_calc!$E$481))=0,"",INDEX('Licences'!$B$4:$B$503,_calc!$E$481)))</f>
        <v/>
      </c>
      <c r="D479" s="44">
        <f>IF(_calc!$E$481="","",IF(ISNUMBER(INDEX('Licences'!$I$4:$I$503,_calc!$E$481)),TEXT(INDEX('Licences'!$I$4:$I$503,_calc!$E$481),"yyyy-mm-dd"),""))</f>
        <v/>
      </c>
      <c r="E479" s="44">
        <f>IF(_calc!$E$481="","",IF(LEN(INDEX('Licences'!$H$4:$H$503,_calc!$E$481))=0,"",INDEX('Licences'!$H$4:$H$503,_calc!$E$481)))</f>
        <v/>
      </c>
      <c r="F479" s="44">
        <f>IF(_calc!$E$481="","",TRIM(IF(LEN(IF(LEN(INDEX('Licences'!$D$4:$D$503,_calc!$E$481))=0,"",INDEX('Licences'!$D$4:$D$503,_calc!$E$481)))=0,"","Ref: "&amp;IF(LEN(INDEX('Licences'!$D$4:$D$503,_calc!$E$481))=0,"",INDEX('Licences'!$D$4:$D$503,_calc!$E$481))&amp;". ")&amp;IF(LEN(IF(LEN(INDEX('Licences'!$C$4:$C$503,_calc!$E$481))=0,"",INDEX('Licences'!$C$4:$C$503,_calc!$E$481)))=0,"","Issuer: "&amp;IF(LEN(INDEX('Licences'!$C$4:$C$503,_calc!$E$481))=0,"",INDEX('Licences'!$C$4:$C$503,_calc!$E$481))&amp;". ")&amp;IF(LEN(IF(LEN(INDEX('Licences'!$E$4:$E$503,_calc!$E$481))=0,"",INDEX('Licences'!$E$4:$E$503,_calc!$E$481)))=0,"","Site: "&amp;IF(LEN(INDEX('Licences'!$E$4:$E$503,_calc!$E$481))=0,"",INDEX('Licences'!$E$4:$E$503,_calc!$E$481))&amp;". ")&amp;IF(LEN(IF(LEN(INDEX('Licences'!$F$4:$F$503,_calc!$E$481))=0,"",INDEX('Licences'!$F$4:$F$503,_calc!$E$481)))=0,"","Owner: "&amp;IF(LEN(INDEX('Licences'!$F$4:$F$503,_calc!$E$481))=0,"",INDEX('Licences'!$F$4:$F$503,_calc!$E$481))&amp;". ")&amp;IF(LEN(IF(LEN(INDEX('Licences'!$R$4:$R$503,_calc!$E$481))=0,"",INDEX('Licences'!$R$4:$R$503,_calc!$E$481)))=0,"",IF(LEN(INDEX('Licences'!$R$4:$R$503,_calc!$E$481))=0,"",INDEX('Licences'!$R$4:$R$503,_calc!$E$481)))))</f>
        <v/>
      </c>
      <c r="G479" s="44">
        <f>IF(_calc!$E$481="","",IF(LEN(INDEX('Licences'!$Q$4:$Q$503,_calc!$E$481))=0,"",INDEX('Licences'!$Q$4:$Q$503,_calc!$E$481)))</f>
        <v/>
      </c>
      <c r="H479" s="44">
        <f>IF(_calc!$E$481="","",IF(LEN(INDEX('Licences'!$O$4:$O$503,_calc!$E$481))=0,"",INDEX('Licences'!$O$4:$O$503,_calc!$E$481)))</f>
        <v/>
      </c>
      <c r="I479" s="44">
        <f>IF(_calc!$E$481="","",IF(LEN(INDEX('Licences'!$P$4:$P$503,_calc!$E$481))=0,"",INDEX('Licences'!$P$4:$P$503,_calc!$E$481)))</f>
        <v/>
      </c>
      <c r="K479" s="44">
        <f>IF(_calc!$E$481="","",IF(LEN(INDEX('Licences'!$G$4:$G$503,_calc!$E$481))=0,"",INDEX('Licences'!$G$4:$G$503,_calc!$E$481)))</f>
        <v/>
      </c>
    </row>
    <row r="480">
      <c r="A480" s="44">
        <f>IF(_calc!$E$482="","",IF(LEN(INDEX('Licences'!$A$4:$A$503,_calc!$E$482))=0,"",INDEX('Licences'!$A$4:$A$503,_calc!$E$482)))</f>
        <v/>
      </c>
      <c r="B480" s="44">
        <f>IF(_calc!$E$482="","",IF(ISNUMBER(INDEX('Licences'!$J$4:$J$503,_calc!$E$482)),TEXT(INDEX('Licences'!$J$4:$J$503,_calc!$E$482),"yyyy-mm-dd"),""))</f>
        <v/>
      </c>
      <c r="C480" s="44">
        <f>IF(_calc!$E$482="","",IF(LEN(INDEX('Licences'!$B$4:$B$503,_calc!$E$482))=0,"",INDEX('Licences'!$B$4:$B$503,_calc!$E$482)))</f>
        <v/>
      </c>
      <c r="D480" s="44">
        <f>IF(_calc!$E$482="","",IF(ISNUMBER(INDEX('Licences'!$I$4:$I$503,_calc!$E$482)),TEXT(INDEX('Licences'!$I$4:$I$503,_calc!$E$482),"yyyy-mm-dd"),""))</f>
        <v/>
      </c>
      <c r="E480" s="44">
        <f>IF(_calc!$E$482="","",IF(LEN(INDEX('Licences'!$H$4:$H$503,_calc!$E$482))=0,"",INDEX('Licences'!$H$4:$H$503,_calc!$E$482)))</f>
        <v/>
      </c>
      <c r="F480" s="44">
        <f>IF(_calc!$E$482="","",TRIM(IF(LEN(IF(LEN(INDEX('Licences'!$D$4:$D$503,_calc!$E$482))=0,"",INDEX('Licences'!$D$4:$D$503,_calc!$E$482)))=0,"","Ref: "&amp;IF(LEN(INDEX('Licences'!$D$4:$D$503,_calc!$E$482))=0,"",INDEX('Licences'!$D$4:$D$503,_calc!$E$482))&amp;". ")&amp;IF(LEN(IF(LEN(INDEX('Licences'!$C$4:$C$503,_calc!$E$482))=0,"",INDEX('Licences'!$C$4:$C$503,_calc!$E$482)))=0,"","Issuer: "&amp;IF(LEN(INDEX('Licences'!$C$4:$C$503,_calc!$E$482))=0,"",INDEX('Licences'!$C$4:$C$503,_calc!$E$482))&amp;". ")&amp;IF(LEN(IF(LEN(INDEX('Licences'!$E$4:$E$503,_calc!$E$482))=0,"",INDEX('Licences'!$E$4:$E$503,_calc!$E$482)))=0,"","Site: "&amp;IF(LEN(INDEX('Licences'!$E$4:$E$503,_calc!$E$482))=0,"",INDEX('Licences'!$E$4:$E$503,_calc!$E$482))&amp;". ")&amp;IF(LEN(IF(LEN(INDEX('Licences'!$F$4:$F$503,_calc!$E$482))=0,"",INDEX('Licences'!$F$4:$F$503,_calc!$E$482)))=0,"","Owner: "&amp;IF(LEN(INDEX('Licences'!$F$4:$F$503,_calc!$E$482))=0,"",INDEX('Licences'!$F$4:$F$503,_calc!$E$482))&amp;". ")&amp;IF(LEN(IF(LEN(INDEX('Licences'!$R$4:$R$503,_calc!$E$482))=0,"",INDEX('Licences'!$R$4:$R$503,_calc!$E$482)))=0,"",IF(LEN(INDEX('Licences'!$R$4:$R$503,_calc!$E$482))=0,"",INDEX('Licences'!$R$4:$R$503,_calc!$E$482)))))</f>
        <v/>
      </c>
      <c r="G480" s="44">
        <f>IF(_calc!$E$482="","",IF(LEN(INDEX('Licences'!$Q$4:$Q$503,_calc!$E$482))=0,"",INDEX('Licences'!$Q$4:$Q$503,_calc!$E$482)))</f>
        <v/>
      </c>
      <c r="H480" s="44">
        <f>IF(_calc!$E$482="","",IF(LEN(INDEX('Licences'!$O$4:$O$503,_calc!$E$482))=0,"",INDEX('Licences'!$O$4:$O$503,_calc!$E$482)))</f>
        <v/>
      </c>
      <c r="I480" s="44">
        <f>IF(_calc!$E$482="","",IF(LEN(INDEX('Licences'!$P$4:$P$503,_calc!$E$482))=0,"",INDEX('Licences'!$P$4:$P$503,_calc!$E$482)))</f>
        <v/>
      </c>
      <c r="K480" s="44">
        <f>IF(_calc!$E$482="","",IF(LEN(INDEX('Licences'!$G$4:$G$503,_calc!$E$482))=0,"",INDEX('Licences'!$G$4:$G$503,_calc!$E$482)))</f>
        <v/>
      </c>
    </row>
    <row r="481">
      <c r="A481" s="44">
        <f>IF(_calc!$E$483="","",IF(LEN(INDEX('Licences'!$A$4:$A$503,_calc!$E$483))=0,"",INDEX('Licences'!$A$4:$A$503,_calc!$E$483)))</f>
        <v/>
      </c>
      <c r="B481" s="44">
        <f>IF(_calc!$E$483="","",IF(ISNUMBER(INDEX('Licences'!$J$4:$J$503,_calc!$E$483)),TEXT(INDEX('Licences'!$J$4:$J$503,_calc!$E$483),"yyyy-mm-dd"),""))</f>
        <v/>
      </c>
      <c r="C481" s="44">
        <f>IF(_calc!$E$483="","",IF(LEN(INDEX('Licences'!$B$4:$B$503,_calc!$E$483))=0,"",INDEX('Licences'!$B$4:$B$503,_calc!$E$483)))</f>
        <v/>
      </c>
      <c r="D481" s="44">
        <f>IF(_calc!$E$483="","",IF(ISNUMBER(INDEX('Licences'!$I$4:$I$503,_calc!$E$483)),TEXT(INDEX('Licences'!$I$4:$I$503,_calc!$E$483),"yyyy-mm-dd"),""))</f>
        <v/>
      </c>
      <c r="E481" s="44">
        <f>IF(_calc!$E$483="","",IF(LEN(INDEX('Licences'!$H$4:$H$503,_calc!$E$483))=0,"",INDEX('Licences'!$H$4:$H$503,_calc!$E$483)))</f>
        <v/>
      </c>
      <c r="F481" s="44">
        <f>IF(_calc!$E$483="","",TRIM(IF(LEN(IF(LEN(INDEX('Licences'!$D$4:$D$503,_calc!$E$483))=0,"",INDEX('Licences'!$D$4:$D$503,_calc!$E$483)))=0,"","Ref: "&amp;IF(LEN(INDEX('Licences'!$D$4:$D$503,_calc!$E$483))=0,"",INDEX('Licences'!$D$4:$D$503,_calc!$E$483))&amp;". ")&amp;IF(LEN(IF(LEN(INDEX('Licences'!$C$4:$C$503,_calc!$E$483))=0,"",INDEX('Licences'!$C$4:$C$503,_calc!$E$483)))=0,"","Issuer: "&amp;IF(LEN(INDEX('Licences'!$C$4:$C$503,_calc!$E$483))=0,"",INDEX('Licences'!$C$4:$C$503,_calc!$E$483))&amp;". ")&amp;IF(LEN(IF(LEN(INDEX('Licences'!$E$4:$E$503,_calc!$E$483))=0,"",INDEX('Licences'!$E$4:$E$503,_calc!$E$483)))=0,"","Site: "&amp;IF(LEN(INDEX('Licences'!$E$4:$E$503,_calc!$E$483))=0,"",INDEX('Licences'!$E$4:$E$503,_calc!$E$483))&amp;". ")&amp;IF(LEN(IF(LEN(INDEX('Licences'!$F$4:$F$503,_calc!$E$483))=0,"",INDEX('Licences'!$F$4:$F$503,_calc!$E$483)))=0,"","Owner: "&amp;IF(LEN(INDEX('Licences'!$F$4:$F$503,_calc!$E$483))=0,"",INDEX('Licences'!$F$4:$F$503,_calc!$E$483))&amp;". ")&amp;IF(LEN(IF(LEN(INDEX('Licences'!$R$4:$R$503,_calc!$E$483))=0,"",INDEX('Licences'!$R$4:$R$503,_calc!$E$483)))=0,"",IF(LEN(INDEX('Licences'!$R$4:$R$503,_calc!$E$483))=0,"",INDEX('Licences'!$R$4:$R$503,_calc!$E$483)))))</f>
        <v/>
      </c>
      <c r="G481" s="44">
        <f>IF(_calc!$E$483="","",IF(LEN(INDEX('Licences'!$Q$4:$Q$503,_calc!$E$483))=0,"",INDEX('Licences'!$Q$4:$Q$503,_calc!$E$483)))</f>
        <v/>
      </c>
      <c r="H481" s="44">
        <f>IF(_calc!$E$483="","",IF(LEN(INDEX('Licences'!$O$4:$O$503,_calc!$E$483))=0,"",INDEX('Licences'!$O$4:$O$503,_calc!$E$483)))</f>
        <v/>
      </c>
      <c r="I481" s="44">
        <f>IF(_calc!$E$483="","",IF(LEN(INDEX('Licences'!$P$4:$P$503,_calc!$E$483))=0,"",INDEX('Licences'!$P$4:$P$503,_calc!$E$483)))</f>
        <v/>
      </c>
      <c r="K481" s="44">
        <f>IF(_calc!$E$483="","",IF(LEN(INDEX('Licences'!$G$4:$G$503,_calc!$E$483))=0,"",INDEX('Licences'!$G$4:$G$503,_calc!$E$483)))</f>
        <v/>
      </c>
    </row>
    <row r="482">
      <c r="A482" s="44">
        <f>IF(_calc!$E$484="","",IF(LEN(INDEX('Licences'!$A$4:$A$503,_calc!$E$484))=0,"",INDEX('Licences'!$A$4:$A$503,_calc!$E$484)))</f>
        <v/>
      </c>
      <c r="B482" s="44">
        <f>IF(_calc!$E$484="","",IF(ISNUMBER(INDEX('Licences'!$J$4:$J$503,_calc!$E$484)),TEXT(INDEX('Licences'!$J$4:$J$503,_calc!$E$484),"yyyy-mm-dd"),""))</f>
        <v/>
      </c>
      <c r="C482" s="44">
        <f>IF(_calc!$E$484="","",IF(LEN(INDEX('Licences'!$B$4:$B$503,_calc!$E$484))=0,"",INDEX('Licences'!$B$4:$B$503,_calc!$E$484)))</f>
        <v/>
      </c>
      <c r="D482" s="44">
        <f>IF(_calc!$E$484="","",IF(ISNUMBER(INDEX('Licences'!$I$4:$I$503,_calc!$E$484)),TEXT(INDEX('Licences'!$I$4:$I$503,_calc!$E$484),"yyyy-mm-dd"),""))</f>
        <v/>
      </c>
      <c r="E482" s="44">
        <f>IF(_calc!$E$484="","",IF(LEN(INDEX('Licences'!$H$4:$H$503,_calc!$E$484))=0,"",INDEX('Licences'!$H$4:$H$503,_calc!$E$484)))</f>
        <v/>
      </c>
      <c r="F482" s="44">
        <f>IF(_calc!$E$484="","",TRIM(IF(LEN(IF(LEN(INDEX('Licences'!$D$4:$D$503,_calc!$E$484))=0,"",INDEX('Licences'!$D$4:$D$503,_calc!$E$484)))=0,"","Ref: "&amp;IF(LEN(INDEX('Licences'!$D$4:$D$503,_calc!$E$484))=0,"",INDEX('Licences'!$D$4:$D$503,_calc!$E$484))&amp;". ")&amp;IF(LEN(IF(LEN(INDEX('Licences'!$C$4:$C$503,_calc!$E$484))=0,"",INDEX('Licences'!$C$4:$C$503,_calc!$E$484)))=0,"","Issuer: "&amp;IF(LEN(INDEX('Licences'!$C$4:$C$503,_calc!$E$484))=0,"",INDEX('Licences'!$C$4:$C$503,_calc!$E$484))&amp;". ")&amp;IF(LEN(IF(LEN(INDEX('Licences'!$E$4:$E$503,_calc!$E$484))=0,"",INDEX('Licences'!$E$4:$E$503,_calc!$E$484)))=0,"","Site: "&amp;IF(LEN(INDEX('Licences'!$E$4:$E$503,_calc!$E$484))=0,"",INDEX('Licences'!$E$4:$E$503,_calc!$E$484))&amp;". ")&amp;IF(LEN(IF(LEN(INDEX('Licences'!$F$4:$F$503,_calc!$E$484))=0,"",INDEX('Licences'!$F$4:$F$503,_calc!$E$484)))=0,"","Owner: "&amp;IF(LEN(INDEX('Licences'!$F$4:$F$503,_calc!$E$484))=0,"",INDEX('Licences'!$F$4:$F$503,_calc!$E$484))&amp;". ")&amp;IF(LEN(IF(LEN(INDEX('Licences'!$R$4:$R$503,_calc!$E$484))=0,"",INDEX('Licences'!$R$4:$R$503,_calc!$E$484)))=0,"",IF(LEN(INDEX('Licences'!$R$4:$R$503,_calc!$E$484))=0,"",INDEX('Licences'!$R$4:$R$503,_calc!$E$484)))))</f>
        <v/>
      </c>
      <c r="G482" s="44">
        <f>IF(_calc!$E$484="","",IF(LEN(INDEX('Licences'!$Q$4:$Q$503,_calc!$E$484))=0,"",INDEX('Licences'!$Q$4:$Q$503,_calc!$E$484)))</f>
        <v/>
      </c>
      <c r="H482" s="44">
        <f>IF(_calc!$E$484="","",IF(LEN(INDEX('Licences'!$O$4:$O$503,_calc!$E$484))=0,"",INDEX('Licences'!$O$4:$O$503,_calc!$E$484)))</f>
        <v/>
      </c>
      <c r="I482" s="44">
        <f>IF(_calc!$E$484="","",IF(LEN(INDEX('Licences'!$P$4:$P$503,_calc!$E$484))=0,"",INDEX('Licences'!$P$4:$P$503,_calc!$E$484)))</f>
        <v/>
      </c>
      <c r="K482" s="44">
        <f>IF(_calc!$E$484="","",IF(LEN(INDEX('Licences'!$G$4:$G$503,_calc!$E$484))=0,"",INDEX('Licences'!$G$4:$G$503,_calc!$E$484)))</f>
        <v/>
      </c>
    </row>
    <row r="483">
      <c r="A483" s="44">
        <f>IF(_calc!$E$485="","",IF(LEN(INDEX('Licences'!$A$4:$A$503,_calc!$E$485))=0,"",INDEX('Licences'!$A$4:$A$503,_calc!$E$485)))</f>
        <v/>
      </c>
      <c r="B483" s="44">
        <f>IF(_calc!$E$485="","",IF(ISNUMBER(INDEX('Licences'!$J$4:$J$503,_calc!$E$485)),TEXT(INDEX('Licences'!$J$4:$J$503,_calc!$E$485),"yyyy-mm-dd"),""))</f>
        <v/>
      </c>
      <c r="C483" s="44">
        <f>IF(_calc!$E$485="","",IF(LEN(INDEX('Licences'!$B$4:$B$503,_calc!$E$485))=0,"",INDEX('Licences'!$B$4:$B$503,_calc!$E$485)))</f>
        <v/>
      </c>
      <c r="D483" s="44">
        <f>IF(_calc!$E$485="","",IF(ISNUMBER(INDEX('Licences'!$I$4:$I$503,_calc!$E$485)),TEXT(INDEX('Licences'!$I$4:$I$503,_calc!$E$485),"yyyy-mm-dd"),""))</f>
        <v/>
      </c>
      <c r="E483" s="44">
        <f>IF(_calc!$E$485="","",IF(LEN(INDEX('Licences'!$H$4:$H$503,_calc!$E$485))=0,"",INDEX('Licences'!$H$4:$H$503,_calc!$E$485)))</f>
        <v/>
      </c>
      <c r="F483" s="44">
        <f>IF(_calc!$E$485="","",TRIM(IF(LEN(IF(LEN(INDEX('Licences'!$D$4:$D$503,_calc!$E$485))=0,"",INDEX('Licences'!$D$4:$D$503,_calc!$E$485)))=0,"","Ref: "&amp;IF(LEN(INDEX('Licences'!$D$4:$D$503,_calc!$E$485))=0,"",INDEX('Licences'!$D$4:$D$503,_calc!$E$485))&amp;". ")&amp;IF(LEN(IF(LEN(INDEX('Licences'!$C$4:$C$503,_calc!$E$485))=0,"",INDEX('Licences'!$C$4:$C$503,_calc!$E$485)))=0,"","Issuer: "&amp;IF(LEN(INDEX('Licences'!$C$4:$C$503,_calc!$E$485))=0,"",INDEX('Licences'!$C$4:$C$503,_calc!$E$485))&amp;". ")&amp;IF(LEN(IF(LEN(INDEX('Licences'!$E$4:$E$503,_calc!$E$485))=0,"",INDEX('Licences'!$E$4:$E$503,_calc!$E$485)))=0,"","Site: "&amp;IF(LEN(INDEX('Licences'!$E$4:$E$503,_calc!$E$485))=0,"",INDEX('Licences'!$E$4:$E$503,_calc!$E$485))&amp;". ")&amp;IF(LEN(IF(LEN(INDEX('Licences'!$F$4:$F$503,_calc!$E$485))=0,"",INDEX('Licences'!$F$4:$F$503,_calc!$E$485)))=0,"","Owner: "&amp;IF(LEN(INDEX('Licences'!$F$4:$F$503,_calc!$E$485))=0,"",INDEX('Licences'!$F$4:$F$503,_calc!$E$485))&amp;". ")&amp;IF(LEN(IF(LEN(INDEX('Licences'!$R$4:$R$503,_calc!$E$485))=0,"",INDEX('Licences'!$R$4:$R$503,_calc!$E$485)))=0,"",IF(LEN(INDEX('Licences'!$R$4:$R$503,_calc!$E$485))=0,"",INDEX('Licences'!$R$4:$R$503,_calc!$E$485)))))</f>
        <v/>
      </c>
      <c r="G483" s="44">
        <f>IF(_calc!$E$485="","",IF(LEN(INDEX('Licences'!$Q$4:$Q$503,_calc!$E$485))=0,"",INDEX('Licences'!$Q$4:$Q$503,_calc!$E$485)))</f>
        <v/>
      </c>
      <c r="H483" s="44">
        <f>IF(_calc!$E$485="","",IF(LEN(INDEX('Licences'!$O$4:$O$503,_calc!$E$485))=0,"",INDEX('Licences'!$O$4:$O$503,_calc!$E$485)))</f>
        <v/>
      </c>
      <c r="I483" s="44">
        <f>IF(_calc!$E$485="","",IF(LEN(INDEX('Licences'!$P$4:$P$503,_calc!$E$485))=0,"",INDEX('Licences'!$P$4:$P$503,_calc!$E$485)))</f>
        <v/>
      </c>
      <c r="K483" s="44">
        <f>IF(_calc!$E$485="","",IF(LEN(INDEX('Licences'!$G$4:$G$503,_calc!$E$485))=0,"",INDEX('Licences'!$G$4:$G$503,_calc!$E$485)))</f>
        <v/>
      </c>
    </row>
    <row r="484">
      <c r="A484" s="44">
        <f>IF(_calc!$E$486="","",IF(LEN(INDEX('Licences'!$A$4:$A$503,_calc!$E$486))=0,"",INDEX('Licences'!$A$4:$A$503,_calc!$E$486)))</f>
        <v/>
      </c>
      <c r="B484" s="44">
        <f>IF(_calc!$E$486="","",IF(ISNUMBER(INDEX('Licences'!$J$4:$J$503,_calc!$E$486)),TEXT(INDEX('Licences'!$J$4:$J$503,_calc!$E$486),"yyyy-mm-dd"),""))</f>
        <v/>
      </c>
      <c r="C484" s="44">
        <f>IF(_calc!$E$486="","",IF(LEN(INDEX('Licences'!$B$4:$B$503,_calc!$E$486))=0,"",INDEX('Licences'!$B$4:$B$503,_calc!$E$486)))</f>
        <v/>
      </c>
      <c r="D484" s="44">
        <f>IF(_calc!$E$486="","",IF(ISNUMBER(INDEX('Licences'!$I$4:$I$503,_calc!$E$486)),TEXT(INDEX('Licences'!$I$4:$I$503,_calc!$E$486),"yyyy-mm-dd"),""))</f>
        <v/>
      </c>
      <c r="E484" s="44">
        <f>IF(_calc!$E$486="","",IF(LEN(INDEX('Licences'!$H$4:$H$503,_calc!$E$486))=0,"",INDEX('Licences'!$H$4:$H$503,_calc!$E$486)))</f>
        <v/>
      </c>
      <c r="F484" s="44">
        <f>IF(_calc!$E$486="","",TRIM(IF(LEN(IF(LEN(INDEX('Licences'!$D$4:$D$503,_calc!$E$486))=0,"",INDEX('Licences'!$D$4:$D$503,_calc!$E$486)))=0,"","Ref: "&amp;IF(LEN(INDEX('Licences'!$D$4:$D$503,_calc!$E$486))=0,"",INDEX('Licences'!$D$4:$D$503,_calc!$E$486))&amp;". ")&amp;IF(LEN(IF(LEN(INDEX('Licences'!$C$4:$C$503,_calc!$E$486))=0,"",INDEX('Licences'!$C$4:$C$503,_calc!$E$486)))=0,"","Issuer: "&amp;IF(LEN(INDEX('Licences'!$C$4:$C$503,_calc!$E$486))=0,"",INDEX('Licences'!$C$4:$C$503,_calc!$E$486))&amp;". ")&amp;IF(LEN(IF(LEN(INDEX('Licences'!$E$4:$E$503,_calc!$E$486))=0,"",INDEX('Licences'!$E$4:$E$503,_calc!$E$486)))=0,"","Site: "&amp;IF(LEN(INDEX('Licences'!$E$4:$E$503,_calc!$E$486))=0,"",INDEX('Licences'!$E$4:$E$503,_calc!$E$486))&amp;". ")&amp;IF(LEN(IF(LEN(INDEX('Licences'!$F$4:$F$503,_calc!$E$486))=0,"",INDEX('Licences'!$F$4:$F$503,_calc!$E$486)))=0,"","Owner: "&amp;IF(LEN(INDEX('Licences'!$F$4:$F$503,_calc!$E$486))=0,"",INDEX('Licences'!$F$4:$F$503,_calc!$E$486))&amp;". ")&amp;IF(LEN(IF(LEN(INDEX('Licences'!$R$4:$R$503,_calc!$E$486))=0,"",INDEX('Licences'!$R$4:$R$503,_calc!$E$486)))=0,"",IF(LEN(INDEX('Licences'!$R$4:$R$503,_calc!$E$486))=0,"",INDEX('Licences'!$R$4:$R$503,_calc!$E$486)))))</f>
        <v/>
      </c>
      <c r="G484" s="44">
        <f>IF(_calc!$E$486="","",IF(LEN(INDEX('Licences'!$Q$4:$Q$503,_calc!$E$486))=0,"",INDEX('Licences'!$Q$4:$Q$503,_calc!$E$486)))</f>
        <v/>
      </c>
      <c r="H484" s="44">
        <f>IF(_calc!$E$486="","",IF(LEN(INDEX('Licences'!$O$4:$O$503,_calc!$E$486))=0,"",INDEX('Licences'!$O$4:$O$503,_calc!$E$486)))</f>
        <v/>
      </c>
      <c r="I484" s="44">
        <f>IF(_calc!$E$486="","",IF(LEN(INDEX('Licences'!$P$4:$P$503,_calc!$E$486))=0,"",INDEX('Licences'!$P$4:$P$503,_calc!$E$486)))</f>
        <v/>
      </c>
      <c r="K484" s="44">
        <f>IF(_calc!$E$486="","",IF(LEN(INDEX('Licences'!$G$4:$G$503,_calc!$E$486))=0,"",INDEX('Licences'!$G$4:$G$503,_calc!$E$486)))</f>
        <v/>
      </c>
    </row>
    <row r="485">
      <c r="A485" s="44">
        <f>IF(_calc!$E$487="","",IF(LEN(INDEX('Licences'!$A$4:$A$503,_calc!$E$487))=0,"",INDEX('Licences'!$A$4:$A$503,_calc!$E$487)))</f>
        <v/>
      </c>
      <c r="B485" s="44">
        <f>IF(_calc!$E$487="","",IF(ISNUMBER(INDEX('Licences'!$J$4:$J$503,_calc!$E$487)),TEXT(INDEX('Licences'!$J$4:$J$503,_calc!$E$487),"yyyy-mm-dd"),""))</f>
        <v/>
      </c>
      <c r="C485" s="44">
        <f>IF(_calc!$E$487="","",IF(LEN(INDEX('Licences'!$B$4:$B$503,_calc!$E$487))=0,"",INDEX('Licences'!$B$4:$B$503,_calc!$E$487)))</f>
        <v/>
      </c>
      <c r="D485" s="44">
        <f>IF(_calc!$E$487="","",IF(ISNUMBER(INDEX('Licences'!$I$4:$I$503,_calc!$E$487)),TEXT(INDEX('Licences'!$I$4:$I$503,_calc!$E$487),"yyyy-mm-dd"),""))</f>
        <v/>
      </c>
      <c r="E485" s="44">
        <f>IF(_calc!$E$487="","",IF(LEN(INDEX('Licences'!$H$4:$H$503,_calc!$E$487))=0,"",INDEX('Licences'!$H$4:$H$503,_calc!$E$487)))</f>
        <v/>
      </c>
      <c r="F485" s="44">
        <f>IF(_calc!$E$487="","",TRIM(IF(LEN(IF(LEN(INDEX('Licences'!$D$4:$D$503,_calc!$E$487))=0,"",INDEX('Licences'!$D$4:$D$503,_calc!$E$487)))=0,"","Ref: "&amp;IF(LEN(INDEX('Licences'!$D$4:$D$503,_calc!$E$487))=0,"",INDEX('Licences'!$D$4:$D$503,_calc!$E$487))&amp;". ")&amp;IF(LEN(IF(LEN(INDEX('Licences'!$C$4:$C$503,_calc!$E$487))=0,"",INDEX('Licences'!$C$4:$C$503,_calc!$E$487)))=0,"","Issuer: "&amp;IF(LEN(INDEX('Licences'!$C$4:$C$503,_calc!$E$487))=0,"",INDEX('Licences'!$C$4:$C$503,_calc!$E$487))&amp;". ")&amp;IF(LEN(IF(LEN(INDEX('Licences'!$E$4:$E$503,_calc!$E$487))=0,"",INDEX('Licences'!$E$4:$E$503,_calc!$E$487)))=0,"","Site: "&amp;IF(LEN(INDEX('Licences'!$E$4:$E$503,_calc!$E$487))=0,"",INDEX('Licences'!$E$4:$E$503,_calc!$E$487))&amp;". ")&amp;IF(LEN(IF(LEN(INDEX('Licences'!$F$4:$F$503,_calc!$E$487))=0,"",INDEX('Licences'!$F$4:$F$503,_calc!$E$487)))=0,"","Owner: "&amp;IF(LEN(INDEX('Licences'!$F$4:$F$503,_calc!$E$487))=0,"",INDEX('Licences'!$F$4:$F$503,_calc!$E$487))&amp;". ")&amp;IF(LEN(IF(LEN(INDEX('Licences'!$R$4:$R$503,_calc!$E$487))=0,"",INDEX('Licences'!$R$4:$R$503,_calc!$E$487)))=0,"",IF(LEN(INDEX('Licences'!$R$4:$R$503,_calc!$E$487))=0,"",INDEX('Licences'!$R$4:$R$503,_calc!$E$487)))))</f>
        <v/>
      </c>
      <c r="G485" s="44">
        <f>IF(_calc!$E$487="","",IF(LEN(INDEX('Licences'!$Q$4:$Q$503,_calc!$E$487))=0,"",INDEX('Licences'!$Q$4:$Q$503,_calc!$E$487)))</f>
        <v/>
      </c>
      <c r="H485" s="44">
        <f>IF(_calc!$E$487="","",IF(LEN(INDEX('Licences'!$O$4:$O$503,_calc!$E$487))=0,"",INDEX('Licences'!$O$4:$O$503,_calc!$E$487)))</f>
        <v/>
      </c>
      <c r="I485" s="44">
        <f>IF(_calc!$E$487="","",IF(LEN(INDEX('Licences'!$P$4:$P$503,_calc!$E$487))=0,"",INDEX('Licences'!$P$4:$P$503,_calc!$E$487)))</f>
        <v/>
      </c>
      <c r="K485" s="44">
        <f>IF(_calc!$E$487="","",IF(LEN(INDEX('Licences'!$G$4:$G$503,_calc!$E$487))=0,"",INDEX('Licences'!$G$4:$G$503,_calc!$E$487)))</f>
        <v/>
      </c>
    </row>
    <row r="486">
      <c r="A486" s="44">
        <f>IF(_calc!$E$488="","",IF(LEN(INDEX('Licences'!$A$4:$A$503,_calc!$E$488))=0,"",INDEX('Licences'!$A$4:$A$503,_calc!$E$488)))</f>
        <v/>
      </c>
      <c r="B486" s="44">
        <f>IF(_calc!$E$488="","",IF(ISNUMBER(INDEX('Licences'!$J$4:$J$503,_calc!$E$488)),TEXT(INDEX('Licences'!$J$4:$J$503,_calc!$E$488),"yyyy-mm-dd"),""))</f>
        <v/>
      </c>
      <c r="C486" s="44">
        <f>IF(_calc!$E$488="","",IF(LEN(INDEX('Licences'!$B$4:$B$503,_calc!$E$488))=0,"",INDEX('Licences'!$B$4:$B$503,_calc!$E$488)))</f>
        <v/>
      </c>
      <c r="D486" s="44">
        <f>IF(_calc!$E$488="","",IF(ISNUMBER(INDEX('Licences'!$I$4:$I$503,_calc!$E$488)),TEXT(INDEX('Licences'!$I$4:$I$503,_calc!$E$488),"yyyy-mm-dd"),""))</f>
        <v/>
      </c>
      <c r="E486" s="44">
        <f>IF(_calc!$E$488="","",IF(LEN(INDEX('Licences'!$H$4:$H$503,_calc!$E$488))=0,"",INDEX('Licences'!$H$4:$H$503,_calc!$E$488)))</f>
        <v/>
      </c>
      <c r="F486" s="44">
        <f>IF(_calc!$E$488="","",TRIM(IF(LEN(IF(LEN(INDEX('Licences'!$D$4:$D$503,_calc!$E$488))=0,"",INDEX('Licences'!$D$4:$D$503,_calc!$E$488)))=0,"","Ref: "&amp;IF(LEN(INDEX('Licences'!$D$4:$D$503,_calc!$E$488))=0,"",INDEX('Licences'!$D$4:$D$503,_calc!$E$488))&amp;". ")&amp;IF(LEN(IF(LEN(INDEX('Licences'!$C$4:$C$503,_calc!$E$488))=0,"",INDEX('Licences'!$C$4:$C$503,_calc!$E$488)))=0,"","Issuer: "&amp;IF(LEN(INDEX('Licences'!$C$4:$C$503,_calc!$E$488))=0,"",INDEX('Licences'!$C$4:$C$503,_calc!$E$488))&amp;". ")&amp;IF(LEN(IF(LEN(INDEX('Licences'!$E$4:$E$503,_calc!$E$488))=0,"",INDEX('Licences'!$E$4:$E$503,_calc!$E$488)))=0,"","Site: "&amp;IF(LEN(INDEX('Licences'!$E$4:$E$503,_calc!$E$488))=0,"",INDEX('Licences'!$E$4:$E$503,_calc!$E$488))&amp;". ")&amp;IF(LEN(IF(LEN(INDEX('Licences'!$F$4:$F$503,_calc!$E$488))=0,"",INDEX('Licences'!$F$4:$F$503,_calc!$E$488)))=0,"","Owner: "&amp;IF(LEN(INDEX('Licences'!$F$4:$F$503,_calc!$E$488))=0,"",INDEX('Licences'!$F$4:$F$503,_calc!$E$488))&amp;". ")&amp;IF(LEN(IF(LEN(INDEX('Licences'!$R$4:$R$503,_calc!$E$488))=0,"",INDEX('Licences'!$R$4:$R$503,_calc!$E$488)))=0,"",IF(LEN(INDEX('Licences'!$R$4:$R$503,_calc!$E$488))=0,"",INDEX('Licences'!$R$4:$R$503,_calc!$E$488)))))</f>
        <v/>
      </c>
      <c r="G486" s="44">
        <f>IF(_calc!$E$488="","",IF(LEN(INDEX('Licences'!$Q$4:$Q$503,_calc!$E$488))=0,"",INDEX('Licences'!$Q$4:$Q$503,_calc!$E$488)))</f>
        <v/>
      </c>
      <c r="H486" s="44">
        <f>IF(_calc!$E$488="","",IF(LEN(INDEX('Licences'!$O$4:$O$503,_calc!$E$488))=0,"",INDEX('Licences'!$O$4:$O$503,_calc!$E$488)))</f>
        <v/>
      </c>
      <c r="I486" s="44">
        <f>IF(_calc!$E$488="","",IF(LEN(INDEX('Licences'!$P$4:$P$503,_calc!$E$488))=0,"",INDEX('Licences'!$P$4:$P$503,_calc!$E$488)))</f>
        <v/>
      </c>
      <c r="K486" s="44">
        <f>IF(_calc!$E$488="","",IF(LEN(INDEX('Licences'!$G$4:$G$503,_calc!$E$488))=0,"",INDEX('Licences'!$G$4:$G$503,_calc!$E$488)))</f>
        <v/>
      </c>
    </row>
    <row r="487">
      <c r="A487" s="44">
        <f>IF(_calc!$E$489="","",IF(LEN(INDEX('Licences'!$A$4:$A$503,_calc!$E$489))=0,"",INDEX('Licences'!$A$4:$A$503,_calc!$E$489)))</f>
        <v/>
      </c>
      <c r="B487" s="44">
        <f>IF(_calc!$E$489="","",IF(ISNUMBER(INDEX('Licences'!$J$4:$J$503,_calc!$E$489)),TEXT(INDEX('Licences'!$J$4:$J$503,_calc!$E$489),"yyyy-mm-dd"),""))</f>
        <v/>
      </c>
      <c r="C487" s="44">
        <f>IF(_calc!$E$489="","",IF(LEN(INDEX('Licences'!$B$4:$B$503,_calc!$E$489))=0,"",INDEX('Licences'!$B$4:$B$503,_calc!$E$489)))</f>
        <v/>
      </c>
      <c r="D487" s="44">
        <f>IF(_calc!$E$489="","",IF(ISNUMBER(INDEX('Licences'!$I$4:$I$503,_calc!$E$489)),TEXT(INDEX('Licences'!$I$4:$I$503,_calc!$E$489),"yyyy-mm-dd"),""))</f>
        <v/>
      </c>
      <c r="E487" s="44">
        <f>IF(_calc!$E$489="","",IF(LEN(INDEX('Licences'!$H$4:$H$503,_calc!$E$489))=0,"",INDEX('Licences'!$H$4:$H$503,_calc!$E$489)))</f>
        <v/>
      </c>
      <c r="F487" s="44">
        <f>IF(_calc!$E$489="","",TRIM(IF(LEN(IF(LEN(INDEX('Licences'!$D$4:$D$503,_calc!$E$489))=0,"",INDEX('Licences'!$D$4:$D$503,_calc!$E$489)))=0,"","Ref: "&amp;IF(LEN(INDEX('Licences'!$D$4:$D$503,_calc!$E$489))=0,"",INDEX('Licences'!$D$4:$D$503,_calc!$E$489))&amp;". ")&amp;IF(LEN(IF(LEN(INDEX('Licences'!$C$4:$C$503,_calc!$E$489))=0,"",INDEX('Licences'!$C$4:$C$503,_calc!$E$489)))=0,"","Issuer: "&amp;IF(LEN(INDEX('Licences'!$C$4:$C$503,_calc!$E$489))=0,"",INDEX('Licences'!$C$4:$C$503,_calc!$E$489))&amp;". ")&amp;IF(LEN(IF(LEN(INDEX('Licences'!$E$4:$E$503,_calc!$E$489))=0,"",INDEX('Licences'!$E$4:$E$503,_calc!$E$489)))=0,"","Site: "&amp;IF(LEN(INDEX('Licences'!$E$4:$E$503,_calc!$E$489))=0,"",INDEX('Licences'!$E$4:$E$503,_calc!$E$489))&amp;". ")&amp;IF(LEN(IF(LEN(INDEX('Licences'!$F$4:$F$503,_calc!$E$489))=0,"",INDEX('Licences'!$F$4:$F$503,_calc!$E$489)))=0,"","Owner: "&amp;IF(LEN(INDEX('Licences'!$F$4:$F$503,_calc!$E$489))=0,"",INDEX('Licences'!$F$4:$F$503,_calc!$E$489))&amp;". ")&amp;IF(LEN(IF(LEN(INDEX('Licences'!$R$4:$R$503,_calc!$E$489))=0,"",INDEX('Licences'!$R$4:$R$503,_calc!$E$489)))=0,"",IF(LEN(INDEX('Licences'!$R$4:$R$503,_calc!$E$489))=0,"",INDEX('Licences'!$R$4:$R$503,_calc!$E$489)))))</f>
        <v/>
      </c>
      <c r="G487" s="44">
        <f>IF(_calc!$E$489="","",IF(LEN(INDEX('Licences'!$Q$4:$Q$503,_calc!$E$489))=0,"",INDEX('Licences'!$Q$4:$Q$503,_calc!$E$489)))</f>
        <v/>
      </c>
      <c r="H487" s="44">
        <f>IF(_calc!$E$489="","",IF(LEN(INDEX('Licences'!$O$4:$O$503,_calc!$E$489))=0,"",INDEX('Licences'!$O$4:$O$503,_calc!$E$489)))</f>
        <v/>
      </c>
      <c r="I487" s="44">
        <f>IF(_calc!$E$489="","",IF(LEN(INDEX('Licences'!$P$4:$P$503,_calc!$E$489))=0,"",INDEX('Licences'!$P$4:$P$503,_calc!$E$489)))</f>
        <v/>
      </c>
      <c r="K487" s="44">
        <f>IF(_calc!$E$489="","",IF(LEN(INDEX('Licences'!$G$4:$G$503,_calc!$E$489))=0,"",INDEX('Licences'!$G$4:$G$503,_calc!$E$489)))</f>
        <v/>
      </c>
    </row>
    <row r="488">
      <c r="A488" s="44">
        <f>IF(_calc!$E$490="","",IF(LEN(INDEX('Licences'!$A$4:$A$503,_calc!$E$490))=0,"",INDEX('Licences'!$A$4:$A$503,_calc!$E$490)))</f>
        <v/>
      </c>
      <c r="B488" s="44">
        <f>IF(_calc!$E$490="","",IF(ISNUMBER(INDEX('Licences'!$J$4:$J$503,_calc!$E$490)),TEXT(INDEX('Licences'!$J$4:$J$503,_calc!$E$490),"yyyy-mm-dd"),""))</f>
        <v/>
      </c>
      <c r="C488" s="44">
        <f>IF(_calc!$E$490="","",IF(LEN(INDEX('Licences'!$B$4:$B$503,_calc!$E$490))=0,"",INDEX('Licences'!$B$4:$B$503,_calc!$E$490)))</f>
        <v/>
      </c>
      <c r="D488" s="44">
        <f>IF(_calc!$E$490="","",IF(ISNUMBER(INDEX('Licences'!$I$4:$I$503,_calc!$E$490)),TEXT(INDEX('Licences'!$I$4:$I$503,_calc!$E$490),"yyyy-mm-dd"),""))</f>
        <v/>
      </c>
      <c r="E488" s="44">
        <f>IF(_calc!$E$490="","",IF(LEN(INDEX('Licences'!$H$4:$H$503,_calc!$E$490))=0,"",INDEX('Licences'!$H$4:$H$503,_calc!$E$490)))</f>
        <v/>
      </c>
      <c r="F488" s="44">
        <f>IF(_calc!$E$490="","",TRIM(IF(LEN(IF(LEN(INDEX('Licences'!$D$4:$D$503,_calc!$E$490))=0,"",INDEX('Licences'!$D$4:$D$503,_calc!$E$490)))=0,"","Ref: "&amp;IF(LEN(INDEX('Licences'!$D$4:$D$503,_calc!$E$490))=0,"",INDEX('Licences'!$D$4:$D$503,_calc!$E$490))&amp;". ")&amp;IF(LEN(IF(LEN(INDEX('Licences'!$C$4:$C$503,_calc!$E$490))=0,"",INDEX('Licences'!$C$4:$C$503,_calc!$E$490)))=0,"","Issuer: "&amp;IF(LEN(INDEX('Licences'!$C$4:$C$503,_calc!$E$490))=0,"",INDEX('Licences'!$C$4:$C$503,_calc!$E$490))&amp;". ")&amp;IF(LEN(IF(LEN(INDEX('Licences'!$E$4:$E$503,_calc!$E$490))=0,"",INDEX('Licences'!$E$4:$E$503,_calc!$E$490)))=0,"","Site: "&amp;IF(LEN(INDEX('Licences'!$E$4:$E$503,_calc!$E$490))=0,"",INDEX('Licences'!$E$4:$E$503,_calc!$E$490))&amp;". ")&amp;IF(LEN(IF(LEN(INDEX('Licences'!$F$4:$F$503,_calc!$E$490))=0,"",INDEX('Licences'!$F$4:$F$503,_calc!$E$490)))=0,"","Owner: "&amp;IF(LEN(INDEX('Licences'!$F$4:$F$503,_calc!$E$490))=0,"",INDEX('Licences'!$F$4:$F$503,_calc!$E$490))&amp;". ")&amp;IF(LEN(IF(LEN(INDEX('Licences'!$R$4:$R$503,_calc!$E$490))=0,"",INDEX('Licences'!$R$4:$R$503,_calc!$E$490)))=0,"",IF(LEN(INDEX('Licences'!$R$4:$R$503,_calc!$E$490))=0,"",INDEX('Licences'!$R$4:$R$503,_calc!$E$490)))))</f>
        <v/>
      </c>
      <c r="G488" s="44">
        <f>IF(_calc!$E$490="","",IF(LEN(INDEX('Licences'!$Q$4:$Q$503,_calc!$E$490))=0,"",INDEX('Licences'!$Q$4:$Q$503,_calc!$E$490)))</f>
        <v/>
      </c>
      <c r="H488" s="44">
        <f>IF(_calc!$E$490="","",IF(LEN(INDEX('Licences'!$O$4:$O$503,_calc!$E$490))=0,"",INDEX('Licences'!$O$4:$O$503,_calc!$E$490)))</f>
        <v/>
      </c>
      <c r="I488" s="44">
        <f>IF(_calc!$E$490="","",IF(LEN(INDEX('Licences'!$P$4:$P$503,_calc!$E$490))=0,"",INDEX('Licences'!$P$4:$P$503,_calc!$E$490)))</f>
        <v/>
      </c>
      <c r="K488" s="44">
        <f>IF(_calc!$E$490="","",IF(LEN(INDEX('Licences'!$G$4:$G$503,_calc!$E$490))=0,"",INDEX('Licences'!$G$4:$G$503,_calc!$E$490)))</f>
        <v/>
      </c>
    </row>
    <row r="489">
      <c r="A489" s="44">
        <f>IF(_calc!$E$491="","",IF(LEN(INDEX('Licences'!$A$4:$A$503,_calc!$E$491))=0,"",INDEX('Licences'!$A$4:$A$503,_calc!$E$491)))</f>
        <v/>
      </c>
      <c r="B489" s="44">
        <f>IF(_calc!$E$491="","",IF(ISNUMBER(INDEX('Licences'!$J$4:$J$503,_calc!$E$491)),TEXT(INDEX('Licences'!$J$4:$J$503,_calc!$E$491),"yyyy-mm-dd"),""))</f>
        <v/>
      </c>
      <c r="C489" s="44">
        <f>IF(_calc!$E$491="","",IF(LEN(INDEX('Licences'!$B$4:$B$503,_calc!$E$491))=0,"",INDEX('Licences'!$B$4:$B$503,_calc!$E$491)))</f>
        <v/>
      </c>
      <c r="D489" s="44">
        <f>IF(_calc!$E$491="","",IF(ISNUMBER(INDEX('Licences'!$I$4:$I$503,_calc!$E$491)),TEXT(INDEX('Licences'!$I$4:$I$503,_calc!$E$491),"yyyy-mm-dd"),""))</f>
        <v/>
      </c>
      <c r="E489" s="44">
        <f>IF(_calc!$E$491="","",IF(LEN(INDEX('Licences'!$H$4:$H$503,_calc!$E$491))=0,"",INDEX('Licences'!$H$4:$H$503,_calc!$E$491)))</f>
        <v/>
      </c>
      <c r="F489" s="44">
        <f>IF(_calc!$E$491="","",TRIM(IF(LEN(IF(LEN(INDEX('Licences'!$D$4:$D$503,_calc!$E$491))=0,"",INDEX('Licences'!$D$4:$D$503,_calc!$E$491)))=0,"","Ref: "&amp;IF(LEN(INDEX('Licences'!$D$4:$D$503,_calc!$E$491))=0,"",INDEX('Licences'!$D$4:$D$503,_calc!$E$491))&amp;". ")&amp;IF(LEN(IF(LEN(INDEX('Licences'!$C$4:$C$503,_calc!$E$491))=0,"",INDEX('Licences'!$C$4:$C$503,_calc!$E$491)))=0,"","Issuer: "&amp;IF(LEN(INDEX('Licences'!$C$4:$C$503,_calc!$E$491))=0,"",INDEX('Licences'!$C$4:$C$503,_calc!$E$491))&amp;". ")&amp;IF(LEN(IF(LEN(INDEX('Licences'!$E$4:$E$503,_calc!$E$491))=0,"",INDEX('Licences'!$E$4:$E$503,_calc!$E$491)))=0,"","Site: "&amp;IF(LEN(INDEX('Licences'!$E$4:$E$503,_calc!$E$491))=0,"",INDEX('Licences'!$E$4:$E$503,_calc!$E$491))&amp;". ")&amp;IF(LEN(IF(LEN(INDEX('Licences'!$F$4:$F$503,_calc!$E$491))=0,"",INDEX('Licences'!$F$4:$F$503,_calc!$E$491)))=0,"","Owner: "&amp;IF(LEN(INDEX('Licences'!$F$4:$F$503,_calc!$E$491))=0,"",INDEX('Licences'!$F$4:$F$503,_calc!$E$491))&amp;". ")&amp;IF(LEN(IF(LEN(INDEX('Licences'!$R$4:$R$503,_calc!$E$491))=0,"",INDEX('Licences'!$R$4:$R$503,_calc!$E$491)))=0,"",IF(LEN(INDEX('Licences'!$R$4:$R$503,_calc!$E$491))=0,"",INDEX('Licences'!$R$4:$R$503,_calc!$E$491)))))</f>
        <v/>
      </c>
      <c r="G489" s="44">
        <f>IF(_calc!$E$491="","",IF(LEN(INDEX('Licences'!$Q$4:$Q$503,_calc!$E$491))=0,"",INDEX('Licences'!$Q$4:$Q$503,_calc!$E$491)))</f>
        <v/>
      </c>
      <c r="H489" s="44">
        <f>IF(_calc!$E$491="","",IF(LEN(INDEX('Licences'!$O$4:$O$503,_calc!$E$491))=0,"",INDEX('Licences'!$O$4:$O$503,_calc!$E$491)))</f>
        <v/>
      </c>
      <c r="I489" s="44">
        <f>IF(_calc!$E$491="","",IF(LEN(INDEX('Licences'!$P$4:$P$503,_calc!$E$491))=0,"",INDEX('Licences'!$P$4:$P$503,_calc!$E$491)))</f>
        <v/>
      </c>
      <c r="K489" s="44">
        <f>IF(_calc!$E$491="","",IF(LEN(INDEX('Licences'!$G$4:$G$503,_calc!$E$491))=0,"",INDEX('Licences'!$G$4:$G$503,_calc!$E$491)))</f>
        <v/>
      </c>
    </row>
    <row r="490">
      <c r="A490" s="44">
        <f>IF(_calc!$E$492="","",IF(LEN(INDEX('Licences'!$A$4:$A$503,_calc!$E$492))=0,"",INDEX('Licences'!$A$4:$A$503,_calc!$E$492)))</f>
        <v/>
      </c>
      <c r="B490" s="44">
        <f>IF(_calc!$E$492="","",IF(ISNUMBER(INDEX('Licences'!$J$4:$J$503,_calc!$E$492)),TEXT(INDEX('Licences'!$J$4:$J$503,_calc!$E$492),"yyyy-mm-dd"),""))</f>
        <v/>
      </c>
      <c r="C490" s="44">
        <f>IF(_calc!$E$492="","",IF(LEN(INDEX('Licences'!$B$4:$B$503,_calc!$E$492))=0,"",INDEX('Licences'!$B$4:$B$503,_calc!$E$492)))</f>
        <v/>
      </c>
      <c r="D490" s="44">
        <f>IF(_calc!$E$492="","",IF(ISNUMBER(INDEX('Licences'!$I$4:$I$503,_calc!$E$492)),TEXT(INDEX('Licences'!$I$4:$I$503,_calc!$E$492),"yyyy-mm-dd"),""))</f>
        <v/>
      </c>
      <c r="E490" s="44">
        <f>IF(_calc!$E$492="","",IF(LEN(INDEX('Licences'!$H$4:$H$503,_calc!$E$492))=0,"",INDEX('Licences'!$H$4:$H$503,_calc!$E$492)))</f>
        <v/>
      </c>
      <c r="F490" s="44">
        <f>IF(_calc!$E$492="","",TRIM(IF(LEN(IF(LEN(INDEX('Licences'!$D$4:$D$503,_calc!$E$492))=0,"",INDEX('Licences'!$D$4:$D$503,_calc!$E$492)))=0,"","Ref: "&amp;IF(LEN(INDEX('Licences'!$D$4:$D$503,_calc!$E$492))=0,"",INDEX('Licences'!$D$4:$D$503,_calc!$E$492))&amp;". ")&amp;IF(LEN(IF(LEN(INDEX('Licences'!$C$4:$C$503,_calc!$E$492))=0,"",INDEX('Licences'!$C$4:$C$503,_calc!$E$492)))=0,"","Issuer: "&amp;IF(LEN(INDEX('Licences'!$C$4:$C$503,_calc!$E$492))=0,"",INDEX('Licences'!$C$4:$C$503,_calc!$E$492))&amp;". ")&amp;IF(LEN(IF(LEN(INDEX('Licences'!$E$4:$E$503,_calc!$E$492))=0,"",INDEX('Licences'!$E$4:$E$503,_calc!$E$492)))=0,"","Site: "&amp;IF(LEN(INDEX('Licences'!$E$4:$E$503,_calc!$E$492))=0,"",INDEX('Licences'!$E$4:$E$503,_calc!$E$492))&amp;". ")&amp;IF(LEN(IF(LEN(INDEX('Licences'!$F$4:$F$503,_calc!$E$492))=0,"",INDEX('Licences'!$F$4:$F$503,_calc!$E$492)))=0,"","Owner: "&amp;IF(LEN(INDEX('Licences'!$F$4:$F$503,_calc!$E$492))=0,"",INDEX('Licences'!$F$4:$F$503,_calc!$E$492))&amp;". ")&amp;IF(LEN(IF(LEN(INDEX('Licences'!$R$4:$R$503,_calc!$E$492))=0,"",INDEX('Licences'!$R$4:$R$503,_calc!$E$492)))=0,"",IF(LEN(INDEX('Licences'!$R$4:$R$503,_calc!$E$492))=0,"",INDEX('Licences'!$R$4:$R$503,_calc!$E$492)))))</f>
        <v/>
      </c>
      <c r="G490" s="44">
        <f>IF(_calc!$E$492="","",IF(LEN(INDEX('Licences'!$Q$4:$Q$503,_calc!$E$492))=0,"",INDEX('Licences'!$Q$4:$Q$503,_calc!$E$492)))</f>
        <v/>
      </c>
      <c r="H490" s="44">
        <f>IF(_calc!$E$492="","",IF(LEN(INDEX('Licences'!$O$4:$O$503,_calc!$E$492))=0,"",INDEX('Licences'!$O$4:$O$503,_calc!$E$492)))</f>
        <v/>
      </c>
      <c r="I490" s="44">
        <f>IF(_calc!$E$492="","",IF(LEN(INDEX('Licences'!$P$4:$P$503,_calc!$E$492))=0,"",INDEX('Licences'!$P$4:$P$503,_calc!$E$492)))</f>
        <v/>
      </c>
      <c r="K490" s="44">
        <f>IF(_calc!$E$492="","",IF(LEN(INDEX('Licences'!$G$4:$G$503,_calc!$E$492))=0,"",INDEX('Licences'!$G$4:$G$503,_calc!$E$492)))</f>
        <v/>
      </c>
    </row>
    <row r="491">
      <c r="A491" s="44">
        <f>IF(_calc!$E$493="","",IF(LEN(INDEX('Licences'!$A$4:$A$503,_calc!$E$493))=0,"",INDEX('Licences'!$A$4:$A$503,_calc!$E$493)))</f>
        <v/>
      </c>
      <c r="B491" s="44">
        <f>IF(_calc!$E$493="","",IF(ISNUMBER(INDEX('Licences'!$J$4:$J$503,_calc!$E$493)),TEXT(INDEX('Licences'!$J$4:$J$503,_calc!$E$493),"yyyy-mm-dd"),""))</f>
        <v/>
      </c>
      <c r="C491" s="44">
        <f>IF(_calc!$E$493="","",IF(LEN(INDEX('Licences'!$B$4:$B$503,_calc!$E$493))=0,"",INDEX('Licences'!$B$4:$B$503,_calc!$E$493)))</f>
        <v/>
      </c>
      <c r="D491" s="44">
        <f>IF(_calc!$E$493="","",IF(ISNUMBER(INDEX('Licences'!$I$4:$I$503,_calc!$E$493)),TEXT(INDEX('Licences'!$I$4:$I$503,_calc!$E$493),"yyyy-mm-dd"),""))</f>
        <v/>
      </c>
      <c r="E491" s="44">
        <f>IF(_calc!$E$493="","",IF(LEN(INDEX('Licences'!$H$4:$H$503,_calc!$E$493))=0,"",INDEX('Licences'!$H$4:$H$503,_calc!$E$493)))</f>
        <v/>
      </c>
      <c r="F491" s="44">
        <f>IF(_calc!$E$493="","",TRIM(IF(LEN(IF(LEN(INDEX('Licences'!$D$4:$D$503,_calc!$E$493))=0,"",INDEX('Licences'!$D$4:$D$503,_calc!$E$493)))=0,"","Ref: "&amp;IF(LEN(INDEX('Licences'!$D$4:$D$503,_calc!$E$493))=0,"",INDEX('Licences'!$D$4:$D$503,_calc!$E$493))&amp;". ")&amp;IF(LEN(IF(LEN(INDEX('Licences'!$C$4:$C$503,_calc!$E$493))=0,"",INDEX('Licences'!$C$4:$C$503,_calc!$E$493)))=0,"","Issuer: "&amp;IF(LEN(INDEX('Licences'!$C$4:$C$503,_calc!$E$493))=0,"",INDEX('Licences'!$C$4:$C$503,_calc!$E$493))&amp;". ")&amp;IF(LEN(IF(LEN(INDEX('Licences'!$E$4:$E$503,_calc!$E$493))=0,"",INDEX('Licences'!$E$4:$E$503,_calc!$E$493)))=0,"","Site: "&amp;IF(LEN(INDEX('Licences'!$E$4:$E$503,_calc!$E$493))=0,"",INDEX('Licences'!$E$4:$E$503,_calc!$E$493))&amp;". ")&amp;IF(LEN(IF(LEN(INDEX('Licences'!$F$4:$F$503,_calc!$E$493))=0,"",INDEX('Licences'!$F$4:$F$503,_calc!$E$493)))=0,"","Owner: "&amp;IF(LEN(INDEX('Licences'!$F$4:$F$503,_calc!$E$493))=0,"",INDEX('Licences'!$F$4:$F$503,_calc!$E$493))&amp;". ")&amp;IF(LEN(IF(LEN(INDEX('Licences'!$R$4:$R$503,_calc!$E$493))=0,"",INDEX('Licences'!$R$4:$R$503,_calc!$E$493)))=0,"",IF(LEN(INDEX('Licences'!$R$4:$R$503,_calc!$E$493))=0,"",INDEX('Licences'!$R$4:$R$503,_calc!$E$493)))))</f>
        <v/>
      </c>
      <c r="G491" s="44">
        <f>IF(_calc!$E$493="","",IF(LEN(INDEX('Licences'!$Q$4:$Q$503,_calc!$E$493))=0,"",INDEX('Licences'!$Q$4:$Q$503,_calc!$E$493)))</f>
        <v/>
      </c>
      <c r="H491" s="44">
        <f>IF(_calc!$E$493="","",IF(LEN(INDEX('Licences'!$O$4:$O$503,_calc!$E$493))=0,"",INDEX('Licences'!$O$4:$O$503,_calc!$E$493)))</f>
        <v/>
      </c>
      <c r="I491" s="44">
        <f>IF(_calc!$E$493="","",IF(LEN(INDEX('Licences'!$P$4:$P$503,_calc!$E$493))=0,"",INDEX('Licences'!$P$4:$P$503,_calc!$E$493)))</f>
        <v/>
      </c>
      <c r="K491" s="44">
        <f>IF(_calc!$E$493="","",IF(LEN(INDEX('Licences'!$G$4:$G$503,_calc!$E$493))=0,"",INDEX('Licences'!$G$4:$G$503,_calc!$E$493)))</f>
        <v/>
      </c>
    </row>
    <row r="492">
      <c r="A492" s="44">
        <f>IF(_calc!$E$494="","",IF(LEN(INDEX('Licences'!$A$4:$A$503,_calc!$E$494))=0,"",INDEX('Licences'!$A$4:$A$503,_calc!$E$494)))</f>
        <v/>
      </c>
      <c r="B492" s="44">
        <f>IF(_calc!$E$494="","",IF(ISNUMBER(INDEX('Licences'!$J$4:$J$503,_calc!$E$494)),TEXT(INDEX('Licences'!$J$4:$J$503,_calc!$E$494),"yyyy-mm-dd"),""))</f>
        <v/>
      </c>
      <c r="C492" s="44">
        <f>IF(_calc!$E$494="","",IF(LEN(INDEX('Licences'!$B$4:$B$503,_calc!$E$494))=0,"",INDEX('Licences'!$B$4:$B$503,_calc!$E$494)))</f>
        <v/>
      </c>
      <c r="D492" s="44">
        <f>IF(_calc!$E$494="","",IF(ISNUMBER(INDEX('Licences'!$I$4:$I$503,_calc!$E$494)),TEXT(INDEX('Licences'!$I$4:$I$503,_calc!$E$494),"yyyy-mm-dd"),""))</f>
        <v/>
      </c>
      <c r="E492" s="44">
        <f>IF(_calc!$E$494="","",IF(LEN(INDEX('Licences'!$H$4:$H$503,_calc!$E$494))=0,"",INDEX('Licences'!$H$4:$H$503,_calc!$E$494)))</f>
        <v/>
      </c>
      <c r="F492" s="44">
        <f>IF(_calc!$E$494="","",TRIM(IF(LEN(IF(LEN(INDEX('Licences'!$D$4:$D$503,_calc!$E$494))=0,"",INDEX('Licences'!$D$4:$D$503,_calc!$E$494)))=0,"","Ref: "&amp;IF(LEN(INDEX('Licences'!$D$4:$D$503,_calc!$E$494))=0,"",INDEX('Licences'!$D$4:$D$503,_calc!$E$494))&amp;". ")&amp;IF(LEN(IF(LEN(INDEX('Licences'!$C$4:$C$503,_calc!$E$494))=0,"",INDEX('Licences'!$C$4:$C$503,_calc!$E$494)))=0,"","Issuer: "&amp;IF(LEN(INDEX('Licences'!$C$4:$C$503,_calc!$E$494))=0,"",INDEX('Licences'!$C$4:$C$503,_calc!$E$494))&amp;". ")&amp;IF(LEN(IF(LEN(INDEX('Licences'!$E$4:$E$503,_calc!$E$494))=0,"",INDEX('Licences'!$E$4:$E$503,_calc!$E$494)))=0,"","Site: "&amp;IF(LEN(INDEX('Licences'!$E$4:$E$503,_calc!$E$494))=0,"",INDEX('Licences'!$E$4:$E$503,_calc!$E$494))&amp;". ")&amp;IF(LEN(IF(LEN(INDEX('Licences'!$F$4:$F$503,_calc!$E$494))=0,"",INDEX('Licences'!$F$4:$F$503,_calc!$E$494)))=0,"","Owner: "&amp;IF(LEN(INDEX('Licences'!$F$4:$F$503,_calc!$E$494))=0,"",INDEX('Licences'!$F$4:$F$503,_calc!$E$494))&amp;". ")&amp;IF(LEN(IF(LEN(INDEX('Licences'!$R$4:$R$503,_calc!$E$494))=0,"",INDEX('Licences'!$R$4:$R$503,_calc!$E$494)))=0,"",IF(LEN(INDEX('Licences'!$R$4:$R$503,_calc!$E$494))=0,"",INDEX('Licences'!$R$4:$R$503,_calc!$E$494)))))</f>
        <v/>
      </c>
      <c r="G492" s="44">
        <f>IF(_calc!$E$494="","",IF(LEN(INDEX('Licences'!$Q$4:$Q$503,_calc!$E$494))=0,"",INDEX('Licences'!$Q$4:$Q$503,_calc!$E$494)))</f>
        <v/>
      </c>
      <c r="H492" s="44">
        <f>IF(_calc!$E$494="","",IF(LEN(INDEX('Licences'!$O$4:$O$503,_calc!$E$494))=0,"",INDEX('Licences'!$O$4:$O$503,_calc!$E$494)))</f>
        <v/>
      </c>
      <c r="I492" s="44">
        <f>IF(_calc!$E$494="","",IF(LEN(INDEX('Licences'!$P$4:$P$503,_calc!$E$494))=0,"",INDEX('Licences'!$P$4:$P$503,_calc!$E$494)))</f>
        <v/>
      </c>
      <c r="K492" s="44">
        <f>IF(_calc!$E$494="","",IF(LEN(INDEX('Licences'!$G$4:$G$503,_calc!$E$494))=0,"",INDEX('Licences'!$G$4:$G$503,_calc!$E$494)))</f>
        <v/>
      </c>
    </row>
    <row r="493">
      <c r="A493" s="44">
        <f>IF(_calc!$E$495="","",IF(LEN(INDEX('Licences'!$A$4:$A$503,_calc!$E$495))=0,"",INDEX('Licences'!$A$4:$A$503,_calc!$E$495)))</f>
        <v/>
      </c>
      <c r="B493" s="44">
        <f>IF(_calc!$E$495="","",IF(ISNUMBER(INDEX('Licences'!$J$4:$J$503,_calc!$E$495)),TEXT(INDEX('Licences'!$J$4:$J$503,_calc!$E$495),"yyyy-mm-dd"),""))</f>
        <v/>
      </c>
      <c r="C493" s="44">
        <f>IF(_calc!$E$495="","",IF(LEN(INDEX('Licences'!$B$4:$B$503,_calc!$E$495))=0,"",INDEX('Licences'!$B$4:$B$503,_calc!$E$495)))</f>
        <v/>
      </c>
      <c r="D493" s="44">
        <f>IF(_calc!$E$495="","",IF(ISNUMBER(INDEX('Licences'!$I$4:$I$503,_calc!$E$495)),TEXT(INDEX('Licences'!$I$4:$I$503,_calc!$E$495),"yyyy-mm-dd"),""))</f>
        <v/>
      </c>
      <c r="E493" s="44">
        <f>IF(_calc!$E$495="","",IF(LEN(INDEX('Licences'!$H$4:$H$503,_calc!$E$495))=0,"",INDEX('Licences'!$H$4:$H$503,_calc!$E$495)))</f>
        <v/>
      </c>
      <c r="F493" s="44">
        <f>IF(_calc!$E$495="","",TRIM(IF(LEN(IF(LEN(INDEX('Licences'!$D$4:$D$503,_calc!$E$495))=0,"",INDEX('Licences'!$D$4:$D$503,_calc!$E$495)))=0,"","Ref: "&amp;IF(LEN(INDEX('Licences'!$D$4:$D$503,_calc!$E$495))=0,"",INDEX('Licences'!$D$4:$D$503,_calc!$E$495))&amp;". ")&amp;IF(LEN(IF(LEN(INDEX('Licences'!$C$4:$C$503,_calc!$E$495))=0,"",INDEX('Licences'!$C$4:$C$503,_calc!$E$495)))=0,"","Issuer: "&amp;IF(LEN(INDEX('Licences'!$C$4:$C$503,_calc!$E$495))=0,"",INDEX('Licences'!$C$4:$C$503,_calc!$E$495))&amp;". ")&amp;IF(LEN(IF(LEN(INDEX('Licences'!$E$4:$E$503,_calc!$E$495))=0,"",INDEX('Licences'!$E$4:$E$503,_calc!$E$495)))=0,"","Site: "&amp;IF(LEN(INDEX('Licences'!$E$4:$E$503,_calc!$E$495))=0,"",INDEX('Licences'!$E$4:$E$503,_calc!$E$495))&amp;". ")&amp;IF(LEN(IF(LEN(INDEX('Licences'!$F$4:$F$503,_calc!$E$495))=0,"",INDEX('Licences'!$F$4:$F$503,_calc!$E$495)))=0,"","Owner: "&amp;IF(LEN(INDEX('Licences'!$F$4:$F$503,_calc!$E$495))=0,"",INDEX('Licences'!$F$4:$F$503,_calc!$E$495))&amp;". ")&amp;IF(LEN(IF(LEN(INDEX('Licences'!$R$4:$R$503,_calc!$E$495))=0,"",INDEX('Licences'!$R$4:$R$503,_calc!$E$495)))=0,"",IF(LEN(INDEX('Licences'!$R$4:$R$503,_calc!$E$495))=0,"",INDEX('Licences'!$R$4:$R$503,_calc!$E$495)))))</f>
        <v/>
      </c>
      <c r="G493" s="44">
        <f>IF(_calc!$E$495="","",IF(LEN(INDEX('Licences'!$Q$4:$Q$503,_calc!$E$495))=0,"",INDEX('Licences'!$Q$4:$Q$503,_calc!$E$495)))</f>
        <v/>
      </c>
      <c r="H493" s="44">
        <f>IF(_calc!$E$495="","",IF(LEN(INDEX('Licences'!$O$4:$O$503,_calc!$E$495))=0,"",INDEX('Licences'!$O$4:$O$503,_calc!$E$495)))</f>
        <v/>
      </c>
      <c r="I493" s="44">
        <f>IF(_calc!$E$495="","",IF(LEN(INDEX('Licences'!$P$4:$P$503,_calc!$E$495))=0,"",INDEX('Licences'!$P$4:$P$503,_calc!$E$495)))</f>
        <v/>
      </c>
      <c r="K493" s="44">
        <f>IF(_calc!$E$495="","",IF(LEN(INDEX('Licences'!$G$4:$G$503,_calc!$E$495))=0,"",INDEX('Licences'!$G$4:$G$503,_calc!$E$495)))</f>
        <v/>
      </c>
    </row>
    <row r="494">
      <c r="A494" s="44">
        <f>IF(_calc!$E$496="","",IF(LEN(INDEX('Licences'!$A$4:$A$503,_calc!$E$496))=0,"",INDEX('Licences'!$A$4:$A$503,_calc!$E$496)))</f>
        <v/>
      </c>
      <c r="B494" s="44">
        <f>IF(_calc!$E$496="","",IF(ISNUMBER(INDEX('Licences'!$J$4:$J$503,_calc!$E$496)),TEXT(INDEX('Licences'!$J$4:$J$503,_calc!$E$496),"yyyy-mm-dd"),""))</f>
        <v/>
      </c>
      <c r="C494" s="44">
        <f>IF(_calc!$E$496="","",IF(LEN(INDEX('Licences'!$B$4:$B$503,_calc!$E$496))=0,"",INDEX('Licences'!$B$4:$B$503,_calc!$E$496)))</f>
        <v/>
      </c>
      <c r="D494" s="44">
        <f>IF(_calc!$E$496="","",IF(ISNUMBER(INDEX('Licences'!$I$4:$I$503,_calc!$E$496)),TEXT(INDEX('Licences'!$I$4:$I$503,_calc!$E$496),"yyyy-mm-dd"),""))</f>
        <v/>
      </c>
      <c r="E494" s="44">
        <f>IF(_calc!$E$496="","",IF(LEN(INDEX('Licences'!$H$4:$H$503,_calc!$E$496))=0,"",INDEX('Licences'!$H$4:$H$503,_calc!$E$496)))</f>
        <v/>
      </c>
      <c r="F494" s="44">
        <f>IF(_calc!$E$496="","",TRIM(IF(LEN(IF(LEN(INDEX('Licences'!$D$4:$D$503,_calc!$E$496))=0,"",INDEX('Licences'!$D$4:$D$503,_calc!$E$496)))=0,"","Ref: "&amp;IF(LEN(INDEX('Licences'!$D$4:$D$503,_calc!$E$496))=0,"",INDEX('Licences'!$D$4:$D$503,_calc!$E$496))&amp;". ")&amp;IF(LEN(IF(LEN(INDEX('Licences'!$C$4:$C$503,_calc!$E$496))=0,"",INDEX('Licences'!$C$4:$C$503,_calc!$E$496)))=0,"","Issuer: "&amp;IF(LEN(INDEX('Licences'!$C$4:$C$503,_calc!$E$496))=0,"",INDEX('Licences'!$C$4:$C$503,_calc!$E$496))&amp;". ")&amp;IF(LEN(IF(LEN(INDEX('Licences'!$E$4:$E$503,_calc!$E$496))=0,"",INDEX('Licences'!$E$4:$E$503,_calc!$E$496)))=0,"","Site: "&amp;IF(LEN(INDEX('Licences'!$E$4:$E$503,_calc!$E$496))=0,"",INDEX('Licences'!$E$4:$E$503,_calc!$E$496))&amp;". ")&amp;IF(LEN(IF(LEN(INDEX('Licences'!$F$4:$F$503,_calc!$E$496))=0,"",INDEX('Licences'!$F$4:$F$503,_calc!$E$496)))=0,"","Owner: "&amp;IF(LEN(INDEX('Licences'!$F$4:$F$503,_calc!$E$496))=0,"",INDEX('Licences'!$F$4:$F$503,_calc!$E$496))&amp;". ")&amp;IF(LEN(IF(LEN(INDEX('Licences'!$R$4:$R$503,_calc!$E$496))=0,"",INDEX('Licences'!$R$4:$R$503,_calc!$E$496)))=0,"",IF(LEN(INDEX('Licences'!$R$4:$R$503,_calc!$E$496))=0,"",INDEX('Licences'!$R$4:$R$503,_calc!$E$496)))))</f>
        <v/>
      </c>
      <c r="G494" s="44">
        <f>IF(_calc!$E$496="","",IF(LEN(INDEX('Licences'!$Q$4:$Q$503,_calc!$E$496))=0,"",INDEX('Licences'!$Q$4:$Q$503,_calc!$E$496)))</f>
        <v/>
      </c>
      <c r="H494" s="44">
        <f>IF(_calc!$E$496="","",IF(LEN(INDEX('Licences'!$O$4:$O$503,_calc!$E$496))=0,"",INDEX('Licences'!$O$4:$O$503,_calc!$E$496)))</f>
        <v/>
      </c>
      <c r="I494" s="44">
        <f>IF(_calc!$E$496="","",IF(LEN(INDEX('Licences'!$P$4:$P$503,_calc!$E$496))=0,"",INDEX('Licences'!$P$4:$P$503,_calc!$E$496)))</f>
        <v/>
      </c>
      <c r="K494" s="44">
        <f>IF(_calc!$E$496="","",IF(LEN(INDEX('Licences'!$G$4:$G$503,_calc!$E$496))=0,"",INDEX('Licences'!$G$4:$G$503,_calc!$E$496)))</f>
        <v/>
      </c>
    </row>
    <row r="495">
      <c r="A495" s="44">
        <f>IF(_calc!$E$497="","",IF(LEN(INDEX('Licences'!$A$4:$A$503,_calc!$E$497))=0,"",INDEX('Licences'!$A$4:$A$503,_calc!$E$497)))</f>
        <v/>
      </c>
      <c r="B495" s="44">
        <f>IF(_calc!$E$497="","",IF(ISNUMBER(INDEX('Licences'!$J$4:$J$503,_calc!$E$497)),TEXT(INDEX('Licences'!$J$4:$J$503,_calc!$E$497),"yyyy-mm-dd"),""))</f>
        <v/>
      </c>
      <c r="C495" s="44">
        <f>IF(_calc!$E$497="","",IF(LEN(INDEX('Licences'!$B$4:$B$503,_calc!$E$497))=0,"",INDEX('Licences'!$B$4:$B$503,_calc!$E$497)))</f>
        <v/>
      </c>
      <c r="D495" s="44">
        <f>IF(_calc!$E$497="","",IF(ISNUMBER(INDEX('Licences'!$I$4:$I$503,_calc!$E$497)),TEXT(INDEX('Licences'!$I$4:$I$503,_calc!$E$497),"yyyy-mm-dd"),""))</f>
        <v/>
      </c>
      <c r="E495" s="44">
        <f>IF(_calc!$E$497="","",IF(LEN(INDEX('Licences'!$H$4:$H$503,_calc!$E$497))=0,"",INDEX('Licences'!$H$4:$H$503,_calc!$E$497)))</f>
        <v/>
      </c>
      <c r="F495" s="44">
        <f>IF(_calc!$E$497="","",TRIM(IF(LEN(IF(LEN(INDEX('Licences'!$D$4:$D$503,_calc!$E$497))=0,"",INDEX('Licences'!$D$4:$D$503,_calc!$E$497)))=0,"","Ref: "&amp;IF(LEN(INDEX('Licences'!$D$4:$D$503,_calc!$E$497))=0,"",INDEX('Licences'!$D$4:$D$503,_calc!$E$497))&amp;". ")&amp;IF(LEN(IF(LEN(INDEX('Licences'!$C$4:$C$503,_calc!$E$497))=0,"",INDEX('Licences'!$C$4:$C$503,_calc!$E$497)))=0,"","Issuer: "&amp;IF(LEN(INDEX('Licences'!$C$4:$C$503,_calc!$E$497))=0,"",INDEX('Licences'!$C$4:$C$503,_calc!$E$497))&amp;". ")&amp;IF(LEN(IF(LEN(INDEX('Licences'!$E$4:$E$503,_calc!$E$497))=0,"",INDEX('Licences'!$E$4:$E$503,_calc!$E$497)))=0,"","Site: "&amp;IF(LEN(INDEX('Licences'!$E$4:$E$503,_calc!$E$497))=0,"",INDEX('Licences'!$E$4:$E$503,_calc!$E$497))&amp;". ")&amp;IF(LEN(IF(LEN(INDEX('Licences'!$F$4:$F$503,_calc!$E$497))=0,"",INDEX('Licences'!$F$4:$F$503,_calc!$E$497)))=0,"","Owner: "&amp;IF(LEN(INDEX('Licences'!$F$4:$F$503,_calc!$E$497))=0,"",INDEX('Licences'!$F$4:$F$503,_calc!$E$497))&amp;". ")&amp;IF(LEN(IF(LEN(INDEX('Licences'!$R$4:$R$503,_calc!$E$497))=0,"",INDEX('Licences'!$R$4:$R$503,_calc!$E$497)))=0,"",IF(LEN(INDEX('Licences'!$R$4:$R$503,_calc!$E$497))=0,"",INDEX('Licences'!$R$4:$R$503,_calc!$E$497)))))</f>
        <v/>
      </c>
      <c r="G495" s="44">
        <f>IF(_calc!$E$497="","",IF(LEN(INDEX('Licences'!$Q$4:$Q$503,_calc!$E$497))=0,"",INDEX('Licences'!$Q$4:$Q$503,_calc!$E$497)))</f>
        <v/>
      </c>
      <c r="H495" s="44">
        <f>IF(_calc!$E$497="","",IF(LEN(INDEX('Licences'!$O$4:$O$503,_calc!$E$497))=0,"",INDEX('Licences'!$O$4:$O$503,_calc!$E$497)))</f>
        <v/>
      </c>
      <c r="I495" s="44">
        <f>IF(_calc!$E$497="","",IF(LEN(INDEX('Licences'!$P$4:$P$503,_calc!$E$497))=0,"",INDEX('Licences'!$P$4:$P$503,_calc!$E$497)))</f>
        <v/>
      </c>
      <c r="K495" s="44">
        <f>IF(_calc!$E$497="","",IF(LEN(INDEX('Licences'!$G$4:$G$503,_calc!$E$497))=0,"",INDEX('Licences'!$G$4:$G$503,_calc!$E$497)))</f>
        <v/>
      </c>
    </row>
    <row r="496">
      <c r="A496" s="44">
        <f>IF(_calc!$E$498="","",IF(LEN(INDEX('Licences'!$A$4:$A$503,_calc!$E$498))=0,"",INDEX('Licences'!$A$4:$A$503,_calc!$E$498)))</f>
        <v/>
      </c>
      <c r="B496" s="44">
        <f>IF(_calc!$E$498="","",IF(ISNUMBER(INDEX('Licences'!$J$4:$J$503,_calc!$E$498)),TEXT(INDEX('Licences'!$J$4:$J$503,_calc!$E$498),"yyyy-mm-dd"),""))</f>
        <v/>
      </c>
      <c r="C496" s="44">
        <f>IF(_calc!$E$498="","",IF(LEN(INDEX('Licences'!$B$4:$B$503,_calc!$E$498))=0,"",INDEX('Licences'!$B$4:$B$503,_calc!$E$498)))</f>
        <v/>
      </c>
      <c r="D496" s="44">
        <f>IF(_calc!$E$498="","",IF(ISNUMBER(INDEX('Licences'!$I$4:$I$503,_calc!$E$498)),TEXT(INDEX('Licences'!$I$4:$I$503,_calc!$E$498),"yyyy-mm-dd"),""))</f>
        <v/>
      </c>
      <c r="E496" s="44">
        <f>IF(_calc!$E$498="","",IF(LEN(INDEX('Licences'!$H$4:$H$503,_calc!$E$498))=0,"",INDEX('Licences'!$H$4:$H$503,_calc!$E$498)))</f>
        <v/>
      </c>
      <c r="F496" s="44">
        <f>IF(_calc!$E$498="","",TRIM(IF(LEN(IF(LEN(INDEX('Licences'!$D$4:$D$503,_calc!$E$498))=0,"",INDEX('Licences'!$D$4:$D$503,_calc!$E$498)))=0,"","Ref: "&amp;IF(LEN(INDEX('Licences'!$D$4:$D$503,_calc!$E$498))=0,"",INDEX('Licences'!$D$4:$D$503,_calc!$E$498))&amp;". ")&amp;IF(LEN(IF(LEN(INDEX('Licences'!$C$4:$C$503,_calc!$E$498))=0,"",INDEX('Licences'!$C$4:$C$503,_calc!$E$498)))=0,"","Issuer: "&amp;IF(LEN(INDEX('Licences'!$C$4:$C$503,_calc!$E$498))=0,"",INDEX('Licences'!$C$4:$C$503,_calc!$E$498))&amp;". ")&amp;IF(LEN(IF(LEN(INDEX('Licences'!$E$4:$E$503,_calc!$E$498))=0,"",INDEX('Licences'!$E$4:$E$503,_calc!$E$498)))=0,"","Site: "&amp;IF(LEN(INDEX('Licences'!$E$4:$E$503,_calc!$E$498))=0,"",INDEX('Licences'!$E$4:$E$503,_calc!$E$498))&amp;". ")&amp;IF(LEN(IF(LEN(INDEX('Licences'!$F$4:$F$503,_calc!$E$498))=0,"",INDEX('Licences'!$F$4:$F$503,_calc!$E$498)))=0,"","Owner: "&amp;IF(LEN(INDEX('Licences'!$F$4:$F$503,_calc!$E$498))=0,"",INDEX('Licences'!$F$4:$F$503,_calc!$E$498))&amp;". ")&amp;IF(LEN(IF(LEN(INDEX('Licences'!$R$4:$R$503,_calc!$E$498))=0,"",INDEX('Licences'!$R$4:$R$503,_calc!$E$498)))=0,"",IF(LEN(INDEX('Licences'!$R$4:$R$503,_calc!$E$498))=0,"",INDEX('Licences'!$R$4:$R$503,_calc!$E$498)))))</f>
        <v/>
      </c>
      <c r="G496" s="44">
        <f>IF(_calc!$E$498="","",IF(LEN(INDEX('Licences'!$Q$4:$Q$503,_calc!$E$498))=0,"",INDEX('Licences'!$Q$4:$Q$503,_calc!$E$498)))</f>
        <v/>
      </c>
      <c r="H496" s="44">
        <f>IF(_calc!$E$498="","",IF(LEN(INDEX('Licences'!$O$4:$O$503,_calc!$E$498))=0,"",INDEX('Licences'!$O$4:$O$503,_calc!$E$498)))</f>
        <v/>
      </c>
      <c r="I496" s="44">
        <f>IF(_calc!$E$498="","",IF(LEN(INDEX('Licences'!$P$4:$P$503,_calc!$E$498))=0,"",INDEX('Licences'!$P$4:$P$503,_calc!$E$498)))</f>
        <v/>
      </c>
      <c r="K496" s="44">
        <f>IF(_calc!$E$498="","",IF(LEN(INDEX('Licences'!$G$4:$G$503,_calc!$E$498))=0,"",INDEX('Licences'!$G$4:$G$503,_calc!$E$498)))</f>
        <v/>
      </c>
    </row>
    <row r="497">
      <c r="A497" s="44">
        <f>IF(_calc!$E$499="","",IF(LEN(INDEX('Licences'!$A$4:$A$503,_calc!$E$499))=0,"",INDEX('Licences'!$A$4:$A$503,_calc!$E$499)))</f>
        <v/>
      </c>
      <c r="B497" s="44">
        <f>IF(_calc!$E$499="","",IF(ISNUMBER(INDEX('Licences'!$J$4:$J$503,_calc!$E$499)),TEXT(INDEX('Licences'!$J$4:$J$503,_calc!$E$499),"yyyy-mm-dd"),""))</f>
        <v/>
      </c>
      <c r="C497" s="44">
        <f>IF(_calc!$E$499="","",IF(LEN(INDEX('Licences'!$B$4:$B$503,_calc!$E$499))=0,"",INDEX('Licences'!$B$4:$B$503,_calc!$E$499)))</f>
        <v/>
      </c>
      <c r="D497" s="44">
        <f>IF(_calc!$E$499="","",IF(ISNUMBER(INDEX('Licences'!$I$4:$I$503,_calc!$E$499)),TEXT(INDEX('Licences'!$I$4:$I$503,_calc!$E$499),"yyyy-mm-dd"),""))</f>
        <v/>
      </c>
      <c r="E497" s="44">
        <f>IF(_calc!$E$499="","",IF(LEN(INDEX('Licences'!$H$4:$H$503,_calc!$E$499))=0,"",INDEX('Licences'!$H$4:$H$503,_calc!$E$499)))</f>
        <v/>
      </c>
      <c r="F497" s="44">
        <f>IF(_calc!$E$499="","",TRIM(IF(LEN(IF(LEN(INDEX('Licences'!$D$4:$D$503,_calc!$E$499))=0,"",INDEX('Licences'!$D$4:$D$503,_calc!$E$499)))=0,"","Ref: "&amp;IF(LEN(INDEX('Licences'!$D$4:$D$503,_calc!$E$499))=0,"",INDEX('Licences'!$D$4:$D$503,_calc!$E$499))&amp;". ")&amp;IF(LEN(IF(LEN(INDEX('Licences'!$C$4:$C$503,_calc!$E$499))=0,"",INDEX('Licences'!$C$4:$C$503,_calc!$E$499)))=0,"","Issuer: "&amp;IF(LEN(INDEX('Licences'!$C$4:$C$503,_calc!$E$499))=0,"",INDEX('Licences'!$C$4:$C$503,_calc!$E$499))&amp;". ")&amp;IF(LEN(IF(LEN(INDEX('Licences'!$E$4:$E$503,_calc!$E$499))=0,"",INDEX('Licences'!$E$4:$E$503,_calc!$E$499)))=0,"","Site: "&amp;IF(LEN(INDEX('Licences'!$E$4:$E$503,_calc!$E$499))=0,"",INDEX('Licences'!$E$4:$E$503,_calc!$E$499))&amp;". ")&amp;IF(LEN(IF(LEN(INDEX('Licences'!$F$4:$F$503,_calc!$E$499))=0,"",INDEX('Licences'!$F$4:$F$503,_calc!$E$499)))=0,"","Owner: "&amp;IF(LEN(INDEX('Licences'!$F$4:$F$503,_calc!$E$499))=0,"",INDEX('Licences'!$F$4:$F$503,_calc!$E$499))&amp;". ")&amp;IF(LEN(IF(LEN(INDEX('Licences'!$R$4:$R$503,_calc!$E$499))=0,"",INDEX('Licences'!$R$4:$R$503,_calc!$E$499)))=0,"",IF(LEN(INDEX('Licences'!$R$4:$R$503,_calc!$E$499))=0,"",INDEX('Licences'!$R$4:$R$503,_calc!$E$499)))))</f>
        <v/>
      </c>
      <c r="G497" s="44">
        <f>IF(_calc!$E$499="","",IF(LEN(INDEX('Licences'!$Q$4:$Q$503,_calc!$E$499))=0,"",INDEX('Licences'!$Q$4:$Q$503,_calc!$E$499)))</f>
        <v/>
      </c>
      <c r="H497" s="44">
        <f>IF(_calc!$E$499="","",IF(LEN(INDEX('Licences'!$O$4:$O$503,_calc!$E$499))=0,"",INDEX('Licences'!$O$4:$O$503,_calc!$E$499)))</f>
        <v/>
      </c>
      <c r="I497" s="44">
        <f>IF(_calc!$E$499="","",IF(LEN(INDEX('Licences'!$P$4:$P$503,_calc!$E$499))=0,"",INDEX('Licences'!$P$4:$P$503,_calc!$E$499)))</f>
        <v/>
      </c>
      <c r="K497" s="44">
        <f>IF(_calc!$E$499="","",IF(LEN(INDEX('Licences'!$G$4:$G$503,_calc!$E$499))=0,"",INDEX('Licences'!$G$4:$G$503,_calc!$E$499)))</f>
        <v/>
      </c>
    </row>
    <row r="498">
      <c r="A498" s="44">
        <f>IF(_calc!$E$500="","",IF(LEN(INDEX('Licences'!$A$4:$A$503,_calc!$E$500))=0,"",INDEX('Licences'!$A$4:$A$503,_calc!$E$500)))</f>
        <v/>
      </c>
      <c r="B498" s="44">
        <f>IF(_calc!$E$500="","",IF(ISNUMBER(INDEX('Licences'!$J$4:$J$503,_calc!$E$500)),TEXT(INDEX('Licences'!$J$4:$J$503,_calc!$E$500),"yyyy-mm-dd"),""))</f>
        <v/>
      </c>
      <c r="C498" s="44">
        <f>IF(_calc!$E$500="","",IF(LEN(INDEX('Licences'!$B$4:$B$503,_calc!$E$500))=0,"",INDEX('Licences'!$B$4:$B$503,_calc!$E$500)))</f>
        <v/>
      </c>
      <c r="D498" s="44">
        <f>IF(_calc!$E$500="","",IF(ISNUMBER(INDEX('Licences'!$I$4:$I$503,_calc!$E$500)),TEXT(INDEX('Licences'!$I$4:$I$503,_calc!$E$500),"yyyy-mm-dd"),""))</f>
        <v/>
      </c>
      <c r="E498" s="44">
        <f>IF(_calc!$E$500="","",IF(LEN(INDEX('Licences'!$H$4:$H$503,_calc!$E$500))=0,"",INDEX('Licences'!$H$4:$H$503,_calc!$E$500)))</f>
        <v/>
      </c>
      <c r="F498" s="44">
        <f>IF(_calc!$E$500="","",TRIM(IF(LEN(IF(LEN(INDEX('Licences'!$D$4:$D$503,_calc!$E$500))=0,"",INDEX('Licences'!$D$4:$D$503,_calc!$E$500)))=0,"","Ref: "&amp;IF(LEN(INDEX('Licences'!$D$4:$D$503,_calc!$E$500))=0,"",INDEX('Licences'!$D$4:$D$503,_calc!$E$500))&amp;". ")&amp;IF(LEN(IF(LEN(INDEX('Licences'!$C$4:$C$503,_calc!$E$500))=0,"",INDEX('Licences'!$C$4:$C$503,_calc!$E$500)))=0,"","Issuer: "&amp;IF(LEN(INDEX('Licences'!$C$4:$C$503,_calc!$E$500))=0,"",INDEX('Licences'!$C$4:$C$503,_calc!$E$500))&amp;". ")&amp;IF(LEN(IF(LEN(INDEX('Licences'!$E$4:$E$503,_calc!$E$500))=0,"",INDEX('Licences'!$E$4:$E$503,_calc!$E$500)))=0,"","Site: "&amp;IF(LEN(INDEX('Licences'!$E$4:$E$503,_calc!$E$500))=0,"",INDEX('Licences'!$E$4:$E$503,_calc!$E$500))&amp;". ")&amp;IF(LEN(IF(LEN(INDEX('Licences'!$F$4:$F$503,_calc!$E$500))=0,"",INDEX('Licences'!$F$4:$F$503,_calc!$E$500)))=0,"","Owner: "&amp;IF(LEN(INDEX('Licences'!$F$4:$F$503,_calc!$E$500))=0,"",INDEX('Licences'!$F$4:$F$503,_calc!$E$500))&amp;". ")&amp;IF(LEN(IF(LEN(INDEX('Licences'!$R$4:$R$503,_calc!$E$500))=0,"",INDEX('Licences'!$R$4:$R$503,_calc!$E$500)))=0,"",IF(LEN(INDEX('Licences'!$R$4:$R$503,_calc!$E$500))=0,"",INDEX('Licences'!$R$4:$R$503,_calc!$E$500)))))</f>
        <v/>
      </c>
      <c r="G498" s="44">
        <f>IF(_calc!$E$500="","",IF(LEN(INDEX('Licences'!$Q$4:$Q$503,_calc!$E$500))=0,"",INDEX('Licences'!$Q$4:$Q$503,_calc!$E$500)))</f>
        <v/>
      </c>
      <c r="H498" s="44">
        <f>IF(_calc!$E$500="","",IF(LEN(INDEX('Licences'!$O$4:$O$503,_calc!$E$500))=0,"",INDEX('Licences'!$O$4:$O$503,_calc!$E$500)))</f>
        <v/>
      </c>
      <c r="I498" s="44">
        <f>IF(_calc!$E$500="","",IF(LEN(INDEX('Licences'!$P$4:$P$503,_calc!$E$500))=0,"",INDEX('Licences'!$P$4:$P$503,_calc!$E$500)))</f>
        <v/>
      </c>
      <c r="K498" s="44">
        <f>IF(_calc!$E$500="","",IF(LEN(INDEX('Licences'!$G$4:$G$503,_calc!$E$500))=0,"",INDEX('Licences'!$G$4:$G$503,_calc!$E$500)))</f>
        <v/>
      </c>
    </row>
    <row r="499">
      <c r="A499" s="44">
        <f>IF(_calc!$E$501="","",IF(LEN(INDEX('Licences'!$A$4:$A$503,_calc!$E$501))=0,"",INDEX('Licences'!$A$4:$A$503,_calc!$E$501)))</f>
        <v/>
      </c>
      <c r="B499" s="44">
        <f>IF(_calc!$E$501="","",IF(ISNUMBER(INDEX('Licences'!$J$4:$J$503,_calc!$E$501)),TEXT(INDEX('Licences'!$J$4:$J$503,_calc!$E$501),"yyyy-mm-dd"),""))</f>
        <v/>
      </c>
      <c r="C499" s="44">
        <f>IF(_calc!$E$501="","",IF(LEN(INDEX('Licences'!$B$4:$B$503,_calc!$E$501))=0,"",INDEX('Licences'!$B$4:$B$503,_calc!$E$501)))</f>
        <v/>
      </c>
      <c r="D499" s="44">
        <f>IF(_calc!$E$501="","",IF(ISNUMBER(INDEX('Licences'!$I$4:$I$503,_calc!$E$501)),TEXT(INDEX('Licences'!$I$4:$I$503,_calc!$E$501),"yyyy-mm-dd"),""))</f>
        <v/>
      </c>
      <c r="E499" s="44">
        <f>IF(_calc!$E$501="","",IF(LEN(INDEX('Licences'!$H$4:$H$503,_calc!$E$501))=0,"",INDEX('Licences'!$H$4:$H$503,_calc!$E$501)))</f>
        <v/>
      </c>
      <c r="F499" s="44">
        <f>IF(_calc!$E$501="","",TRIM(IF(LEN(IF(LEN(INDEX('Licences'!$D$4:$D$503,_calc!$E$501))=0,"",INDEX('Licences'!$D$4:$D$503,_calc!$E$501)))=0,"","Ref: "&amp;IF(LEN(INDEX('Licences'!$D$4:$D$503,_calc!$E$501))=0,"",INDEX('Licences'!$D$4:$D$503,_calc!$E$501))&amp;". ")&amp;IF(LEN(IF(LEN(INDEX('Licences'!$C$4:$C$503,_calc!$E$501))=0,"",INDEX('Licences'!$C$4:$C$503,_calc!$E$501)))=0,"","Issuer: "&amp;IF(LEN(INDEX('Licences'!$C$4:$C$503,_calc!$E$501))=0,"",INDEX('Licences'!$C$4:$C$503,_calc!$E$501))&amp;". ")&amp;IF(LEN(IF(LEN(INDEX('Licences'!$E$4:$E$503,_calc!$E$501))=0,"",INDEX('Licences'!$E$4:$E$503,_calc!$E$501)))=0,"","Site: "&amp;IF(LEN(INDEX('Licences'!$E$4:$E$503,_calc!$E$501))=0,"",INDEX('Licences'!$E$4:$E$503,_calc!$E$501))&amp;". ")&amp;IF(LEN(IF(LEN(INDEX('Licences'!$F$4:$F$503,_calc!$E$501))=0,"",INDEX('Licences'!$F$4:$F$503,_calc!$E$501)))=0,"","Owner: "&amp;IF(LEN(INDEX('Licences'!$F$4:$F$503,_calc!$E$501))=0,"",INDEX('Licences'!$F$4:$F$503,_calc!$E$501))&amp;". ")&amp;IF(LEN(IF(LEN(INDEX('Licences'!$R$4:$R$503,_calc!$E$501))=0,"",INDEX('Licences'!$R$4:$R$503,_calc!$E$501)))=0,"",IF(LEN(INDEX('Licences'!$R$4:$R$503,_calc!$E$501))=0,"",INDEX('Licences'!$R$4:$R$503,_calc!$E$501)))))</f>
        <v/>
      </c>
      <c r="G499" s="44">
        <f>IF(_calc!$E$501="","",IF(LEN(INDEX('Licences'!$Q$4:$Q$503,_calc!$E$501))=0,"",INDEX('Licences'!$Q$4:$Q$503,_calc!$E$501)))</f>
        <v/>
      </c>
      <c r="H499" s="44">
        <f>IF(_calc!$E$501="","",IF(LEN(INDEX('Licences'!$O$4:$O$503,_calc!$E$501))=0,"",INDEX('Licences'!$O$4:$O$503,_calc!$E$501)))</f>
        <v/>
      </c>
      <c r="I499" s="44">
        <f>IF(_calc!$E$501="","",IF(LEN(INDEX('Licences'!$P$4:$P$503,_calc!$E$501))=0,"",INDEX('Licences'!$P$4:$P$503,_calc!$E$501)))</f>
        <v/>
      </c>
      <c r="K499" s="44">
        <f>IF(_calc!$E$501="","",IF(LEN(INDEX('Licences'!$G$4:$G$503,_calc!$E$501))=0,"",INDEX('Licences'!$G$4:$G$503,_calc!$E$501)))</f>
        <v/>
      </c>
    </row>
    <row r="500">
      <c r="A500" s="44">
        <f>IF(_calc!$E$502="","",IF(LEN(INDEX('Licences'!$A$4:$A$503,_calc!$E$502))=0,"",INDEX('Licences'!$A$4:$A$503,_calc!$E$502)))</f>
        <v/>
      </c>
      <c r="B500" s="44">
        <f>IF(_calc!$E$502="","",IF(ISNUMBER(INDEX('Licences'!$J$4:$J$503,_calc!$E$502)),TEXT(INDEX('Licences'!$J$4:$J$503,_calc!$E$502),"yyyy-mm-dd"),""))</f>
        <v/>
      </c>
      <c r="C500" s="44">
        <f>IF(_calc!$E$502="","",IF(LEN(INDEX('Licences'!$B$4:$B$503,_calc!$E$502))=0,"",INDEX('Licences'!$B$4:$B$503,_calc!$E$502)))</f>
        <v/>
      </c>
      <c r="D500" s="44">
        <f>IF(_calc!$E$502="","",IF(ISNUMBER(INDEX('Licences'!$I$4:$I$503,_calc!$E$502)),TEXT(INDEX('Licences'!$I$4:$I$503,_calc!$E$502),"yyyy-mm-dd"),""))</f>
        <v/>
      </c>
      <c r="E500" s="44">
        <f>IF(_calc!$E$502="","",IF(LEN(INDEX('Licences'!$H$4:$H$503,_calc!$E$502))=0,"",INDEX('Licences'!$H$4:$H$503,_calc!$E$502)))</f>
        <v/>
      </c>
      <c r="F500" s="44">
        <f>IF(_calc!$E$502="","",TRIM(IF(LEN(IF(LEN(INDEX('Licences'!$D$4:$D$503,_calc!$E$502))=0,"",INDEX('Licences'!$D$4:$D$503,_calc!$E$502)))=0,"","Ref: "&amp;IF(LEN(INDEX('Licences'!$D$4:$D$503,_calc!$E$502))=0,"",INDEX('Licences'!$D$4:$D$503,_calc!$E$502))&amp;". ")&amp;IF(LEN(IF(LEN(INDEX('Licences'!$C$4:$C$503,_calc!$E$502))=0,"",INDEX('Licences'!$C$4:$C$503,_calc!$E$502)))=0,"","Issuer: "&amp;IF(LEN(INDEX('Licences'!$C$4:$C$503,_calc!$E$502))=0,"",INDEX('Licences'!$C$4:$C$503,_calc!$E$502))&amp;". ")&amp;IF(LEN(IF(LEN(INDEX('Licences'!$E$4:$E$503,_calc!$E$502))=0,"",INDEX('Licences'!$E$4:$E$503,_calc!$E$502)))=0,"","Site: "&amp;IF(LEN(INDEX('Licences'!$E$4:$E$503,_calc!$E$502))=0,"",INDEX('Licences'!$E$4:$E$503,_calc!$E$502))&amp;". ")&amp;IF(LEN(IF(LEN(INDEX('Licences'!$F$4:$F$503,_calc!$E$502))=0,"",INDEX('Licences'!$F$4:$F$503,_calc!$E$502)))=0,"","Owner: "&amp;IF(LEN(INDEX('Licences'!$F$4:$F$503,_calc!$E$502))=0,"",INDEX('Licences'!$F$4:$F$503,_calc!$E$502))&amp;". ")&amp;IF(LEN(IF(LEN(INDEX('Licences'!$R$4:$R$503,_calc!$E$502))=0,"",INDEX('Licences'!$R$4:$R$503,_calc!$E$502)))=0,"",IF(LEN(INDEX('Licences'!$R$4:$R$503,_calc!$E$502))=0,"",INDEX('Licences'!$R$4:$R$503,_calc!$E$502)))))</f>
        <v/>
      </c>
      <c r="G500" s="44">
        <f>IF(_calc!$E$502="","",IF(LEN(INDEX('Licences'!$Q$4:$Q$503,_calc!$E$502))=0,"",INDEX('Licences'!$Q$4:$Q$503,_calc!$E$502)))</f>
        <v/>
      </c>
      <c r="H500" s="44">
        <f>IF(_calc!$E$502="","",IF(LEN(INDEX('Licences'!$O$4:$O$503,_calc!$E$502))=0,"",INDEX('Licences'!$O$4:$O$503,_calc!$E$502)))</f>
        <v/>
      </c>
      <c r="I500" s="44">
        <f>IF(_calc!$E$502="","",IF(LEN(INDEX('Licences'!$P$4:$P$503,_calc!$E$502))=0,"",INDEX('Licences'!$P$4:$P$503,_calc!$E$502)))</f>
        <v/>
      </c>
      <c r="K500" s="44">
        <f>IF(_calc!$E$502="","",IF(LEN(INDEX('Licences'!$G$4:$G$503,_calc!$E$502))=0,"",INDEX('Licences'!$G$4:$G$503,_calc!$E$502)))</f>
        <v/>
      </c>
    </row>
    <row r="501">
      <c r="A501" s="44">
        <f>IF(_calc!$E$503="","",IF(LEN(INDEX('Licences'!$A$4:$A$503,_calc!$E$503))=0,"",INDEX('Licences'!$A$4:$A$503,_calc!$E$503)))</f>
        <v/>
      </c>
      <c r="B501" s="44">
        <f>IF(_calc!$E$503="","",IF(ISNUMBER(INDEX('Licences'!$J$4:$J$503,_calc!$E$503)),TEXT(INDEX('Licences'!$J$4:$J$503,_calc!$E$503),"yyyy-mm-dd"),""))</f>
        <v/>
      </c>
      <c r="C501" s="44">
        <f>IF(_calc!$E$503="","",IF(LEN(INDEX('Licences'!$B$4:$B$503,_calc!$E$503))=0,"",INDEX('Licences'!$B$4:$B$503,_calc!$E$503)))</f>
        <v/>
      </c>
      <c r="D501" s="44">
        <f>IF(_calc!$E$503="","",IF(ISNUMBER(INDEX('Licences'!$I$4:$I$503,_calc!$E$503)),TEXT(INDEX('Licences'!$I$4:$I$503,_calc!$E$503),"yyyy-mm-dd"),""))</f>
        <v/>
      </c>
      <c r="E501" s="44">
        <f>IF(_calc!$E$503="","",IF(LEN(INDEX('Licences'!$H$4:$H$503,_calc!$E$503))=0,"",INDEX('Licences'!$H$4:$H$503,_calc!$E$503)))</f>
        <v/>
      </c>
      <c r="F501" s="44">
        <f>IF(_calc!$E$503="","",TRIM(IF(LEN(IF(LEN(INDEX('Licences'!$D$4:$D$503,_calc!$E$503))=0,"",INDEX('Licences'!$D$4:$D$503,_calc!$E$503)))=0,"","Ref: "&amp;IF(LEN(INDEX('Licences'!$D$4:$D$503,_calc!$E$503))=0,"",INDEX('Licences'!$D$4:$D$503,_calc!$E$503))&amp;". ")&amp;IF(LEN(IF(LEN(INDEX('Licences'!$C$4:$C$503,_calc!$E$503))=0,"",INDEX('Licences'!$C$4:$C$503,_calc!$E$503)))=0,"","Issuer: "&amp;IF(LEN(INDEX('Licences'!$C$4:$C$503,_calc!$E$503))=0,"",INDEX('Licences'!$C$4:$C$503,_calc!$E$503))&amp;". ")&amp;IF(LEN(IF(LEN(INDEX('Licences'!$E$4:$E$503,_calc!$E$503))=0,"",INDEX('Licences'!$E$4:$E$503,_calc!$E$503)))=0,"","Site: "&amp;IF(LEN(INDEX('Licences'!$E$4:$E$503,_calc!$E$503))=0,"",INDEX('Licences'!$E$4:$E$503,_calc!$E$503))&amp;". ")&amp;IF(LEN(IF(LEN(INDEX('Licences'!$F$4:$F$503,_calc!$E$503))=0,"",INDEX('Licences'!$F$4:$F$503,_calc!$E$503)))=0,"","Owner: "&amp;IF(LEN(INDEX('Licences'!$F$4:$F$503,_calc!$E$503))=0,"",INDEX('Licences'!$F$4:$F$503,_calc!$E$503))&amp;". ")&amp;IF(LEN(IF(LEN(INDEX('Licences'!$R$4:$R$503,_calc!$E$503))=0,"",INDEX('Licences'!$R$4:$R$503,_calc!$E$503)))=0,"",IF(LEN(INDEX('Licences'!$R$4:$R$503,_calc!$E$503))=0,"",INDEX('Licences'!$R$4:$R$503,_calc!$E$503)))))</f>
        <v/>
      </c>
      <c r="G501" s="44">
        <f>IF(_calc!$E$503="","",IF(LEN(INDEX('Licences'!$Q$4:$Q$503,_calc!$E$503))=0,"",INDEX('Licences'!$Q$4:$Q$503,_calc!$E$503)))</f>
        <v/>
      </c>
      <c r="H501" s="44">
        <f>IF(_calc!$E$503="","",IF(LEN(INDEX('Licences'!$O$4:$O$503,_calc!$E$503))=0,"",INDEX('Licences'!$O$4:$O$503,_calc!$E$503)))</f>
        <v/>
      </c>
      <c r="I501" s="44">
        <f>IF(_calc!$E$503="","",IF(LEN(INDEX('Licences'!$P$4:$P$503,_calc!$E$503))=0,"",INDEX('Licences'!$P$4:$P$503,_calc!$E$503)))</f>
        <v/>
      </c>
      <c r="K501" s="44">
        <f>IF(_calc!$E$503="","",IF(LEN(INDEX('Licences'!$G$4:$G$503,_calc!$E$503))=0,"",INDEX('Licences'!$G$4:$G$503,_calc!$E$503)))</f>
        <v/>
      </c>
    </row>
  </sheetData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3" max="3"/>
    <col width="16" customWidth="1" min="5" max="5"/>
    <col width="50" customWidth="1" min="7" max="7"/>
  </cols>
  <sheetData>
    <row r="1">
      <c r="A1" s="13" t="inlineStr">
        <is>
          <t>Type</t>
        </is>
      </c>
      <c r="C1" s="13" t="inlineStr">
        <is>
          <t>Currency</t>
        </is>
      </c>
      <c r="E1" s="13" t="inlineStr">
        <is>
          <t>Priority</t>
        </is>
      </c>
      <c r="G1" s="45" t="inlineStr">
        <is>
          <t>About these lists</t>
        </is>
      </c>
    </row>
    <row r="2">
      <c r="A2" s="44" t="inlineStr">
        <is>
          <t>Licence</t>
        </is>
      </c>
      <c r="C2" s="44" t="inlineStr">
        <is>
          <t>GBP</t>
        </is>
      </c>
      <c r="E2" s="44" t="inlineStr">
        <is>
          <t>Low</t>
        </is>
      </c>
      <c r="G2" s="46" t="inlineStr">
        <is>
          <t>These feed the dropdowns. To add an option, insert a row inside a list (above its last item) so the dropdown range grows with it. Priority must stay Low, Medium or High: ExpiryEdge imports those three values.</t>
        </is>
      </c>
    </row>
    <row r="3">
      <c r="A3" s="44" t="inlineStr">
        <is>
          <t>Permit</t>
        </is>
      </c>
      <c r="C3" s="44" t="inlineStr">
        <is>
          <t>USD</t>
        </is>
      </c>
      <c r="E3" s="44" t="inlineStr">
        <is>
          <t>Medium</t>
        </is>
      </c>
    </row>
    <row r="4">
      <c r="A4" s="44" t="inlineStr">
        <is>
          <t>Registration</t>
        </is>
      </c>
      <c r="C4" s="44" t="inlineStr">
        <is>
          <t>EUR</t>
        </is>
      </c>
      <c r="E4" s="44" t="inlineStr">
        <is>
          <t>High</t>
        </is>
      </c>
    </row>
    <row r="5">
      <c r="A5" s="44" t="inlineStr">
        <is>
          <t>Certificate</t>
        </is>
      </c>
      <c r="C5" s="44" t="inlineStr">
        <is>
          <t>CAD</t>
        </is>
      </c>
    </row>
    <row r="6">
      <c r="A6" s="44" t="inlineStr">
        <is>
          <t>Inspection</t>
        </is>
      </c>
      <c r="C6" s="44" t="inlineStr">
        <is>
          <t>AUD</t>
        </is>
      </c>
    </row>
    <row r="7">
      <c r="A7" s="44" t="inlineStr">
        <is>
          <t>Other</t>
        </is>
      </c>
      <c r="C7" s="44" t="inlineStr">
        <is>
          <t>NZD</t>
        </is>
      </c>
    </row>
  </sheetData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3:E503"/>
  <sheetViews>
    <sheetView tabSelected="0" workbookViewId="0">
      <selection activeCell="A1" sqref="A1"/>
    </sheetView>
  </sheetViews>
  <sheetFormatPr baseColWidth="8" defaultRowHeight="15"/>
  <sheetData>
    <row r="3">
      <c r="A3" t="inlineStr">
        <is>
          <t>next_key</t>
        </is>
      </c>
      <c r="B3" t="inlineStr">
        <is>
          <t>import_seq</t>
        </is>
      </c>
      <c r="C3" t="inlineStr">
        <is>
          <t>kth_key</t>
        </is>
      </c>
      <c r="D3" t="inlineStr">
        <is>
          <t>kth_pos</t>
        </is>
      </c>
      <c r="E3" t="inlineStr">
        <is>
          <t>import_pos</t>
        </is>
      </c>
    </row>
    <row r="4">
      <c r="A4">
        <f>IF(AND(LEN('Licences'!A4)&gt;0,ISNUMBER('Licences'!J4)),'Licences'!J4+1/100000,"")</f>
        <v/>
      </c>
      <c r="B4">
        <f>IF(AND(LEN('Licences'!A4)&gt;0,ISNUMBER('Licences'!J4)),MAX($B$3:B3)+1,"")</f>
        <v/>
      </c>
      <c r="C4">
        <f>IFERROR(SMALL($A$4:$A$503,1),"")</f>
        <v/>
      </c>
      <c r="D4">
        <f>IF(C4="","",MATCH(C4,$A$4:$A$503,0))</f>
        <v/>
      </c>
      <c r="E4">
        <f>IFERROR(MATCH(1,$B$4:$B$503,0),"")</f>
        <v/>
      </c>
    </row>
    <row r="5">
      <c r="A5">
        <f>IF(AND(LEN('Licences'!A5)&gt;0,ISNUMBER('Licences'!J5)),'Licences'!J5+2/100000,"")</f>
        <v/>
      </c>
      <c r="B5">
        <f>IF(AND(LEN('Licences'!A5)&gt;0,ISNUMBER('Licences'!J5)),MAX($B$3:B4)+1,"")</f>
        <v/>
      </c>
      <c r="C5">
        <f>IFERROR(SMALL($A$4:$A$503,2),"")</f>
        <v/>
      </c>
      <c r="D5">
        <f>IF(C5="","",MATCH(C5,$A$4:$A$503,0))</f>
        <v/>
      </c>
      <c r="E5">
        <f>IFERROR(MATCH(2,$B$4:$B$503,0),"")</f>
        <v/>
      </c>
    </row>
    <row r="6">
      <c r="A6">
        <f>IF(AND(LEN('Licences'!A6)&gt;0,ISNUMBER('Licences'!J6)),'Licences'!J6+3/100000,"")</f>
        <v/>
      </c>
      <c r="B6">
        <f>IF(AND(LEN('Licences'!A6)&gt;0,ISNUMBER('Licences'!J6)),MAX($B$3:B5)+1,"")</f>
        <v/>
      </c>
      <c r="C6">
        <f>IFERROR(SMALL($A$4:$A$503,3),"")</f>
        <v/>
      </c>
      <c r="D6">
        <f>IF(C6="","",MATCH(C6,$A$4:$A$503,0))</f>
        <v/>
      </c>
      <c r="E6">
        <f>IFERROR(MATCH(3,$B$4:$B$503,0),"")</f>
        <v/>
      </c>
    </row>
    <row r="7">
      <c r="A7">
        <f>IF(AND(LEN('Licences'!A7)&gt;0,ISNUMBER('Licences'!J7)),'Licences'!J7+4/100000,"")</f>
        <v/>
      </c>
      <c r="B7">
        <f>IF(AND(LEN('Licences'!A7)&gt;0,ISNUMBER('Licences'!J7)),MAX($B$3:B6)+1,"")</f>
        <v/>
      </c>
      <c r="C7">
        <f>IFERROR(SMALL($A$4:$A$503,4),"")</f>
        <v/>
      </c>
      <c r="D7">
        <f>IF(C7="","",MATCH(C7,$A$4:$A$503,0))</f>
        <v/>
      </c>
      <c r="E7">
        <f>IFERROR(MATCH(4,$B$4:$B$503,0),"")</f>
        <v/>
      </c>
    </row>
    <row r="8">
      <c r="A8">
        <f>IF(AND(LEN('Licences'!A8)&gt;0,ISNUMBER('Licences'!J8)),'Licences'!J8+5/100000,"")</f>
        <v/>
      </c>
      <c r="B8">
        <f>IF(AND(LEN('Licences'!A8)&gt;0,ISNUMBER('Licences'!J8)),MAX($B$3:B7)+1,"")</f>
        <v/>
      </c>
      <c r="C8">
        <f>IFERROR(SMALL($A$4:$A$503,5),"")</f>
        <v/>
      </c>
      <c r="D8">
        <f>IF(C8="","",MATCH(C8,$A$4:$A$503,0))</f>
        <v/>
      </c>
      <c r="E8">
        <f>IFERROR(MATCH(5,$B$4:$B$503,0),"")</f>
        <v/>
      </c>
    </row>
    <row r="9">
      <c r="A9">
        <f>IF(AND(LEN('Licences'!A9)&gt;0,ISNUMBER('Licences'!J9)),'Licences'!J9+6/100000,"")</f>
        <v/>
      </c>
      <c r="B9">
        <f>IF(AND(LEN('Licences'!A9)&gt;0,ISNUMBER('Licences'!J9)),MAX($B$3:B8)+1,"")</f>
        <v/>
      </c>
      <c r="C9">
        <f>IFERROR(SMALL($A$4:$A$503,6),"")</f>
        <v/>
      </c>
      <c r="D9">
        <f>IF(C9="","",MATCH(C9,$A$4:$A$503,0))</f>
        <v/>
      </c>
      <c r="E9">
        <f>IFERROR(MATCH(6,$B$4:$B$503,0),"")</f>
        <v/>
      </c>
    </row>
    <row r="10">
      <c r="A10">
        <f>IF(AND(LEN('Licences'!A10)&gt;0,ISNUMBER('Licences'!J10)),'Licences'!J10+7/100000,"")</f>
        <v/>
      </c>
      <c r="B10">
        <f>IF(AND(LEN('Licences'!A10)&gt;0,ISNUMBER('Licences'!J10)),MAX($B$3:B9)+1,"")</f>
        <v/>
      </c>
      <c r="C10">
        <f>IFERROR(SMALL($A$4:$A$503,7),"")</f>
        <v/>
      </c>
      <c r="D10">
        <f>IF(C10="","",MATCH(C10,$A$4:$A$503,0))</f>
        <v/>
      </c>
      <c r="E10">
        <f>IFERROR(MATCH(7,$B$4:$B$503,0),"")</f>
        <v/>
      </c>
    </row>
    <row r="11">
      <c r="A11">
        <f>IF(AND(LEN('Licences'!A11)&gt;0,ISNUMBER('Licences'!J11)),'Licences'!J11+8/100000,"")</f>
        <v/>
      </c>
      <c r="B11">
        <f>IF(AND(LEN('Licences'!A11)&gt;0,ISNUMBER('Licences'!J11)),MAX($B$3:B10)+1,"")</f>
        <v/>
      </c>
      <c r="C11">
        <f>IFERROR(SMALL($A$4:$A$503,8),"")</f>
        <v/>
      </c>
      <c r="D11">
        <f>IF(C11="","",MATCH(C11,$A$4:$A$503,0))</f>
        <v/>
      </c>
      <c r="E11">
        <f>IFERROR(MATCH(8,$B$4:$B$503,0),"")</f>
        <v/>
      </c>
    </row>
    <row r="12">
      <c r="A12">
        <f>IF(AND(LEN('Licences'!A12)&gt;0,ISNUMBER('Licences'!J12)),'Licences'!J12+9/100000,"")</f>
        <v/>
      </c>
      <c r="B12">
        <f>IF(AND(LEN('Licences'!A12)&gt;0,ISNUMBER('Licences'!J12)),MAX($B$3:B11)+1,"")</f>
        <v/>
      </c>
      <c r="C12">
        <f>IFERROR(SMALL($A$4:$A$503,9),"")</f>
        <v/>
      </c>
      <c r="D12">
        <f>IF(C12="","",MATCH(C12,$A$4:$A$503,0))</f>
        <v/>
      </c>
      <c r="E12">
        <f>IFERROR(MATCH(9,$B$4:$B$503,0),"")</f>
        <v/>
      </c>
    </row>
    <row r="13">
      <c r="A13">
        <f>IF(AND(LEN('Licences'!A13)&gt;0,ISNUMBER('Licences'!J13)),'Licences'!J13+10/100000,"")</f>
        <v/>
      </c>
      <c r="B13">
        <f>IF(AND(LEN('Licences'!A13)&gt;0,ISNUMBER('Licences'!J13)),MAX($B$3:B12)+1,"")</f>
        <v/>
      </c>
      <c r="C13">
        <f>IFERROR(SMALL($A$4:$A$503,10),"")</f>
        <v/>
      </c>
      <c r="D13">
        <f>IF(C13="","",MATCH(C13,$A$4:$A$503,0))</f>
        <v/>
      </c>
      <c r="E13">
        <f>IFERROR(MATCH(10,$B$4:$B$503,0),"")</f>
        <v/>
      </c>
    </row>
    <row r="14">
      <c r="A14">
        <f>IF(AND(LEN('Licences'!A14)&gt;0,ISNUMBER('Licences'!J14)),'Licences'!J14+11/100000,"")</f>
        <v/>
      </c>
      <c r="B14">
        <f>IF(AND(LEN('Licences'!A14)&gt;0,ISNUMBER('Licences'!J14)),MAX($B$3:B13)+1,"")</f>
        <v/>
      </c>
      <c r="E14">
        <f>IFERROR(MATCH(11,$B$4:$B$503,0),"")</f>
        <v/>
      </c>
    </row>
    <row r="15">
      <c r="A15">
        <f>IF(AND(LEN('Licences'!A15)&gt;0,ISNUMBER('Licences'!J15)),'Licences'!J15+12/100000,"")</f>
        <v/>
      </c>
      <c r="B15">
        <f>IF(AND(LEN('Licences'!A15)&gt;0,ISNUMBER('Licences'!J15)),MAX($B$3:B14)+1,"")</f>
        <v/>
      </c>
      <c r="E15">
        <f>IFERROR(MATCH(12,$B$4:$B$503,0),"")</f>
        <v/>
      </c>
    </row>
    <row r="16">
      <c r="A16">
        <f>IF(AND(LEN('Licences'!A16)&gt;0,ISNUMBER('Licences'!J16)),'Licences'!J16+13/100000,"")</f>
        <v/>
      </c>
      <c r="B16">
        <f>IF(AND(LEN('Licences'!A16)&gt;0,ISNUMBER('Licences'!J16)),MAX($B$3:B15)+1,"")</f>
        <v/>
      </c>
      <c r="E16">
        <f>IFERROR(MATCH(13,$B$4:$B$503,0),"")</f>
        <v/>
      </c>
    </row>
    <row r="17">
      <c r="A17">
        <f>IF(AND(LEN('Licences'!A17)&gt;0,ISNUMBER('Licences'!J17)),'Licences'!J17+14/100000,"")</f>
        <v/>
      </c>
      <c r="B17">
        <f>IF(AND(LEN('Licences'!A17)&gt;0,ISNUMBER('Licences'!J17)),MAX($B$3:B16)+1,"")</f>
        <v/>
      </c>
      <c r="E17">
        <f>IFERROR(MATCH(14,$B$4:$B$503,0),"")</f>
        <v/>
      </c>
    </row>
    <row r="18">
      <c r="A18">
        <f>IF(AND(LEN('Licences'!A18)&gt;0,ISNUMBER('Licences'!J18)),'Licences'!J18+15/100000,"")</f>
        <v/>
      </c>
      <c r="B18">
        <f>IF(AND(LEN('Licences'!A18)&gt;0,ISNUMBER('Licences'!J18)),MAX($B$3:B17)+1,"")</f>
        <v/>
      </c>
      <c r="E18">
        <f>IFERROR(MATCH(15,$B$4:$B$503,0),"")</f>
        <v/>
      </c>
    </row>
    <row r="19">
      <c r="A19">
        <f>IF(AND(LEN('Licences'!A19)&gt;0,ISNUMBER('Licences'!J19)),'Licences'!J19+16/100000,"")</f>
        <v/>
      </c>
      <c r="B19">
        <f>IF(AND(LEN('Licences'!A19)&gt;0,ISNUMBER('Licences'!J19)),MAX($B$3:B18)+1,"")</f>
        <v/>
      </c>
      <c r="E19">
        <f>IFERROR(MATCH(16,$B$4:$B$503,0),"")</f>
        <v/>
      </c>
    </row>
    <row r="20">
      <c r="A20">
        <f>IF(AND(LEN('Licences'!A20)&gt;0,ISNUMBER('Licences'!J20)),'Licences'!J20+17/100000,"")</f>
        <v/>
      </c>
      <c r="B20">
        <f>IF(AND(LEN('Licences'!A20)&gt;0,ISNUMBER('Licences'!J20)),MAX($B$3:B19)+1,"")</f>
        <v/>
      </c>
      <c r="E20">
        <f>IFERROR(MATCH(17,$B$4:$B$503,0),"")</f>
        <v/>
      </c>
    </row>
    <row r="21">
      <c r="A21">
        <f>IF(AND(LEN('Licences'!A21)&gt;0,ISNUMBER('Licences'!J21)),'Licences'!J21+18/100000,"")</f>
        <v/>
      </c>
      <c r="B21">
        <f>IF(AND(LEN('Licences'!A21)&gt;0,ISNUMBER('Licences'!J21)),MAX($B$3:B20)+1,"")</f>
        <v/>
      </c>
      <c r="E21">
        <f>IFERROR(MATCH(18,$B$4:$B$503,0),"")</f>
        <v/>
      </c>
    </row>
    <row r="22">
      <c r="A22">
        <f>IF(AND(LEN('Licences'!A22)&gt;0,ISNUMBER('Licences'!J22)),'Licences'!J22+19/100000,"")</f>
        <v/>
      </c>
      <c r="B22">
        <f>IF(AND(LEN('Licences'!A22)&gt;0,ISNUMBER('Licences'!J22)),MAX($B$3:B21)+1,"")</f>
        <v/>
      </c>
      <c r="E22">
        <f>IFERROR(MATCH(19,$B$4:$B$503,0),"")</f>
        <v/>
      </c>
    </row>
    <row r="23">
      <c r="A23">
        <f>IF(AND(LEN('Licences'!A23)&gt;0,ISNUMBER('Licences'!J23)),'Licences'!J23+20/100000,"")</f>
        <v/>
      </c>
      <c r="B23">
        <f>IF(AND(LEN('Licences'!A23)&gt;0,ISNUMBER('Licences'!J23)),MAX($B$3:B22)+1,"")</f>
        <v/>
      </c>
      <c r="E23">
        <f>IFERROR(MATCH(20,$B$4:$B$503,0),"")</f>
        <v/>
      </c>
    </row>
    <row r="24">
      <c r="A24">
        <f>IF(AND(LEN('Licences'!A24)&gt;0,ISNUMBER('Licences'!J24)),'Licences'!J24+21/100000,"")</f>
        <v/>
      </c>
      <c r="B24">
        <f>IF(AND(LEN('Licences'!A24)&gt;0,ISNUMBER('Licences'!J24)),MAX($B$3:B23)+1,"")</f>
        <v/>
      </c>
      <c r="E24">
        <f>IFERROR(MATCH(21,$B$4:$B$503,0),"")</f>
        <v/>
      </c>
    </row>
    <row r="25">
      <c r="A25">
        <f>IF(AND(LEN('Licences'!A25)&gt;0,ISNUMBER('Licences'!J25)),'Licences'!J25+22/100000,"")</f>
        <v/>
      </c>
      <c r="B25">
        <f>IF(AND(LEN('Licences'!A25)&gt;0,ISNUMBER('Licences'!J25)),MAX($B$3:B24)+1,"")</f>
        <v/>
      </c>
      <c r="E25">
        <f>IFERROR(MATCH(22,$B$4:$B$503,0),"")</f>
        <v/>
      </c>
    </row>
    <row r="26">
      <c r="A26">
        <f>IF(AND(LEN('Licences'!A26)&gt;0,ISNUMBER('Licences'!J26)),'Licences'!J26+23/100000,"")</f>
        <v/>
      </c>
      <c r="B26">
        <f>IF(AND(LEN('Licences'!A26)&gt;0,ISNUMBER('Licences'!J26)),MAX($B$3:B25)+1,"")</f>
        <v/>
      </c>
      <c r="E26">
        <f>IFERROR(MATCH(23,$B$4:$B$503,0),"")</f>
        <v/>
      </c>
    </row>
    <row r="27">
      <c r="A27">
        <f>IF(AND(LEN('Licences'!A27)&gt;0,ISNUMBER('Licences'!J27)),'Licences'!J27+24/100000,"")</f>
        <v/>
      </c>
      <c r="B27">
        <f>IF(AND(LEN('Licences'!A27)&gt;0,ISNUMBER('Licences'!J27)),MAX($B$3:B26)+1,"")</f>
        <v/>
      </c>
      <c r="E27">
        <f>IFERROR(MATCH(24,$B$4:$B$503,0),"")</f>
        <v/>
      </c>
    </row>
    <row r="28">
      <c r="A28">
        <f>IF(AND(LEN('Licences'!A28)&gt;0,ISNUMBER('Licences'!J28)),'Licences'!J28+25/100000,"")</f>
        <v/>
      </c>
      <c r="B28">
        <f>IF(AND(LEN('Licences'!A28)&gt;0,ISNUMBER('Licences'!J28)),MAX($B$3:B27)+1,"")</f>
        <v/>
      </c>
      <c r="E28">
        <f>IFERROR(MATCH(25,$B$4:$B$503,0),"")</f>
        <v/>
      </c>
    </row>
    <row r="29">
      <c r="A29">
        <f>IF(AND(LEN('Licences'!A29)&gt;0,ISNUMBER('Licences'!J29)),'Licences'!J29+26/100000,"")</f>
        <v/>
      </c>
      <c r="B29">
        <f>IF(AND(LEN('Licences'!A29)&gt;0,ISNUMBER('Licences'!J29)),MAX($B$3:B28)+1,"")</f>
        <v/>
      </c>
      <c r="E29">
        <f>IFERROR(MATCH(26,$B$4:$B$503,0),"")</f>
        <v/>
      </c>
    </row>
    <row r="30">
      <c r="A30">
        <f>IF(AND(LEN('Licences'!A30)&gt;0,ISNUMBER('Licences'!J30)),'Licences'!J30+27/100000,"")</f>
        <v/>
      </c>
      <c r="B30">
        <f>IF(AND(LEN('Licences'!A30)&gt;0,ISNUMBER('Licences'!J30)),MAX($B$3:B29)+1,"")</f>
        <v/>
      </c>
      <c r="E30">
        <f>IFERROR(MATCH(27,$B$4:$B$503,0),"")</f>
        <v/>
      </c>
    </row>
    <row r="31">
      <c r="A31">
        <f>IF(AND(LEN('Licences'!A31)&gt;0,ISNUMBER('Licences'!J31)),'Licences'!J31+28/100000,"")</f>
        <v/>
      </c>
      <c r="B31">
        <f>IF(AND(LEN('Licences'!A31)&gt;0,ISNUMBER('Licences'!J31)),MAX($B$3:B30)+1,"")</f>
        <v/>
      </c>
      <c r="E31">
        <f>IFERROR(MATCH(28,$B$4:$B$503,0),"")</f>
        <v/>
      </c>
    </row>
    <row r="32">
      <c r="A32">
        <f>IF(AND(LEN('Licences'!A32)&gt;0,ISNUMBER('Licences'!J32)),'Licences'!J32+29/100000,"")</f>
        <v/>
      </c>
      <c r="B32">
        <f>IF(AND(LEN('Licences'!A32)&gt;0,ISNUMBER('Licences'!J32)),MAX($B$3:B31)+1,"")</f>
        <v/>
      </c>
      <c r="E32">
        <f>IFERROR(MATCH(29,$B$4:$B$503,0),"")</f>
        <v/>
      </c>
    </row>
    <row r="33">
      <c r="A33">
        <f>IF(AND(LEN('Licences'!A33)&gt;0,ISNUMBER('Licences'!J33)),'Licences'!J33+30/100000,"")</f>
        <v/>
      </c>
      <c r="B33">
        <f>IF(AND(LEN('Licences'!A33)&gt;0,ISNUMBER('Licences'!J33)),MAX($B$3:B32)+1,"")</f>
        <v/>
      </c>
      <c r="E33">
        <f>IFERROR(MATCH(30,$B$4:$B$503,0),"")</f>
        <v/>
      </c>
    </row>
    <row r="34">
      <c r="A34">
        <f>IF(AND(LEN('Licences'!A34)&gt;0,ISNUMBER('Licences'!J34)),'Licences'!J34+31/100000,"")</f>
        <v/>
      </c>
      <c r="B34">
        <f>IF(AND(LEN('Licences'!A34)&gt;0,ISNUMBER('Licences'!J34)),MAX($B$3:B33)+1,"")</f>
        <v/>
      </c>
      <c r="E34">
        <f>IFERROR(MATCH(31,$B$4:$B$503,0),"")</f>
        <v/>
      </c>
    </row>
    <row r="35">
      <c r="A35">
        <f>IF(AND(LEN('Licences'!A35)&gt;0,ISNUMBER('Licences'!J35)),'Licences'!J35+32/100000,"")</f>
        <v/>
      </c>
      <c r="B35">
        <f>IF(AND(LEN('Licences'!A35)&gt;0,ISNUMBER('Licences'!J35)),MAX($B$3:B34)+1,"")</f>
        <v/>
      </c>
      <c r="E35">
        <f>IFERROR(MATCH(32,$B$4:$B$503,0),"")</f>
        <v/>
      </c>
    </row>
    <row r="36">
      <c r="A36">
        <f>IF(AND(LEN('Licences'!A36)&gt;0,ISNUMBER('Licences'!J36)),'Licences'!J36+33/100000,"")</f>
        <v/>
      </c>
      <c r="B36">
        <f>IF(AND(LEN('Licences'!A36)&gt;0,ISNUMBER('Licences'!J36)),MAX($B$3:B35)+1,"")</f>
        <v/>
      </c>
      <c r="E36">
        <f>IFERROR(MATCH(33,$B$4:$B$503,0),"")</f>
        <v/>
      </c>
    </row>
    <row r="37">
      <c r="A37">
        <f>IF(AND(LEN('Licences'!A37)&gt;0,ISNUMBER('Licences'!J37)),'Licences'!J37+34/100000,"")</f>
        <v/>
      </c>
      <c r="B37">
        <f>IF(AND(LEN('Licences'!A37)&gt;0,ISNUMBER('Licences'!J37)),MAX($B$3:B36)+1,"")</f>
        <v/>
      </c>
      <c r="E37">
        <f>IFERROR(MATCH(34,$B$4:$B$503,0),"")</f>
        <v/>
      </c>
    </row>
    <row r="38">
      <c r="A38">
        <f>IF(AND(LEN('Licences'!A38)&gt;0,ISNUMBER('Licences'!J38)),'Licences'!J38+35/100000,"")</f>
        <v/>
      </c>
      <c r="B38">
        <f>IF(AND(LEN('Licences'!A38)&gt;0,ISNUMBER('Licences'!J38)),MAX($B$3:B37)+1,"")</f>
        <v/>
      </c>
      <c r="E38">
        <f>IFERROR(MATCH(35,$B$4:$B$503,0),"")</f>
        <v/>
      </c>
    </row>
    <row r="39">
      <c r="A39">
        <f>IF(AND(LEN('Licences'!A39)&gt;0,ISNUMBER('Licences'!J39)),'Licences'!J39+36/100000,"")</f>
        <v/>
      </c>
      <c r="B39">
        <f>IF(AND(LEN('Licences'!A39)&gt;0,ISNUMBER('Licences'!J39)),MAX($B$3:B38)+1,"")</f>
        <v/>
      </c>
      <c r="E39">
        <f>IFERROR(MATCH(36,$B$4:$B$503,0),"")</f>
        <v/>
      </c>
    </row>
    <row r="40">
      <c r="A40">
        <f>IF(AND(LEN('Licences'!A40)&gt;0,ISNUMBER('Licences'!J40)),'Licences'!J40+37/100000,"")</f>
        <v/>
      </c>
      <c r="B40">
        <f>IF(AND(LEN('Licences'!A40)&gt;0,ISNUMBER('Licences'!J40)),MAX($B$3:B39)+1,"")</f>
        <v/>
      </c>
      <c r="E40">
        <f>IFERROR(MATCH(37,$B$4:$B$503,0),"")</f>
        <v/>
      </c>
    </row>
    <row r="41">
      <c r="A41">
        <f>IF(AND(LEN('Licences'!A41)&gt;0,ISNUMBER('Licences'!J41)),'Licences'!J41+38/100000,"")</f>
        <v/>
      </c>
      <c r="B41">
        <f>IF(AND(LEN('Licences'!A41)&gt;0,ISNUMBER('Licences'!J41)),MAX($B$3:B40)+1,"")</f>
        <v/>
      </c>
      <c r="E41">
        <f>IFERROR(MATCH(38,$B$4:$B$503,0),"")</f>
        <v/>
      </c>
    </row>
    <row r="42">
      <c r="A42">
        <f>IF(AND(LEN('Licences'!A42)&gt;0,ISNUMBER('Licences'!J42)),'Licences'!J42+39/100000,"")</f>
        <v/>
      </c>
      <c r="B42">
        <f>IF(AND(LEN('Licences'!A42)&gt;0,ISNUMBER('Licences'!J42)),MAX($B$3:B41)+1,"")</f>
        <v/>
      </c>
      <c r="E42">
        <f>IFERROR(MATCH(39,$B$4:$B$503,0),"")</f>
        <v/>
      </c>
    </row>
    <row r="43">
      <c r="A43">
        <f>IF(AND(LEN('Licences'!A43)&gt;0,ISNUMBER('Licences'!J43)),'Licences'!J43+40/100000,"")</f>
        <v/>
      </c>
      <c r="B43">
        <f>IF(AND(LEN('Licences'!A43)&gt;0,ISNUMBER('Licences'!J43)),MAX($B$3:B42)+1,"")</f>
        <v/>
      </c>
      <c r="E43">
        <f>IFERROR(MATCH(40,$B$4:$B$503,0),"")</f>
        <v/>
      </c>
    </row>
    <row r="44">
      <c r="A44">
        <f>IF(AND(LEN('Licences'!A44)&gt;0,ISNUMBER('Licences'!J44)),'Licences'!J44+41/100000,"")</f>
        <v/>
      </c>
      <c r="B44">
        <f>IF(AND(LEN('Licences'!A44)&gt;0,ISNUMBER('Licences'!J44)),MAX($B$3:B43)+1,"")</f>
        <v/>
      </c>
      <c r="E44">
        <f>IFERROR(MATCH(41,$B$4:$B$503,0),"")</f>
        <v/>
      </c>
    </row>
    <row r="45">
      <c r="A45">
        <f>IF(AND(LEN('Licences'!A45)&gt;0,ISNUMBER('Licences'!J45)),'Licences'!J45+42/100000,"")</f>
        <v/>
      </c>
      <c r="B45">
        <f>IF(AND(LEN('Licences'!A45)&gt;0,ISNUMBER('Licences'!J45)),MAX($B$3:B44)+1,"")</f>
        <v/>
      </c>
      <c r="E45">
        <f>IFERROR(MATCH(42,$B$4:$B$503,0),"")</f>
        <v/>
      </c>
    </row>
    <row r="46">
      <c r="A46">
        <f>IF(AND(LEN('Licences'!A46)&gt;0,ISNUMBER('Licences'!J46)),'Licences'!J46+43/100000,"")</f>
        <v/>
      </c>
      <c r="B46">
        <f>IF(AND(LEN('Licences'!A46)&gt;0,ISNUMBER('Licences'!J46)),MAX($B$3:B45)+1,"")</f>
        <v/>
      </c>
      <c r="E46">
        <f>IFERROR(MATCH(43,$B$4:$B$503,0),"")</f>
        <v/>
      </c>
    </row>
    <row r="47">
      <c r="A47">
        <f>IF(AND(LEN('Licences'!A47)&gt;0,ISNUMBER('Licences'!J47)),'Licences'!J47+44/100000,"")</f>
        <v/>
      </c>
      <c r="B47">
        <f>IF(AND(LEN('Licences'!A47)&gt;0,ISNUMBER('Licences'!J47)),MAX($B$3:B46)+1,"")</f>
        <v/>
      </c>
      <c r="E47">
        <f>IFERROR(MATCH(44,$B$4:$B$503,0),"")</f>
        <v/>
      </c>
    </row>
    <row r="48">
      <c r="A48">
        <f>IF(AND(LEN('Licences'!A48)&gt;0,ISNUMBER('Licences'!J48)),'Licences'!J48+45/100000,"")</f>
        <v/>
      </c>
      <c r="B48">
        <f>IF(AND(LEN('Licences'!A48)&gt;0,ISNUMBER('Licences'!J48)),MAX($B$3:B47)+1,"")</f>
        <v/>
      </c>
      <c r="E48">
        <f>IFERROR(MATCH(45,$B$4:$B$503,0),"")</f>
        <v/>
      </c>
    </row>
    <row r="49">
      <c r="A49">
        <f>IF(AND(LEN('Licences'!A49)&gt;0,ISNUMBER('Licences'!J49)),'Licences'!J49+46/100000,"")</f>
        <v/>
      </c>
      <c r="B49">
        <f>IF(AND(LEN('Licences'!A49)&gt;0,ISNUMBER('Licences'!J49)),MAX($B$3:B48)+1,"")</f>
        <v/>
      </c>
      <c r="E49">
        <f>IFERROR(MATCH(46,$B$4:$B$503,0),"")</f>
        <v/>
      </c>
    </row>
    <row r="50">
      <c r="A50">
        <f>IF(AND(LEN('Licences'!A50)&gt;0,ISNUMBER('Licences'!J50)),'Licences'!J50+47/100000,"")</f>
        <v/>
      </c>
      <c r="B50">
        <f>IF(AND(LEN('Licences'!A50)&gt;0,ISNUMBER('Licences'!J50)),MAX($B$3:B49)+1,"")</f>
        <v/>
      </c>
      <c r="E50">
        <f>IFERROR(MATCH(47,$B$4:$B$503,0),"")</f>
        <v/>
      </c>
    </row>
    <row r="51">
      <c r="A51">
        <f>IF(AND(LEN('Licences'!A51)&gt;0,ISNUMBER('Licences'!J51)),'Licences'!J51+48/100000,"")</f>
        <v/>
      </c>
      <c r="B51">
        <f>IF(AND(LEN('Licences'!A51)&gt;0,ISNUMBER('Licences'!J51)),MAX($B$3:B50)+1,"")</f>
        <v/>
      </c>
      <c r="E51">
        <f>IFERROR(MATCH(48,$B$4:$B$503,0),"")</f>
        <v/>
      </c>
    </row>
    <row r="52">
      <c r="A52">
        <f>IF(AND(LEN('Licences'!A52)&gt;0,ISNUMBER('Licences'!J52)),'Licences'!J52+49/100000,"")</f>
        <v/>
      </c>
      <c r="B52">
        <f>IF(AND(LEN('Licences'!A52)&gt;0,ISNUMBER('Licences'!J52)),MAX($B$3:B51)+1,"")</f>
        <v/>
      </c>
      <c r="E52">
        <f>IFERROR(MATCH(49,$B$4:$B$503,0),"")</f>
        <v/>
      </c>
    </row>
    <row r="53">
      <c r="A53">
        <f>IF(AND(LEN('Licences'!A53)&gt;0,ISNUMBER('Licences'!J53)),'Licences'!J53+50/100000,"")</f>
        <v/>
      </c>
      <c r="B53">
        <f>IF(AND(LEN('Licences'!A53)&gt;0,ISNUMBER('Licences'!J53)),MAX($B$3:B52)+1,"")</f>
        <v/>
      </c>
      <c r="E53">
        <f>IFERROR(MATCH(50,$B$4:$B$503,0),"")</f>
        <v/>
      </c>
    </row>
    <row r="54">
      <c r="A54">
        <f>IF(AND(LEN('Licences'!A54)&gt;0,ISNUMBER('Licences'!J54)),'Licences'!J54+51/100000,"")</f>
        <v/>
      </c>
      <c r="B54">
        <f>IF(AND(LEN('Licences'!A54)&gt;0,ISNUMBER('Licences'!J54)),MAX($B$3:B53)+1,"")</f>
        <v/>
      </c>
      <c r="E54">
        <f>IFERROR(MATCH(51,$B$4:$B$503,0),"")</f>
        <v/>
      </c>
    </row>
    <row r="55">
      <c r="A55">
        <f>IF(AND(LEN('Licences'!A55)&gt;0,ISNUMBER('Licences'!J55)),'Licences'!J55+52/100000,"")</f>
        <v/>
      </c>
      <c r="B55">
        <f>IF(AND(LEN('Licences'!A55)&gt;0,ISNUMBER('Licences'!J55)),MAX($B$3:B54)+1,"")</f>
        <v/>
      </c>
      <c r="E55">
        <f>IFERROR(MATCH(52,$B$4:$B$503,0),"")</f>
        <v/>
      </c>
    </row>
    <row r="56">
      <c r="A56">
        <f>IF(AND(LEN('Licences'!A56)&gt;0,ISNUMBER('Licences'!J56)),'Licences'!J56+53/100000,"")</f>
        <v/>
      </c>
      <c r="B56">
        <f>IF(AND(LEN('Licences'!A56)&gt;0,ISNUMBER('Licences'!J56)),MAX($B$3:B55)+1,"")</f>
        <v/>
      </c>
      <c r="E56">
        <f>IFERROR(MATCH(53,$B$4:$B$503,0),"")</f>
        <v/>
      </c>
    </row>
    <row r="57">
      <c r="A57">
        <f>IF(AND(LEN('Licences'!A57)&gt;0,ISNUMBER('Licences'!J57)),'Licences'!J57+54/100000,"")</f>
        <v/>
      </c>
      <c r="B57">
        <f>IF(AND(LEN('Licences'!A57)&gt;0,ISNUMBER('Licences'!J57)),MAX($B$3:B56)+1,"")</f>
        <v/>
      </c>
      <c r="E57">
        <f>IFERROR(MATCH(54,$B$4:$B$503,0),"")</f>
        <v/>
      </c>
    </row>
    <row r="58">
      <c r="A58">
        <f>IF(AND(LEN('Licences'!A58)&gt;0,ISNUMBER('Licences'!J58)),'Licences'!J58+55/100000,"")</f>
        <v/>
      </c>
      <c r="B58">
        <f>IF(AND(LEN('Licences'!A58)&gt;0,ISNUMBER('Licences'!J58)),MAX($B$3:B57)+1,"")</f>
        <v/>
      </c>
      <c r="E58">
        <f>IFERROR(MATCH(55,$B$4:$B$503,0),"")</f>
        <v/>
      </c>
    </row>
    <row r="59">
      <c r="A59">
        <f>IF(AND(LEN('Licences'!A59)&gt;0,ISNUMBER('Licences'!J59)),'Licences'!J59+56/100000,"")</f>
        <v/>
      </c>
      <c r="B59">
        <f>IF(AND(LEN('Licences'!A59)&gt;0,ISNUMBER('Licences'!J59)),MAX($B$3:B58)+1,"")</f>
        <v/>
      </c>
      <c r="E59">
        <f>IFERROR(MATCH(56,$B$4:$B$503,0),"")</f>
        <v/>
      </c>
    </row>
    <row r="60">
      <c r="A60">
        <f>IF(AND(LEN('Licences'!A60)&gt;0,ISNUMBER('Licences'!J60)),'Licences'!J60+57/100000,"")</f>
        <v/>
      </c>
      <c r="B60">
        <f>IF(AND(LEN('Licences'!A60)&gt;0,ISNUMBER('Licences'!J60)),MAX($B$3:B59)+1,"")</f>
        <v/>
      </c>
      <c r="E60">
        <f>IFERROR(MATCH(57,$B$4:$B$503,0),"")</f>
        <v/>
      </c>
    </row>
    <row r="61">
      <c r="A61">
        <f>IF(AND(LEN('Licences'!A61)&gt;0,ISNUMBER('Licences'!J61)),'Licences'!J61+58/100000,"")</f>
        <v/>
      </c>
      <c r="B61">
        <f>IF(AND(LEN('Licences'!A61)&gt;0,ISNUMBER('Licences'!J61)),MAX($B$3:B60)+1,"")</f>
        <v/>
      </c>
      <c r="E61">
        <f>IFERROR(MATCH(58,$B$4:$B$503,0),"")</f>
        <v/>
      </c>
    </row>
    <row r="62">
      <c r="A62">
        <f>IF(AND(LEN('Licences'!A62)&gt;0,ISNUMBER('Licences'!J62)),'Licences'!J62+59/100000,"")</f>
        <v/>
      </c>
      <c r="B62">
        <f>IF(AND(LEN('Licences'!A62)&gt;0,ISNUMBER('Licences'!J62)),MAX($B$3:B61)+1,"")</f>
        <v/>
      </c>
      <c r="E62">
        <f>IFERROR(MATCH(59,$B$4:$B$503,0),"")</f>
        <v/>
      </c>
    </row>
    <row r="63">
      <c r="A63">
        <f>IF(AND(LEN('Licences'!A63)&gt;0,ISNUMBER('Licences'!J63)),'Licences'!J63+60/100000,"")</f>
        <v/>
      </c>
      <c r="B63">
        <f>IF(AND(LEN('Licences'!A63)&gt;0,ISNUMBER('Licences'!J63)),MAX($B$3:B62)+1,"")</f>
        <v/>
      </c>
      <c r="E63">
        <f>IFERROR(MATCH(60,$B$4:$B$503,0),"")</f>
        <v/>
      </c>
    </row>
    <row r="64">
      <c r="A64">
        <f>IF(AND(LEN('Licences'!A64)&gt;0,ISNUMBER('Licences'!J64)),'Licences'!J64+61/100000,"")</f>
        <v/>
      </c>
      <c r="B64">
        <f>IF(AND(LEN('Licences'!A64)&gt;0,ISNUMBER('Licences'!J64)),MAX($B$3:B63)+1,"")</f>
        <v/>
      </c>
      <c r="E64">
        <f>IFERROR(MATCH(61,$B$4:$B$503,0),"")</f>
        <v/>
      </c>
    </row>
    <row r="65">
      <c r="A65">
        <f>IF(AND(LEN('Licences'!A65)&gt;0,ISNUMBER('Licences'!J65)),'Licences'!J65+62/100000,"")</f>
        <v/>
      </c>
      <c r="B65">
        <f>IF(AND(LEN('Licences'!A65)&gt;0,ISNUMBER('Licences'!J65)),MAX($B$3:B64)+1,"")</f>
        <v/>
      </c>
      <c r="E65">
        <f>IFERROR(MATCH(62,$B$4:$B$503,0),"")</f>
        <v/>
      </c>
    </row>
    <row r="66">
      <c r="A66">
        <f>IF(AND(LEN('Licences'!A66)&gt;0,ISNUMBER('Licences'!J66)),'Licences'!J66+63/100000,"")</f>
        <v/>
      </c>
      <c r="B66">
        <f>IF(AND(LEN('Licences'!A66)&gt;0,ISNUMBER('Licences'!J66)),MAX($B$3:B65)+1,"")</f>
        <v/>
      </c>
      <c r="E66">
        <f>IFERROR(MATCH(63,$B$4:$B$503,0),"")</f>
        <v/>
      </c>
    </row>
    <row r="67">
      <c r="A67">
        <f>IF(AND(LEN('Licences'!A67)&gt;0,ISNUMBER('Licences'!J67)),'Licences'!J67+64/100000,"")</f>
        <v/>
      </c>
      <c r="B67">
        <f>IF(AND(LEN('Licences'!A67)&gt;0,ISNUMBER('Licences'!J67)),MAX($B$3:B66)+1,"")</f>
        <v/>
      </c>
      <c r="E67">
        <f>IFERROR(MATCH(64,$B$4:$B$503,0),"")</f>
        <v/>
      </c>
    </row>
    <row r="68">
      <c r="A68">
        <f>IF(AND(LEN('Licences'!A68)&gt;0,ISNUMBER('Licences'!J68)),'Licences'!J68+65/100000,"")</f>
        <v/>
      </c>
      <c r="B68">
        <f>IF(AND(LEN('Licences'!A68)&gt;0,ISNUMBER('Licences'!J68)),MAX($B$3:B67)+1,"")</f>
        <v/>
      </c>
      <c r="E68">
        <f>IFERROR(MATCH(65,$B$4:$B$503,0),"")</f>
        <v/>
      </c>
    </row>
    <row r="69">
      <c r="A69">
        <f>IF(AND(LEN('Licences'!A69)&gt;0,ISNUMBER('Licences'!J69)),'Licences'!J69+66/100000,"")</f>
        <v/>
      </c>
      <c r="B69">
        <f>IF(AND(LEN('Licences'!A69)&gt;0,ISNUMBER('Licences'!J69)),MAX($B$3:B68)+1,"")</f>
        <v/>
      </c>
      <c r="E69">
        <f>IFERROR(MATCH(66,$B$4:$B$503,0),"")</f>
        <v/>
      </c>
    </row>
    <row r="70">
      <c r="A70">
        <f>IF(AND(LEN('Licences'!A70)&gt;0,ISNUMBER('Licences'!J70)),'Licences'!J70+67/100000,"")</f>
        <v/>
      </c>
      <c r="B70">
        <f>IF(AND(LEN('Licences'!A70)&gt;0,ISNUMBER('Licences'!J70)),MAX($B$3:B69)+1,"")</f>
        <v/>
      </c>
      <c r="E70">
        <f>IFERROR(MATCH(67,$B$4:$B$503,0),"")</f>
        <v/>
      </c>
    </row>
    <row r="71">
      <c r="A71">
        <f>IF(AND(LEN('Licences'!A71)&gt;0,ISNUMBER('Licences'!J71)),'Licences'!J71+68/100000,"")</f>
        <v/>
      </c>
      <c r="B71">
        <f>IF(AND(LEN('Licences'!A71)&gt;0,ISNUMBER('Licences'!J71)),MAX($B$3:B70)+1,"")</f>
        <v/>
      </c>
      <c r="E71">
        <f>IFERROR(MATCH(68,$B$4:$B$503,0),"")</f>
        <v/>
      </c>
    </row>
    <row r="72">
      <c r="A72">
        <f>IF(AND(LEN('Licences'!A72)&gt;0,ISNUMBER('Licences'!J72)),'Licences'!J72+69/100000,"")</f>
        <v/>
      </c>
      <c r="B72">
        <f>IF(AND(LEN('Licences'!A72)&gt;0,ISNUMBER('Licences'!J72)),MAX($B$3:B71)+1,"")</f>
        <v/>
      </c>
      <c r="E72">
        <f>IFERROR(MATCH(69,$B$4:$B$503,0),"")</f>
        <v/>
      </c>
    </row>
    <row r="73">
      <c r="A73">
        <f>IF(AND(LEN('Licences'!A73)&gt;0,ISNUMBER('Licences'!J73)),'Licences'!J73+70/100000,"")</f>
        <v/>
      </c>
      <c r="B73">
        <f>IF(AND(LEN('Licences'!A73)&gt;0,ISNUMBER('Licences'!J73)),MAX($B$3:B72)+1,"")</f>
        <v/>
      </c>
      <c r="E73">
        <f>IFERROR(MATCH(70,$B$4:$B$503,0),"")</f>
        <v/>
      </c>
    </row>
    <row r="74">
      <c r="A74">
        <f>IF(AND(LEN('Licences'!A74)&gt;0,ISNUMBER('Licences'!J74)),'Licences'!J74+71/100000,"")</f>
        <v/>
      </c>
      <c r="B74">
        <f>IF(AND(LEN('Licences'!A74)&gt;0,ISNUMBER('Licences'!J74)),MAX($B$3:B73)+1,"")</f>
        <v/>
      </c>
      <c r="E74">
        <f>IFERROR(MATCH(71,$B$4:$B$503,0),"")</f>
        <v/>
      </c>
    </row>
    <row r="75">
      <c r="A75">
        <f>IF(AND(LEN('Licences'!A75)&gt;0,ISNUMBER('Licences'!J75)),'Licences'!J75+72/100000,"")</f>
        <v/>
      </c>
      <c r="B75">
        <f>IF(AND(LEN('Licences'!A75)&gt;0,ISNUMBER('Licences'!J75)),MAX($B$3:B74)+1,"")</f>
        <v/>
      </c>
      <c r="E75">
        <f>IFERROR(MATCH(72,$B$4:$B$503,0),"")</f>
        <v/>
      </c>
    </row>
    <row r="76">
      <c r="A76">
        <f>IF(AND(LEN('Licences'!A76)&gt;0,ISNUMBER('Licences'!J76)),'Licences'!J76+73/100000,"")</f>
        <v/>
      </c>
      <c r="B76">
        <f>IF(AND(LEN('Licences'!A76)&gt;0,ISNUMBER('Licences'!J76)),MAX($B$3:B75)+1,"")</f>
        <v/>
      </c>
      <c r="E76">
        <f>IFERROR(MATCH(73,$B$4:$B$503,0),"")</f>
        <v/>
      </c>
    </row>
    <row r="77">
      <c r="A77">
        <f>IF(AND(LEN('Licences'!A77)&gt;0,ISNUMBER('Licences'!J77)),'Licences'!J77+74/100000,"")</f>
        <v/>
      </c>
      <c r="B77">
        <f>IF(AND(LEN('Licences'!A77)&gt;0,ISNUMBER('Licences'!J77)),MAX($B$3:B76)+1,"")</f>
        <v/>
      </c>
      <c r="E77">
        <f>IFERROR(MATCH(74,$B$4:$B$503,0),"")</f>
        <v/>
      </c>
    </row>
    <row r="78">
      <c r="A78">
        <f>IF(AND(LEN('Licences'!A78)&gt;0,ISNUMBER('Licences'!J78)),'Licences'!J78+75/100000,"")</f>
        <v/>
      </c>
      <c r="B78">
        <f>IF(AND(LEN('Licences'!A78)&gt;0,ISNUMBER('Licences'!J78)),MAX($B$3:B77)+1,"")</f>
        <v/>
      </c>
      <c r="E78">
        <f>IFERROR(MATCH(75,$B$4:$B$503,0),"")</f>
        <v/>
      </c>
    </row>
    <row r="79">
      <c r="A79">
        <f>IF(AND(LEN('Licences'!A79)&gt;0,ISNUMBER('Licences'!J79)),'Licences'!J79+76/100000,"")</f>
        <v/>
      </c>
      <c r="B79">
        <f>IF(AND(LEN('Licences'!A79)&gt;0,ISNUMBER('Licences'!J79)),MAX($B$3:B78)+1,"")</f>
        <v/>
      </c>
      <c r="E79">
        <f>IFERROR(MATCH(76,$B$4:$B$503,0),"")</f>
        <v/>
      </c>
    </row>
    <row r="80">
      <c r="A80">
        <f>IF(AND(LEN('Licences'!A80)&gt;0,ISNUMBER('Licences'!J80)),'Licences'!J80+77/100000,"")</f>
        <v/>
      </c>
      <c r="B80">
        <f>IF(AND(LEN('Licences'!A80)&gt;0,ISNUMBER('Licences'!J80)),MAX($B$3:B79)+1,"")</f>
        <v/>
      </c>
      <c r="E80">
        <f>IFERROR(MATCH(77,$B$4:$B$503,0),"")</f>
        <v/>
      </c>
    </row>
    <row r="81">
      <c r="A81">
        <f>IF(AND(LEN('Licences'!A81)&gt;0,ISNUMBER('Licences'!J81)),'Licences'!J81+78/100000,"")</f>
        <v/>
      </c>
      <c r="B81">
        <f>IF(AND(LEN('Licences'!A81)&gt;0,ISNUMBER('Licences'!J81)),MAX($B$3:B80)+1,"")</f>
        <v/>
      </c>
      <c r="E81">
        <f>IFERROR(MATCH(78,$B$4:$B$503,0),"")</f>
        <v/>
      </c>
    </row>
    <row r="82">
      <c r="A82">
        <f>IF(AND(LEN('Licences'!A82)&gt;0,ISNUMBER('Licences'!J82)),'Licences'!J82+79/100000,"")</f>
        <v/>
      </c>
      <c r="B82">
        <f>IF(AND(LEN('Licences'!A82)&gt;0,ISNUMBER('Licences'!J82)),MAX($B$3:B81)+1,"")</f>
        <v/>
      </c>
      <c r="E82">
        <f>IFERROR(MATCH(79,$B$4:$B$503,0),"")</f>
        <v/>
      </c>
    </row>
    <row r="83">
      <c r="A83">
        <f>IF(AND(LEN('Licences'!A83)&gt;0,ISNUMBER('Licences'!J83)),'Licences'!J83+80/100000,"")</f>
        <v/>
      </c>
      <c r="B83">
        <f>IF(AND(LEN('Licences'!A83)&gt;0,ISNUMBER('Licences'!J83)),MAX($B$3:B82)+1,"")</f>
        <v/>
      </c>
      <c r="E83">
        <f>IFERROR(MATCH(80,$B$4:$B$503,0),"")</f>
        <v/>
      </c>
    </row>
    <row r="84">
      <c r="A84">
        <f>IF(AND(LEN('Licences'!A84)&gt;0,ISNUMBER('Licences'!J84)),'Licences'!J84+81/100000,"")</f>
        <v/>
      </c>
      <c r="B84">
        <f>IF(AND(LEN('Licences'!A84)&gt;0,ISNUMBER('Licences'!J84)),MAX($B$3:B83)+1,"")</f>
        <v/>
      </c>
      <c r="E84">
        <f>IFERROR(MATCH(81,$B$4:$B$503,0),"")</f>
        <v/>
      </c>
    </row>
    <row r="85">
      <c r="A85">
        <f>IF(AND(LEN('Licences'!A85)&gt;0,ISNUMBER('Licences'!J85)),'Licences'!J85+82/100000,"")</f>
        <v/>
      </c>
      <c r="B85">
        <f>IF(AND(LEN('Licences'!A85)&gt;0,ISNUMBER('Licences'!J85)),MAX($B$3:B84)+1,"")</f>
        <v/>
      </c>
      <c r="E85">
        <f>IFERROR(MATCH(82,$B$4:$B$503,0),"")</f>
        <v/>
      </c>
    </row>
    <row r="86">
      <c r="A86">
        <f>IF(AND(LEN('Licences'!A86)&gt;0,ISNUMBER('Licences'!J86)),'Licences'!J86+83/100000,"")</f>
        <v/>
      </c>
      <c r="B86">
        <f>IF(AND(LEN('Licences'!A86)&gt;0,ISNUMBER('Licences'!J86)),MAX($B$3:B85)+1,"")</f>
        <v/>
      </c>
      <c r="E86">
        <f>IFERROR(MATCH(83,$B$4:$B$503,0),"")</f>
        <v/>
      </c>
    </row>
    <row r="87">
      <c r="A87">
        <f>IF(AND(LEN('Licences'!A87)&gt;0,ISNUMBER('Licences'!J87)),'Licences'!J87+84/100000,"")</f>
        <v/>
      </c>
      <c r="B87">
        <f>IF(AND(LEN('Licences'!A87)&gt;0,ISNUMBER('Licences'!J87)),MAX($B$3:B86)+1,"")</f>
        <v/>
      </c>
      <c r="E87">
        <f>IFERROR(MATCH(84,$B$4:$B$503,0),"")</f>
        <v/>
      </c>
    </row>
    <row r="88">
      <c r="A88">
        <f>IF(AND(LEN('Licences'!A88)&gt;0,ISNUMBER('Licences'!J88)),'Licences'!J88+85/100000,"")</f>
        <v/>
      </c>
      <c r="B88">
        <f>IF(AND(LEN('Licences'!A88)&gt;0,ISNUMBER('Licences'!J88)),MAX($B$3:B87)+1,"")</f>
        <v/>
      </c>
      <c r="E88">
        <f>IFERROR(MATCH(85,$B$4:$B$503,0),"")</f>
        <v/>
      </c>
    </row>
    <row r="89">
      <c r="A89">
        <f>IF(AND(LEN('Licences'!A89)&gt;0,ISNUMBER('Licences'!J89)),'Licences'!J89+86/100000,"")</f>
        <v/>
      </c>
      <c r="B89">
        <f>IF(AND(LEN('Licences'!A89)&gt;0,ISNUMBER('Licences'!J89)),MAX($B$3:B88)+1,"")</f>
        <v/>
      </c>
      <c r="E89">
        <f>IFERROR(MATCH(86,$B$4:$B$503,0),"")</f>
        <v/>
      </c>
    </row>
    <row r="90">
      <c r="A90">
        <f>IF(AND(LEN('Licences'!A90)&gt;0,ISNUMBER('Licences'!J90)),'Licences'!J90+87/100000,"")</f>
        <v/>
      </c>
      <c r="B90">
        <f>IF(AND(LEN('Licences'!A90)&gt;0,ISNUMBER('Licences'!J90)),MAX($B$3:B89)+1,"")</f>
        <v/>
      </c>
      <c r="E90">
        <f>IFERROR(MATCH(87,$B$4:$B$503,0),"")</f>
        <v/>
      </c>
    </row>
    <row r="91">
      <c r="A91">
        <f>IF(AND(LEN('Licences'!A91)&gt;0,ISNUMBER('Licences'!J91)),'Licences'!J91+88/100000,"")</f>
        <v/>
      </c>
      <c r="B91">
        <f>IF(AND(LEN('Licences'!A91)&gt;0,ISNUMBER('Licences'!J91)),MAX($B$3:B90)+1,"")</f>
        <v/>
      </c>
      <c r="E91">
        <f>IFERROR(MATCH(88,$B$4:$B$503,0),"")</f>
        <v/>
      </c>
    </row>
    <row r="92">
      <c r="A92">
        <f>IF(AND(LEN('Licences'!A92)&gt;0,ISNUMBER('Licences'!J92)),'Licences'!J92+89/100000,"")</f>
        <v/>
      </c>
      <c r="B92">
        <f>IF(AND(LEN('Licences'!A92)&gt;0,ISNUMBER('Licences'!J92)),MAX($B$3:B91)+1,"")</f>
        <v/>
      </c>
      <c r="E92">
        <f>IFERROR(MATCH(89,$B$4:$B$503,0),"")</f>
        <v/>
      </c>
    </row>
    <row r="93">
      <c r="A93">
        <f>IF(AND(LEN('Licences'!A93)&gt;0,ISNUMBER('Licences'!J93)),'Licences'!J93+90/100000,"")</f>
        <v/>
      </c>
      <c r="B93">
        <f>IF(AND(LEN('Licences'!A93)&gt;0,ISNUMBER('Licences'!J93)),MAX($B$3:B92)+1,"")</f>
        <v/>
      </c>
      <c r="E93">
        <f>IFERROR(MATCH(90,$B$4:$B$503,0),"")</f>
        <v/>
      </c>
    </row>
    <row r="94">
      <c r="A94">
        <f>IF(AND(LEN('Licences'!A94)&gt;0,ISNUMBER('Licences'!J94)),'Licences'!J94+91/100000,"")</f>
        <v/>
      </c>
      <c r="B94">
        <f>IF(AND(LEN('Licences'!A94)&gt;0,ISNUMBER('Licences'!J94)),MAX($B$3:B93)+1,"")</f>
        <v/>
      </c>
      <c r="E94">
        <f>IFERROR(MATCH(91,$B$4:$B$503,0),"")</f>
        <v/>
      </c>
    </row>
    <row r="95">
      <c r="A95">
        <f>IF(AND(LEN('Licences'!A95)&gt;0,ISNUMBER('Licences'!J95)),'Licences'!J95+92/100000,"")</f>
        <v/>
      </c>
      <c r="B95">
        <f>IF(AND(LEN('Licences'!A95)&gt;0,ISNUMBER('Licences'!J95)),MAX($B$3:B94)+1,"")</f>
        <v/>
      </c>
      <c r="E95">
        <f>IFERROR(MATCH(92,$B$4:$B$503,0),"")</f>
        <v/>
      </c>
    </row>
    <row r="96">
      <c r="A96">
        <f>IF(AND(LEN('Licences'!A96)&gt;0,ISNUMBER('Licences'!J96)),'Licences'!J96+93/100000,"")</f>
        <v/>
      </c>
      <c r="B96">
        <f>IF(AND(LEN('Licences'!A96)&gt;0,ISNUMBER('Licences'!J96)),MAX($B$3:B95)+1,"")</f>
        <v/>
      </c>
      <c r="E96">
        <f>IFERROR(MATCH(93,$B$4:$B$503,0),"")</f>
        <v/>
      </c>
    </row>
    <row r="97">
      <c r="A97">
        <f>IF(AND(LEN('Licences'!A97)&gt;0,ISNUMBER('Licences'!J97)),'Licences'!J97+94/100000,"")</f>
        <v/>
      </c>
      <c r="B97">
        <f>IF(AND(LEN('Licences'!A97)&gt;0,ISNUMBER('Licences'!J97)),MAX($B$3:B96)+1,"")</f>
        <v/>
      </c>
      <c r="E97">
        <f>IFERROR(MATCH(94,$B$4:$B$503,0),"")</f>
        <v/>
      </c>
    </row>
    <row r="98">
      <c r="A98">
        <f>IF(AND(LEN('Licences'!A98)&gt;0,ISNUMBER('Licences'!J98)),'Licences'!J98+95/100000,"")</f>
        <v/>
      </c>
      <c r="B98">
        <f>IF(AND(LEN('Licences'!A98)&gt;0,ISNUMBER('Licences'!J98)),MAX($B$3:B97)+1,"")</f>
        <v/>
      </c>
      <c r="E98">
        <f>IFERROR(MATCH(95,$B$4:$B$503,0),"")</f>
        <v/>
      </c>
    </row>
    <row r="99">
      <c r="A99">
        <f>IF(AND(LEN('Licences'!A99)&gt;0,ISNUMBER('Licences'!J99)),'Licences'!J99+96/100000,"")</f>
        <v/>
      </c>
      <c r="B99">
        <f>IF(AND(LEN('Licences'!A99)&gt;0,ISNUMBER('Licences'!J99)),MAX($B$3:B98)+1,"")</f>
        <v/>
      </c>
      <c r="E99">
        <f>IFERROR(MATCH(96,$B$4:$B$503,0),"")</f>
        <v/>
      </c>
    </row>
    <row r="100">
      <c r="A100">
        <f>IF(AND(LEN('Licences'!A100)&gt;0,ISNUMBER('Licences'!J100)),'Licences'!J100+97/100000,"")</f>
        <v/>
      </c>
      <c r="B100">
        <f>IF(AND(LEN('Licences'!A100)&gt;0,ISNUMBER('Licences'!J100)),MAX($B$3:B99)+1,"")</f>
        <v/>
      </c>
      <c r="E100">
        <f>IFERROR(MATCH(97,$B$4:$B$503,0),"")</f>
        <v/>
      </c>
    </row>
    <row r="101">
      <c r="A101">
        <f>IF(AND(LEN('Licences'!A101)&gt;0,ISNUMBER('Licences'!J101)),'Licences'!J101+98/100000,"")</f>
        <v/>
      </c>
      <c r="B101">
        <f>IF(AND(LEN('Licences'!A101)&gt;0,ISNUMBER('Licences'!J101)),MAX($B$3:B100)+1,"")</f>
        <v/>
      </c>
      <c r="E101">
        <f>IFERROR(MATCH(98,$B$4:$B$503,0),"")</f>
        <v/>
      </c>
    </row>
    <row r="102">
      <c r="A102">
        <f>IF(AND(LEN('Licences'!A102)&gt;0,ISNUMBER('Licences'!J102)),'Licences'!J102+99/100000,"")</f>
        <v/>
      </c>
      <c r="B102">
        <f>IF(AND(LEN('Licences'!A102)&gt;0,ISNUMBER('Licences'!J102)),MAX($B$3:B101)+1,"")</f>
        <v/>
      </c>
      <c r="E102">
        <f>IFERROR(MATCH(99,$B$4:$B$503,0),"")</f>
        <v/>
      </c>
    </row>
    <row r="103">
      <c r="A103">
        <f>IF(AND(LEN('Licences'!A103)&gt;0,ISNUMBER('Licences'!J103)),'Licences'!J103+100/100000,"")</f>
        <v/>
      </c>
      <c r="B103">
        <f>IF(AND(LEN('Licences'!A103)&gt;0,ISNUMBER('Licences'!J103)),MAX($B$3:B102)+1,"")</f>
        <v/>
      </c>
      <c r="E103">
        <f>IFERROR(MATCH(100,$B$4:$B$503,0),"")</f>
        <v/>
      </c>
    </row>
    <row r="104">
      <c r="A104">
        <f>IF(AND(LEN('Licences'!A104)&gt;0,ISNUMBER('Licences'!J104)),'Licences'!J104+101/100000,"")</f>
        <v/>
      </c>
      <c r="B104">
        <f>IF(AND(LEN('Licences'!A104)&gt;0,ISNUMBER('Licences'!J104)),MAX($B$3:B103)+1,"")</f>
        <v/>
      </c>
      <c r="E104">
        <f>IFERROR(MATCH(101,$B$4:$B$503,0),"")</f>
        <v/>
      </c>
    </row>
    <row r="105">
      <c r="A105">
        <f>IF(AND(LEN('Licences'!A105)&gt;0,ISNUMBER('Licences'!J105)),'Licences'!J105+102/100000,"")</f>
        <v/>
      </c>
      <c r="B105">
        <f>IF(AND(LEN('Licences'!A105)&gt;0,ISNUMBER('Licences'!J105)),MAX($B$3:B104)+1,"")</f>
        <v/>
      </c>
      <c r="E105">
        <f>IFERROR(MATCH(102,$B$4:$B$503,0),"")</f>
        <v/>
      </c>
    </row>
    <row r="106">
      <c r="A106">
        <f>IF(AND(LEN('Licences'!A106)&gt;0,ISNUMBER('Licences'!J106)),'Licences'!J106+103/100000,"")</f>
        <v/>
      </c>
      <c r="B106">
        <f>IF(AND(LEN('Licences'!A106)&gt;0,ISNUMBER('Licences'!J106)),MAX($B$3:B105)+1,"")</f>
        <v/>
      </c>
      <c r="E106">
        <f>IFERROR(MATCH(103,$B$4:$B$503,0),"")</f>
        <v/>
      </c>
    </row>
    <row r="107">
      <c r="A107">
        <f>IF(AND(LEN('Licences'!A107)&gt;0,ISNUMBER('Licences'!J107)),'Licences'!J107+104/100000,"")</f>
        <v/>
      </c>
      <c r="B107">
        <f>IF(AND(LEN('Licences'!A107)&gt;0,ISNUMBER('Licences'!J107)),MAX($B$3:B106)+1,"")</f>
        <v/>
      </c>
      <c r="E107">
        <f>IFERROR(MATCH(104,$B$4:$B$503,0),"")</f>
        <v/>
      </c>
    </row>
    <row r="108">
      <c r="A108">
        <f>IF(AND(LEN('Licences'!A108)&gt;0,ISNUMBER('Licences'!J108)),'Licences'!J108+105/100000,"")</f>
        <v/>
      </c>
      <c r="B108">
        <f>IF(AND(LEN('Licences'!A108)&gt;0,ISNUMBER('Licences'!J108)),MAX($B$3:B107)+1,"")</f>
        <v/>
      </c>
      <c r="E108">
        <f>IFERROR(MATCH(105,$B$4:$B$503,0),"")</f>
        <v/>
      </c>
    </row>
    <row r="109">
      <c r="A109">
        <f>IF(AND(LEN('Licences'!A109)&gt;0,ISNUMBER('Licences'!J109)),'Licences'!J109+106/100000,"")</f>
        <v/>
      </c>
      <c r="B109">
        <f>IF(AND(LEN('Licences'!A109)&gt;0,ISNUMBER('Licences'!J109)),MAX($B$3:B108)+1,"")</f>
        <v/>
      </c>
      <c r="E109">
        <f>IFERROR(MATCH(106,$B$4:$B$503,0),"")</f>
        <v/>
      </c>
    </row>
    <row r="110">
      <c r="A110">
        <f>IF(AND(LEN('Licences'!A110)&gt;0,ISNUMBER('Licences'!J110)),'Licences'!J110+107/100000,"")</f>
        <v/>
      </c>
      <c r="B110">
        <f>IF(AND(LEN('Licences'!A110)&gt;0,ISNUMBER('Licences'!J110)),MAX($B$3:B109)+1,"")</f>
        <v/>
      </c>
      <c r="E110">
        <f>IFERROR(MATCH(107,$B$4:$B$503,0),"")</f>
        <v/>
      </c>
    </row>
    <row r="111">
      <c r="A111">
        <f>IF(AND(LEN('Licences'!A111)&gt;0,ISNUMBER('Licences'!J111)),'Licences'!J111+108/100000,"")</f>
        <v/>
      </c>
      <c r="B111">
        <f>IF(AND(LEN('Licences'!A111)&gt;0,ISNUMBER('Licences'!J111)),MAX($B$3:B110)+1,"")</f>
        <v/>
      </c>
      <c r="E111">
        <f>IFERROR(MATCH(108,$B$4:$B$503,0),"")</f>
        <v/>
      </c>
    </row>
    <row r="112">
      <c r="A112">
        <f>IF(AND(LEN('Licences'!A112)&gt;0,ISNUMBER('Licences'!J112)),'Licences'!J112+109/100000,"")</f>
        <v/>
      </c>
      <c r="B112">
        <f>IF(AND(LEN('Licences'!A112)&gt;0,ISNUMBER('Licences'!J112)),MAX($B$3:B111)+1,"")</f>
        <v/>
      </c>
      <c r="E112">
        <f>IFERROR(MATCH(109,$B$4:$B$503,0),"")</f>
        <v/>
      </c>
    </row>
    <row r="113">
      <c r="A113">
        <f>IF(AND(LEN('Licences'!A113)&gt;0,ISNUMBER('Licences'!J113)),'Licences'!J113+110/100000,"")</f>
        <v/>
      </c>
      <c r="B113">
        <f>IF(AND(LEN('Licences'!A113)&gt;0,ISNUMBER('Licences'!J113)),MAX($B$3:B112)+1,"")</f>
        <v/>
      </c>
      <c r="E113">
        <f>IFERROR(MATCH(110,$B$4:$B$503,0),"")</f>
        <v/>
      </c>
    </row>
    <row r="114">
      <c r="A114">
        <f>IF(AND(LEN('Licences'!A114)&gt;0,ISNUMBER('Licences'!J114)),'Licences'!J114+111/100000,"")</f>
        <v/>
      </c>
      <c r="B114">
        <f>IF(AND(LEN('Licences'!A114)&gt;0,ISNUMBER('Licences'!J114)),MAX($B$3:B113)+1,"")</f>
        <v/>
      </c>
      <c r="E114">
        <f>IFERROR(MATCH(111,$B$4:$B$503,0),"")</f>
        <v/>
      </c>
    </row>
    <row r="115">
      <c r="A115">
        <f>IF(AND(LEN('Licences'!A115)&gt;0,ISNUMBER('Licences'!J115)),'Licences'!J115+112/100000,"")</f>
        <v/>
      </c>
      <c r="B115">
        <f>IF(AND(LEN('Licences'!A115)&gt;0,ISNUMBER('Licences'!J115)),MAX($B$3:B114)+1,"")</f>
        <v/>
      </c>
      <c r="E115">
        <f>IFERROR(MATCH(112,$B$4:$B$503,0),"")</f>
        <v/>
      </c>
    </row>
    <row r="116">
      <c r="A116">
        <f>IF(AND(LEN('Licences'!A116)&gt;0,ISNUMBER('Licences'!J116)),'Licences'!J116+113/100000,"")</f>
        <v/>
      </c>
      <c r="B116">
        <f>IF(AND(LEN('Licences'!A116)&gt;0,ISNUMBER('Licences'!J116)),MAX($B$3:B115)+1,"")</f>
        <v/>
      </c>
      <c r="E116">
        <f>IFERROR(MATCH(113,$B$4:$B$503,0),"")</f>
        <v/>
      </c>
    </row>
    <row r="117">
      <c r="A117">
        <f>IF(AND(LEN('Licences'!A117)&gt;0,ISNUMBER('Licences'!J117)),'Licences'!J117+114/100000,"")</f>
        <v/>
      </c>
      <c r="B117">
        <f>IF(AND(LEN('Licences'!A117)&gt;0,ISNUMBER('Licences'!J117)),MAX($B$3:B116)+1,"")</f>
        <v/>
      </c>
      <c r="E117">
        <f>IFERROR(MATCH(114,$B$4:$B$503,0),"")</f>
        <v/>
      </c>
    </row>
    <row r="118">
      <c r="A118">
        <f>IF(AND(LEN('Licences'!A118)&gt;0,ISNUMBER('Licences'!J118)),'Licences'!J118+115/100000,"")</f>
        <v/>
      </c>
      <c r="B118">
        <f>IF(AND(LEN('Licences'!A118)&gt;0,ISNUMBER('Licences'!J118)),MAX($B$3:B117)+1,"")</f>
        <v/>
      </c>
      <c r="E118">
        <f>IFERROR(MATCH(115,$B$4:$B$503,0),"")</f>
        <v/>
      </c>
    </row>
    <row r="119">
      <c r="A119">
        <f>IF(AND(LEN('Licences'!A119)&gt;0,ISNUMBER('Licences'!J119)),'Licences'!J119+116/100000,"")</f>
        <v/>
      </c>
      <c r="B119">
        <f>IF(AND(LEN('Licences'!A119)&gt;0,ISNUMBER('Licences'!J119)),MAX($B$3:B118)+1,"")</f>
        <v/>
      </c>
      <c r="E119">
        <f>IFERROR(MATCH(116,$B$4:$B$503,0),"")</f>
        <v/>
      </c>
    </row>
    <row r="120">
      <c r="A120">
        <f>IF(AND(LEN('Licences'!A120)&gt;0,ISNUMBER('Licences'!J120)),'Licences'!J120+117/100000,"")</f>
        <v/>
      </c>
      <c r="B120">
        <f>IF(AND(LEN('Licences'!A120)&gt;0,ISNUMBER('Licences'!J120)),MAX($B$3:B119)+1,"")</f>
        <v/>
      </c>
      <c r="E120">
        <f>IFERROR(MATCH(117,$B$4:$B$503,0),"")</f>
        <v/>
      </c>
    </row>
    <row r="121">
      <c r="A121">
        <f>IF(AND(LEN('Licences'!A121)&gt;0,ISNUMBER('Licences'!J121)),'Licences'!J121+118/100000,"")</f>
        <v/>
      </c>
      <c r="B121">
        <f>IF(AND(LEN('Licences'!A121)&gt;0,ISNUMBER('Licences'!J121)),MAX($B$3:B120)+1,"")</f>
        <v/>
      </c>
      <c r="E121">
        <f>IFERROR(MATCH(118,$B$4:$B$503,0),"")</f>
        <v/>
      </c>
    </row>
    <row r="122">
      <c r="A122">
        <f>IF(AND(LEN('Licences'!A122)&gt;0,ISNUMBER('Licences'!J122)),'Licences'!J122+119/100000,"")</f>
        <v/>
      </c>
      <c r="B122">
        <f>IF(AND(LEN('Licences'!A122)&gt;0,ISNUMBER('Licences'!J122)),MAX($B$3:B121)+1,"")</f>
        <v/>
      </c>
      <c r="E122">
        <f>IFERROR(MATCH(119,$B$4:$B$503,0),"")</f>
        <v/>
      </c>
    </row>
    <row r="123">
      <c r="A123">
        <f>IF(AND(LEN('Licences'!A123)&gt;0,ISNUMBER('Licences'!J123)),'Licences'!J123+120/100000,"")</f>
        <v/>
      </c>
      <c r="B123">
        <f>IF(AND(LEN('Licences'!A123)&gt;0,ISNUMBER('Licences'!J123)),MAX($B$3:B122)+1,"")</f>
        <v/>
      </c>
      <c r="E123">
        <f>IFERROR(MATCH(120,$B$4:$B$503,0),"")</f>
        <v/>
      </c>
    </row>
    <row r="124">
      <c r="A124">
        <f>IF(AND(LEN('Licences'!A124)&gt;0,ISNUMBER('Licences'!J124)),'Licences'!J124+121/100000,"")</f>
        <v/>
      </c>
      <c r="B124">
        <f>IF(AND(LEN('Licences'!A124)&gt;0,ISNUMBER('Licences'!J124)),MAX($B$3:B123)+1,"")</f>
        <v/>
      </c>
      <c r="E124">
        <f>IFERROR(MATCH(121,$B$4:$B$503,0),"")</f>
        <v/>
      </c>
    </row>
    <row r="125">
      <c r="A125">
        <f>IF(AND(LEN('Licences'!A125)&gt;0,ISNUMBER('Licences'!J125)),'Licences'!J125+122/100000,"")</f>
        <v/>
      </c>
      <c r="B125">
        <f>IF(AND(LEN('Licences'!A125)&gt;0,ISNUMBER('Licences'!J125)),MAX($B$3:B124)+1,"")</f>
        <v/>
      </c>
      <c r="E125">
        <f>IFERROR(MATCH(122,$B$4:$B$503,0),"")</f>
        <v/>
      </c>
    </row>
    <row r="126">
      <c r="A126">
        <f>IF(AND(LEN('Licences'!A126)&gt;0,ISNUMBER('Licences'!J126)),'Licences'!J126+123/100000,"")</f>
        <v/>
      </c>
      <c r="B126">
        <f>IF(AND(LEN('Licences'!A126)&gt;0,ISNUMBER('Licences'!J126)),MAX($B$3:B125)+1,"")</f>
        <v/>
      </c>
      <c r="E126">
        <f>IFERROR(MATCH(123,$B$4:$B$503,0),"")</f>
        <v/>
      </c>
    </row>
    <row r="127">
      <c r="A127">
        <f>IF(AND(LEN('Licences'!A127)&gt;0,ISNUMBER('Licences'!J127)),'Licences'!J127+124/100000,"")</f>
        <v/>
      </c>
      <c r="B127">
        <f>IF(AND(LEN('Licences'!A127)&gt;0,ISNUMBER('Licences'!J127)),MAX($B$3:B126)+1,"")</f>
        <v/>
      </c>
      <c r="E127">
        <f>IFERROR(MATCH(124,$B$4:$B$503,0),"")</f>
        <v/>
      </c>
    </row>
    <row r="128">
      <c r="A128">
        <f>IF(AND(LEN('Licences'!A128)&gt;0,ISNUMBER('Licences'!J128)),'Licences'!J128+125/100000,"")</f>
        <v/>
      </c>
      <c r="B128">
        <f>IF(AND(LEN('Licences'!A128)&gt;0,ISNUMBER('Licences'!J128)),MAX($B$3:B127)+1,"")</f>
        <v/>
      </c>
      <c r="E128">
        <f>IFERROR(MATCH(125,$B$4:$B$503,0),"")</f>
        <v/>
      </c>
    </row>
    <row r="129">
      <c r="A129">
        <f>IF(AND(LEN('Licences'!A129)&gt;0,ISNUMBER('Licences'!J129)),'Licences'!J129+126/100000,"")</f>
        <v/>
      </c>
      <c r="B129">
        <f>IF(AND(LEN('Licences'!A129)&gt;0,ISNUMBER('Licences'!J129)),MAX($B$3:B128)+1,"")</f>
        <v/>
      </c>
      <c r="E129">
        <f>IFERROR(MATCH(126,$B$4:$B$503,0),"")</f>
        <v/>
      </c>
    </row>
    <row r="130">
      <c r="A130">
        <f>IF(AND(LEN('Licences'!A130)&gt;0,ISNUMBER('Licences'!J130)),'Licences'!J130+127/100000,"")</f>
        <v/>
      </c>
      <c r="B130">
        <f>IF(AND(LEN('Licences'!A130)&gt;0,ISNUMBER('Licences'!J130)),MAX($B$3:B129)+1,"")</f>
        <v/>
      </c>
      <c r="E130">
        <f>IFERROR(MATCH(127,$B$4:$B$503,0),"")</f>
        <v/>
      </c>
    </row>
    <row r="131">
      <c r="A131">
        <f>IF(AND(LEN('Licences'!A131)&gt;0,ISNUMBER('Licences'!J131)),'Licences'!J131+128/100000,"")</f>
        <v/>
      </c>
      <c r="B131">
        <f>IF(AND(LEN('Licences'!A131)&gt;0,ISNUMBER('Licences'!J131)),MAX($B$3:B130)+1,"")</f>
        <v/>
      </c>
      <c r="E131">
        <f>IFERROR(MATCH(128,$B$4:$B$503,0),"")</f>
        <v/>
      </c>
    </row>
    <row r="132">
      <c r="A132">
        <f>IF(AND(LEN('Licences'!A132)&gt;0,ISNUMBER('Licences'!J132)),'Licences'!J132+129/100000,"")</f>
        <v/>
      </c>
      <c r="B132">
        <f>IF(AND(LEN('Licences'!A132)&gt;0,ISNUMBER('Licences'!J132)),MAX($B$3:B131)+1,"")</f>
        <v/>
      </c>
      <c r="E132">
        <f>IFERROR(MATCH(129,$B$4:$B$503,0),"")</f>
        <v/>
      </c>
    </row>
    <row r="133">
      <c r="A133">
        <f>IF(AND(LEN('Licences'!A133)&gt;0,ISNUMBER('Licences'!J133)),'Licences'!J133+130/100000,"")</f>
        <v/>
      </c>
      <c r="B133">
        <f>IF(AND(LEN('Licences'!A133)&gt;0,ISNUMBER('Licences'!J133)),MAX($B$3:B132)+1,"")</f>
        <v/>
      </c>
      <c r="E133">
        <f>IFERROR(MATCH(130,$B$4:$B$503,0),"")</f>
        <v/>
      </c>
    </row>
    <row r="134">
      <c r="A134">
        <f>IF(AND(LEN('Licences'!A134)&gt;0,ISNUMBER('Licences'!J134)),'Licences'!J134+131/100000,"")</f>
        <v/>
      </c>
      <c r="B134">
        <f>IF(AND(LEN('Licences'!A134)&gt;0,ISNUMBER('Licences'!J134)),MAX($B$3:B133)+1,"")</f>
        <v/>
      </c>
      <c r="E134">
        <f>IFERROR(MATCH(131,$B$4:$B$503,0),"")</f>
        <v/>
      </c>
    </row>
    <row r="135">
      <c r="A135">
        <f>IF(AND(LEN('Licences'!A135)&gt;0,ISNUMBER('Licences'!J135)),'Licences'!J135+132/100000,"")</f>
        <v/>
      </c>
      <c r="B135">
        <f>IF(AND(LEN('Licences'!A135)&gt;0,ISNUMBER('Licences'!J135)),MAX($B$3:B134)+1,"")</f>
        <v/>
      </c>
      <c r="E135">
        <f>IFERROR(MATCH(132,$B$4:$B$503,0),"")</f>
        <v/>
      </c>
    </row>
    <row r="136">
      <c r="A136">
        <f>IF(AND(LEN('Licences'!A136)&gt;0,ISNUMBER('Licences'!J136)),'Licences'!J136+133/100000,"")</f>
        <v/>
      </c>
      <c r="B136">
        <f>IF(AND(LEN('Licences'!A136)&gt;0,ISNUMBER('Licences'!J136)),MAX($B$3:B135)+1,"")</f>
        <v/>
      </c>
      <c r="E136">
        <f>IFERROR(MATCH(133,$B$4:$B$503,0),"")</f>
        <v/>
      </c>
    </row>
    <row r="137">
      <c r="A137">
        <f>IF(AND(LEN('Licences'!A137)&gt;0,ISNUMBER('Licences'!J137)),'Licences'!J137+134/100000,"")</f>
        <v/>
      </c>
      <c r="B137">
        <f>IF(AND(LEN('Licences'!A137)&gt;0,ISNUMBER('Licences'!J137)),MAX($B$3:B136)+1,"")</f>
        <v/>
      </c>
      <c r="E137">
        <f>IFERROR(MATCH(134,$B$4:$B$503,0),"")</f>
        <v/>
      </c>
    </row>
    <row r="138">
      <c r="A138">
        <f>IF(AND(LEN('Licences'!A138)&gt;0,ISNUMBER('Licences'!J138)),'Licences'!J138+135/100000,"")</f>
        <v/>
      </c>
      <c r="B138">
        <f>IF(AND(LEN('Licences'!A138)&gt;0,ISNUMBER('Licences'!J138)),MAX($B$3:B137)+1,"")</f>
        <v/>
      </c>
      <c r="E138">
        <f>IFERROR(MATCH(135,$B$4:$B$503,0),"")</f>
        <v/>
      </c>
    </row>
    <row r="139">
      <c r="A139">
        <f>IF(AND(LEN('Licences'!A139)&gt;0,ISNUMBER('Licences'!J139)),'Licences'!J139+136/100000,"")</f>
        <v/>
      </c>
      <c r="B139">
        <f>IF(AND(LEN('Licences'!A139)&gt;0,ISNUMBER('Licences'!J139)),MAX($B$3:B138)+1,"")</f>
        <v/>
      </c>
      <c r="E139">
        <f>IFERROR(MATCH(136,$B$4:$B$503,0),"")</f>
        <v/>
      </c>
    </row>
    <row r="140">
      <c r="A140">
        <f>IF(AND(LEN('Licences'!A140)&gt;0,ISNUMBER('Licences'!J140)),'Licences'!J140+137/100000,"")</f>
        <v/>
      </c>
      <c r="B140">
        <f>IF(AND(LEN('Licences'!A140)&gt;0,ISNUMBER('Licences'!J140)),MAX($B$3:B139)+1,"")</f>
        <v/>
      </c>
      <c r="E140">
        <f>IFERROR(MATCH(137,$B$4:$B$503,0),"")</f>
        <v/>
      </c>
    </row>
    <row r="141">
      <c r="A141">
        <f>IF(AND(LEN('Licences'!A141)&gt;0,ISNUMBER('Licences'!J141)),'Licences'!J141+138/100000,"")</f>
        <v/>
      </c>
      <c r="B141">
        <f>IF(AND(LEN('Licences'!A141)&gt;0,ISNUMBER('Licences'!J141)),MAX($B$3:B140)+1,"")</f>
        <v/>
      </c>
      <c r="E141">
        <f>IFERROR(MATCH(138,$B$4:$B$503,0),"")</f>
        <v/>
      </c>
    </row>
    <row r="142">
      <c r="A142">
        <f>IF(AND(LEN('Licences'!A142)&gt;0,ISNUMBER('Licences'!J142)),'Licences'!J142+139/100000,"")</f>
        <v/>
      </c>
      <c r="B142">
        <f>IF(AND(LEN('Licences'!A142)&gt;0,ISNUMBER('Licences'!J142)),MAX($B$3:B141)+1,"")</f>
        <v/>
      </c>
      <c r="E142">
        <f>IFERROR(MATCH(139,$B$4:$B$503,0),"")</f>
        <v/>
      </c>
    </row>
    <row r="143">
      <c r="A143">
        <f>IF(AND(LEN('Licences'!A143)&gt;0,ISNUMBER('Licences'!J143)),'Licences'!J143+140/100000,"")</f>
        <v/>
      </c>
      <c r="B143">
        <f>IF(AND(LEN('Licences'!A143)&gt;0,ISNUMBER('Licences'!J143)),MAX($B$3:B142)+1,"")</f>
        <v/>
      </c>
      <c r="E143">
        <f>IFERROR(MATCH(140,$B$4:$B$503,0),"")</f>
        <v/>
      </c>
    </row>
    <row r="144">
      <c r="A144">
        <f>IF(AND(LEN('Licences'!A144)&gt;0,ISNUMBER('Licences'!J144)),'Licences'!J144+141/100000,"")</f>
        <v/>
      </c>
      <c r="B144">
        <f>IF(AND(LEN('Licences'!A144)&gt;0,ISNUMBER('Licences'!J144)),MAX($B$3:B143)+1,"")</f>
        <v/>
      </c>
      <c r="E144">
        <f>IFERROR(MATCH(141,$B$4:$B$503,0),"")</f>
        <v/>
      </c>
    </row>
    <row r="145">
      <c r="A145">
        <f>IF(AND(LEN('Licences'!A145)&gt;0,ISNUMBER('Licences'!J145)),'Licences'!J145+142/100000,"")</f>
        <v/>
      </c>
      <c r="B145">
        <f>IF(AND(LEN('Licences'!A145)&gt;0,ISNUMBER('Licences'!J145)),MAX($B$3:B144)+1,"")</f>
        <v/>
      </c>
      <c r="E145">
        <f>IFERROR(MATCH(142,$B$4:$B$503,0),"")</f>
        <v/>
      </c>
    </row>
    <row r="146">
      <c r="A146">
        <f>IF(AND(LEN('Licences'!A146)&gt;0,ISNUMBER('Licences'!J146)),'Licences'!J146+143/100000,"")</f>
        <v/>
      </c>
      <c r="B146">
        <f>IF(AND(LEN('Licences'!A146)&gt;0,ISNUMBER('Licences'!J146)),MAX($B$3:B145)+1,"")</f>
        <v/>
      </c>
      <c r="E146">
        <f>IFERROR(MATCH(143,$B$4:$B$503,0),"")</f>
        <v/>
      </c>
    </row>
    <row r="147">
      <c r="A147">
        <f>IF(AND(LEN('Licences'!A147)&gt;0,ISNUMBER('Licences'!J147)),'Licences'!J147+144/100000,"")</f>
        <v/>
      </c>
      <c r="B147">
        <f>IF(AND(LEN('Licences'!A147)&gt;0,ISNUMBER('Licences'!J147)),MAX($B$3:B146)+1,"")</f>
        <v/>
      </c>
      <c r="E147">
        <f>IFERROR(MATCH(144,$B$4:$B$503,0),"")</f>
        <v/>
      </c>
    </row>
    <row r="148">
      <c r="A148">
        <f>IF(AND(LEN('Licences'!A148)&gt;0,ISNUMBER('Licences'!J148)),'Licences'!J148+145/100000,"")</f>
        <v/>
      </c>
      <c r="B148">
        <f>IF(AND(LEN('Licences'!A148)&gt;0,ISNUMBER('Licences'!J148)),MAX($B$3:B147)+1,"")</f>
        <v/>
      </c>
      <c r="E148">
        <f>IFERROR(MATCH(145,$B$4:$B$503,0),"")</f>
        <v/>
      </c>
    </row>
    <row r="149">
      <c r="A149">
        <f>IF(AND(LEN('Licences'!A149)&gt;0,ISNUMBER('Licences'!J149)),'Licences'!J149+146/100000,"")</f>
        <v/>
      </c>
      <c r="B149">
        <f>IF(AND(LEN('Licences'!A149)&gt;0,ISNUMBER('Licences'!J149)),MAX($B$3:B148)+1,"")</f>
        <v/>
      </c>
      <c r="E149">
        <f>IFERROR(MATCH(146,$B$4:$B$503,0),"")</f>
        <v/>
      </c>
    </row>
    <row r="150">
      <c r="A150">
        <f>IF(AND(LEN('Licences'!A150)&gt;0,ISNUMBER('Licences'!J150)),'Licences'!J150+147/100000,"")</f>
        <v/>
      </c>
      <c r="B150">
        <f>IF(AND(LEN('Licences'!A150)&gt;0,ISNUMBER('Licences'!J150)),MAX($B$3:B149)+1,"")</f>
        <v/>
      </c>
      <c r="E150">
        <f>IFERROR(MATCH(147,$B$4:$B$503,0),"")</f>
        <v/>
      </c>
    </row>
    <row r="151">
      <c r="A151">
        <f>IF(AND(LEN('Licences'!A151)&gt;0,ISNUMBER('Licences'!J151)),'Licences'!J151+148/100000,"")</f>
        <v/>
      </c>
      <c r="B151">
        <f>IF(AND(LEN('Licences'!A151)&gt;0,ISNUMBER('Licences'!J151)),MAX($B$3:B150)+1,"")</f>
        <v/>
      </c>
      <c r="E151">
        <f>IFERROR(MATCH(148,$B$4:$B$503,0),"")</f>
        <v/>
      </c>
    </row>
    <row r="152">
      <c r="A152">
        <f>IF(AND(LEN('Licences'!A152)&gt;0,ISNUMBER('Licences'!J152)),'Licences'!J152+149/100000,"")</f>
        <v/>
      </c>
      <c r="B152">
        <f>IF(AND(LEN('Licences'!A152)&gt;0,ISNUMBER('Licences'!J152)),MAX($B$3:B151)+1,"")</f>
        <v/>
      </c>
      <c r="E152">
        <f>IFERROR(MATCH(149,$B$4:$B$503,0),"")</f>
        <v/>
      </c>
    </row>
    <row r="153">
      <c r="A153">
        <f>IF(AND(LEN('Licences'!A153)&gt;0,ISNUMBER('Licences'!J153)),'Licences'!J153+150/100000,"")</f>
        <v/>
      </c>
      <c r="B153">
        <f>IF(AND(LEN('Licences'!A153)&gt;0,ISNUMBER('Licences'!J153)),MAX($B$3:B152)+1,"")</f>
        <v/>
      </c>
      <c r="E153">
        <f>IFERROR(MATCH(150,$B$4:$B$503,0),"")</f>
        <v/>
      </c>
    </row>
    <row r="154">
      <c r="A154">
        <f>IF(AND(LEN('Licences'!A154)&gt;0,ISNUMBER('Licences'!J154)),'Licences'!J154+151/100000,"")</f>
        <v/>
      </c>
      <c r="B154">
        <f>IF(AND(LEN('Licences'!A154)&gt;0,ISNUMBER('Licences'!J154)),MAX($B$3:B153)+1,"")</f>
        <v/>
      </c>
      <c r="E154">
        <f>IFERROR(MATCH(151,$B$4:$B$503,0),"")</f>
        <v/>
      </c>
    </row>
    <row r="155">
      <c r="A155">
        <f>IF(AND(LEN('Licences'!A155)&gt;0,ISNUMBER('Licences'!J155)),'Licences'!J155+152/100000,"")</f>
        <v/>
      </c>
      <c r="B155">
        <f>IF(AND(LEN('Licences'!A155)&gt;0,ISNUMBER('Licences'!J155)),MAX($B$3:B154)+1,"")</f>
        <v/>
      </c>
      <c r="E155">
        <f>IFERROR(MATCH(152,$B$4:$B$503,0),"")</f>
        <v/>
      </c>
    </row>
    <row r="156">
      <c r="A156">
        <f>IF(AND(LEN('Licences'!A156)&gt;0,ISNUMBER('Licences'!J156)),'Licences'!J156+153/100000,"")</f>
        <v/>
      </c>
      <c r="B156">
        <f>IF(AND(LEN('Licences'!A156)&gt;0,ISNUMBER('Licences'!J156)),MAX($B$3:B155)+1,"")</f>
        <v/>
      </c>
      <c r="E156">
        <f>IFERROR(MATCH(153,$B$4:$B$503,0),"")</f>
        <v/>
      </c>
    </row>
    <row r="157">
      <c r="A157">
        <f>IF(AND(LEN('Licences'!A157)&gt;0,ISNUMBER('Licences'!J157)),'Licences'!J157+154/100000,"")</f>
        <v/>
      </c>
      <c r="B157">
        <f>IF(AND(LEN('Licences'!A157)&gt;0,ISNUMBER('Licences'!J157)),MAX($B$3:B156)+1,"")</f>
        <v/>
      </c>
      <c r="E157">
        <f>IFERROR(MATCH(154,$B$4:$B$503,0),"")</f>
        <v/>
      </c>
    </row>
    <row r="158">
      <c r="A158">
        <f>IF(AND(LEN('Licences'!A158)&gt;0,ISNUMBER('Licences'!J158)),'Licences'!J158+155/100000,"")</f>
        <v/>
      </c>
      <c r="B158">
        <f>IF(AND(LEN('Licences'!A158)&gt;0,ISNUMBER('Licences'!J158)),MAX($B$3:B157)+1,"")</f>
        <v/>
      </c>
      <c r="E158">
        <f>IFERROR(MATCH(155,$B$4:$B$503,0),"")</f>
        <v/>
      </c>
    </row>
    <row r="159">
      <c r="A159">
        <f>IF(AND(LEN('Licences'!A159)&gt;0,ISNUMBER('Licences'!J159)),'Licences'!J159+156/100000,"")</f>
        <v/>
      </c>
      <c r="B159">
        <f>IF(AND(LEN('Licences'!A159)&gt;0,ISNUMBER('Licences'!J159)),MAX($B$3:B158)+1,"")</f>
        <v/>
      </c>
      <c r="E159">
        <f>IFERROR(MATCH(156,$B$4:$B$503,0),"")</f>
        <v/>
      </c>
    </row>
    <row r="160">
      <c r="A160">
        <f>IF(AND(LEN('Licences'!A160)&gt;0,ISNUMBER('Licences'!J160)),'Licences'!J160+157/100000,"")</f>
        <v/>
      </c>
      <c r="B160">
        <f>IF(AND(LEN('Licences'!A160)&gt;0,ISNUMBER('Licences'!J160)),MAX($B$3:B159)+1,"")</f>
        <v/>
      </c>
      <c r="E160">
        <f>IFERROR(MATCH(157,$B$4:$B$503,0),"")</f>
        <v/>
      </c>
    </row>
    <row r="161">
      <c r="A161">
        <f>IF(AND(LEN('Licences'!A161)&gt;0,ISNUMBER('Licences'!J161)),'Licences'!J161+158/100000,"")</f>
        <v/>
      </c>
      <c r="B161">
        <f>IF(AND(LEN('Licences'!A161)&gt;0,ISNUMBER('Licences'!J161)),MAX($B$3:B160)+1,"")</f>
        <v/>
      </c>
      <c r="E161">
        <f>IFERROR(MATCH(158,$B$4:$B$503,0),"")</f>
        <v/>
      </c>
    </row>
    <row r="162">
      <c r="A162">
        <f>IF(AND(LEN('Licences'!A162)&gt;0,ISNUMBER('Licences'!J162)),'Licences'!J162+159/100000,"")</f>
        <v/>
      </c>
      <c r="B162">
        <f>IF(AND(LEN('Licences'!A162)&gt;0,ISNUMBER('Licences'!J162)),MAX($B$3:B161)+1,"")</f>
        <v/>
      </c>
      <c r="E162">
        <f>IFERROR(MATCH(159,$B$4:$B$503,0),"")</f>
        <v/>
      </c>
    </row>
    <row r="163">
      <c r="A163">
        <f>IF(AND(LEN('Licences'!A163)&gt;0,ISNUMBER('Licences'!J163)),'Licences'!J163+160/100000,"")</f>
        <v/>
      </c>
      <c r="B163">
        <f>IF(AND(LEN('Licences'!A163)&gt;0,ISNUMBER('Licences'!J163)),MAX($B$3:B162)+1,"")</f>
        <v/>
      </c>
      <c r="E163">
        <f>IFERROR(MATCH(160,$B$4:$B$503,0),"")</f>
        <v/>
      </c>
    </row>
    <row r="164">
      <c r="A164">
        <f>IF(AND(LEN('Licences'!A164)&gt;0,ISNUMBER('Licences'!J164)),'Licences'!J164+161/100000,"")</f>
        <v/>
      </c>
      <c r="B164">
        <f>IF(AND(LEN('Licences'!A164)&gt;0,ISNUMBER('Licences'!J164)),MAX($B$3:B163)+1,"")</f>
        <v/>
      </c>
      <c r="E164">
        <f>IFERROR(MATCH(161,$B$4:$B$503,0),"")</f>
        <v/>
      </c>
    </row>
    <row r="165">
      <c r="A165">
        <f>IF(AND(LEN('Licences'!A165)&gt;0,ISNUMBER('Licences'!J165)),'Licences'!J165+162/100000,"")</f>
        <v/>
      </c>
      <c r="B165">
        <f>IF(AND(LEN('Licences'!A165)&gt;0,ISNUMBER('Licences'!J165)),MAX($B$3:B164)+1,"")</f>
        <v/>
      </c>
      <c r="E165">
        <f>IFERROR(MATCH(162,$B$4:$B$503,0),"")</f>
        <v/>
      </c>
    </row>
    <row r="166">
      <c r="A166">
        <f>IF(AND(LEN('Licences'!A166)&gt;0,ISNUMBER('Licences'!J166)),'Licences'!J166+163/100000,"")</f>
        <v/>
      </c>
      <c r="B166">
        <f>IF(AND(LEN('Licences'!A166)&gt;0,ISNUMBER('Licences'!J166)),MAX($B$3:B165)+1,"")</f>
        <v/>
      </c>
      <c r="E166">
        <f>IFERROR(MATCH(163,$B$4:$B$503,0),"")</f>
        <v/>
      </c>
    </row>
    <row r="167">
      <c r="A167">
        <f>IF(AND(LEN('Licences'!A167)&gt;0,ISNUMBER('Licences'!J167)),'Licences'!J167+164/100000,"")</f>
        <v/>
      </c>
      <c r="B167">
        <f>IF(AND(LEN('Licences'!A167)&gt;0,ISNUMBER('Licences'!J167)),MAX($B$3:B166)+1,"")</f>
        <v/>
      </c>
      <c r="E167">
        <f>IFERROR(MATCH(164,$B$4:$B$503,0),"")</f>
        <v/>
      </c>
    </row>
    <row r="168">
      <c r="A168">
        <f>IF(AND(LEN('Licences'!A168)&gt;0,ISNUMBER('Licences'!J168)),'Licences'!J168+165/100000,"")</f>
        <v/>
      </c>
      <c r="B168">
        <f>IF(AND(LEN('Licences'!A168)&gt;0,ISNUMBER('Licences'!J168)),MAX($B$3:B167)+1,"")</f>
        <v/>
      </c>
      <c r="E168">
        <f>IFERROR(MATCH(165,$B$4:$B$503,0),"")</f>
        <v/>
      </c>
    </row>
    <row r="169">
      <c r="A169">
        <f>IF(AND(LEN('Licences'!A169)&gt;0,ISNUMBER('Licences'!J169)),'Licences'!J169+166/100000,"")</f>
        <v/>
      </c>
      <c r="B169">
        <f>IF(AND(LEN('Licences'!A169)&gt;0,ISNUMBER('Licences'!J169)),MAX($B$3:B168)+1,"")</f>
        <v/>
      </c>
      <c r="E169">
        <f>IFERROR(MATCH(166,$B$4:$B$503,0),"")</f>
        <v/>
      </c>
    </row>
    <row r="170">
      <c r="A170">
        <f>IF(AND(LEN('Licences'!A170)&gt;0,ISNUMBER('Licences'!J170)),'Licences'!J170+167/100000,"")</f>
        <v/>
      </c>
      <c r="B170">
        <f>IF(AND(LEN('Licences'!A170)&gt;0,ISNUMBER('Licences'!J170)),MAX($B$3:B169)+1,"")</f>
        <v/>
      </c>
      <c r="E170">
        <f>IFERROR(MATCH(167,$B$4:$B$503,0),"")</f>
        <v/>
      </c>
    </row>
    <row r="171">
      <c r="A171">
        <f>IF(AND(LEN('Licences'!A171)&gt;0,ISNUMBER('Licences'!J171)),'Licences'!J171+168/100000,"")</f>
        <v/>
      </c>
      <c r="B171">
        <f>IF(AND(LEN('Licences'!A171)&gt;0,ISNUMBER('Licences'!J171)),MAX($B$3:B170)+1,"")</f>
        <v/>
      </c>
      <c r="E171">
        <f>IFERROR(MATCH(168,$B$4:$B$503,0),"")</f>
        <v/>
      </c>
    </row>
    <row r="172">
      <c r="A172">
        <f>IF(AND(LEN('Licences'!A172)&gt;0,ISNUMBER('Licences'!J172)),'Licences'!J172+169/100000,"")</f>
        <v/>
      </c>
      <c r="B172">
        <f>IF(AND(LEN('Licences'!A172)&gt;0,ISNUMBER('Licences'!J172)),MAX($B$3:B171)+1,"")</f>
        <v/>
      </c>
      <c r="E172">
        <f>IFERROR(MATCH(169,$B$4:$B$503,0),"")</f>
        <v/>
      </c>
    </row>
    <row r="173">
      <c r="A173">
        <f>IF(AND(LEN('Licences'!A173)&gt;0,ISNUMBER('Licences'!J173)),'Licences'!J173+170/100000,"")</f>
        <v/>
      </c>
      <c r="B173">
        <f>IF(AND(LEN('Licences'!A173)&gt;0,ISNUMBER('Licences'!J173)),MAX($B$3:B172)+1,"")</f>
        <v/>
      </c>
      <c r="E173">
        <f>IFERROR(MATCH(170,$B$4:$B$503,0),"")</f>
        <v/>
      </c>
    </row>
    <row r="174">
      <c r="A174">
        <f>IF(AND(LEN('Licences'!A174)&gt;0,ISNUMBER('Licences'!J174)),'Licences'!J174+171/100000,"")</f>
        <v/>
      </c>
      <c r="B174">
        <f>IF(AND(LEN('Licences'!A174)&gt;0,ISNUMBER('Licences'!J174)),MAX($B$3:B173)+1,"")</f>
        <v/>
      </c>
      <c r="E174">
        <f>IFERROR(MATCH(171,$B$4:$B$503,0),"")</f>
        <v/>
      </c>
    </row>
    <row r="175">
      <c r="A175">
        <f>IF(AND(LEN('Licences'!A175)&gt;0,ISNUMBER('Licences'!J175)),'Licences'!J175+172/100000,"")</f>
        <v/>
      </c>
      <c r="B175">
        <f>IF(AND(LEN('Licences'!A175)&gt;0,ISNUMBER('Licences'!J175)),MAX($B$3:B174)+1,"")</f>
        <v/>
      </c>
      <c r="E175">
        <f>IFERROR(MATCH(172,$B$4:$B$503,0),"")</f>
        <v/>
      </c>
    </row>
    <row r="176">
      <c r="A176">
        <f>IF(AND(LEN('Licences'!A176)&gt;0,ISNUMBER('Licences'!J176)),'Licences'!J176+173/100000,"")</f>
        <v/>
      </c>
      <c r="B176">
        <f>IF(AND(LEN('Licences'!A176)&gt;0,ISNUMBER('Licences'!J176)),MAX($B$3:B175)+1,"")</f>
        <v/>
      </c>
      <c r="E176">
        <f>IFERROR(MATCH(173,$B$4:$B$503,0),"")</f>
        <v/>
      </c>
    </row>
    <row r="177">
      <c r="A177">
        <f>IF(AND(LEN('Licences'!A177)&gt;0,ISNUMBER('Licences'!J177)),'Licences'!J177+174/100000,"")</f>
        <v/>
      </c>
      <c r="B177">
        <f>IF(AND(LEN('Licences'!A177)&gt;0,ISNUMBER('Licences'!J177)),MAX($B$3:B176)+1,"")</f>
        <v/>
      </c>
      <c r="E177">
        <f>IFERROR(MATCH(174,$B$4:$B$503,0),"")</f>
        <v/>
      </c>
    </row>
    <row r="178">
      <c r="A178">
        <f>IF(AND(LEN('Licences'!A178)&gt;0,ISNUMBER('Licences'!J178)),'Licences'!J178+175/100000,"")</f>
        <v/>
      </c>
      <c r="B178">
        <f>IF(AND(LEN('Licences'!A178)&gt;0,ISNUMBER('Licences'!J178)),MAX($B$3:B177)+1,"")</f>
        <v/>
      </c>
      <c r="E178">
        <f>IFERROR(MATCH(175,$B$4:$B$503,0),"")</f>
        <v/>
      </c>
    </row>
    <row r="179">
      <c r="A179">
        <f>IF(AND(LEN('Licences'!A179)&gt;0,ISNUMBER('Licences'!J179)),'Licences'!J179+176/100000,"")</f>
        <v/>
      </c>
      <c r="B179">
        <f>IF(AND(LEN('Licences'!A179)&gt;0,ISNUMBER('Licences'!J179)),MAX($B$3:B178)+1,"")</f>
        <v/>
      </c>
      <c r="E179">
        <f>IFERROR(MATCH(176,$B$4:$B$503,0),"")</f>
        <v/>
      </c>
    </row>
    <row r="180">
      <c r="A180">
        <f>IF(AND(LEN('Licences'!A180)&gt;0,ISNUMBER('Licences'!J180)),'Licences'!J180+177/100000,"")</f>
        <v/>
      </c>
      <c r="B180">
        <f>IF(AND(LEN('Licences'!A180)&gt;0,ISNUMBER('Licences'!J180)),MAX($B$3:B179)+1,"")</f>
        <v/>
      </c>
      <c r="E180">
        <f>IFERROR(MATCH(177,$B$4:$B$503,0),"")</f>
        <v/>
      </c>
    </row>
    <row r="181">
      <c r="A181">
        <f>IF(AND(LEN('Licences'!A181)&gt;0,ISNUMBER('Licences'!J181)),'Licences'!J181+178/100000,"")</f>
        <v/>
      </c>
      <c r="B181">
        <f>IF(AND(LEN('Licences'!A181)&gt;0,ISNUMBER('Licences'!J181)),MAX($B$3:B180)+1,"")</f>
        <v/>
      </c>
      <c r="E181">
        <f>IFERROR(MATCH(178,$B$4:$B$503,0),"")</f>
        <v/>
      </c>
    </row>
    <row r="182">
      <c r="A182">
        <f>IF(AND(LEN('Licences'!A182)&gt;0,ISNUMBER('Licences'!J182)),'Licences'!J182+179/100000,"")</f>
        <v/>
      </c>
      <c r="B182">
        <f>IF(AND(LEN('Licences'!A182)&gt;0,ISNUMBER('Licences'!J182)),MAX($B$3:B181)+1,"")</f>
        <v/>
      </c>
      <c r="E182">
        <f>IFERROR(MATCH(179,$B$4:$B$503,0),"")</f>
        <v/>
      </c>
    </row>
    <row r="183">
      <c r="A183">
        <f>IF(AND(LEN('Licences'!A183)&gt;0,ISNUMBER('Licences'!J183)),'Licences'!J183+180/100000,"")</f>
        <v/>
      </c>
      <c r="B183">
        <f>IF(AND(LEN('Licences'!A183)&gt;0,ISNUMBER('Licences'!J183)),MAX($B$3:B182)+1,"")</f>
        <v/>
      </c>
      <c r="E183">
        <f>IFERROR(MATCH(180,$B$4:$B$503,0),"")</f>
        <v/>
      </c>
    </row>
    <row r="184">
      <c r="A184">
        <f>IF(AND(LEN('Licences'!A184)&gt;0,ISNUMBER('Licences'!J184)),'Licences'!J184+181/100000,"")</f>
        <v/>
      </c>
      <c r="B184">
        <f>IF(AND(LEN('Licences'!A184)&gt;0,ISNUMBER('Licences'!J184)),MAX($B$3:B183)+1,"")</f>
        <v/>
      </c>
      <c r="E184">
        <f>IFERROR(MATCH(181,$B$4:$B$503,0),"")</f>
        <v/>
      </c>
    </row>
    <row r="185">
      <c r="A185">
        <f>IF(AND(LEN('Licences'!A185)&gt;0,ISNUMBER('Licences'!J185)),'Licences'!J185+182/100000,"")</f>
        <v/>
      </c>
      <c r="B185">
        <f>IF(AND(LEN('Licences'!A185)&gt;0,ISNUMBER('Licences'!J185)),MAX($B$3:B184)+1,"")</f>
        <v/>
      </c>
      <c r="E185">
        <f>IFERROR(MATCH(182,$B$4:$B$503,0),"")</f>
        <v/>
      </c>
    </row>
    <row r="186">
      <c r="A186">
        <f>IF(AND(LEN('Licences'!A186)&gt;0,ISNUMBER('Licences'!J186)),'Licences'!J186+183/100000,"")</f>
        <v/>
      </c>
      <c r="B186">
        <f>IF(AND(LEN('Licences'!A186)&gt;0,ISNUMBER('Licences'!J186)),MAX($B$3:B185)+1,"")</f>
        <v/>
      </c>
      <c r="E186">
        <f>IFERROR(MATCH(183,$B$4:$B$503,0),"")</f>
        <v/>
      </c>
    </row>
    <row r="187">
      <c r="A187">
        <f>IF(AND(LEN('Licences'!A187)&gt;0,ISNUMBER('Licences'!J187)),'Licences'!J187+184/100000,"")</f>
        <v/>
      </c>
      <c r="B187">
        <f>IF(AND(LEN('Licences'!A187)&gt;0,ISNUMBER('Licences'!J187)),MAX($B$3:B186)+1,"")</f>
        <v/>
      </c>
      <c r="E187">
        <f>IFERROR(MATCH(184,$B$4:$B$503,0),"")</f>
        <v/>
      </c>
    </row>
    <row r="188">
      <c r="A188">
        <f>IF(AND(LEN('Licences'!A188)&gt;0,ISNUMBER('Licences'!J188)),'Licences'!J188+185/100000,"")</f>
        <v/>
      </c>
      <c r="B188">
        <f>IF(AND(LEN('Licences'!A188)&gt;0,ISNUMBER('Licences'!J188)),MAX($B$3:B187)+1,"")</f>
        <v/>
      </c>
      <c r="E188">
        <f>IFERROR(MATCH(185,$B$4:$B$503,0),"")</f>
        <v/>
      </c>
    </row>
    <row r="189">
      <c r="A189">
        <f>IF(AND(LEN('Licences'!A189)&gt;0,ISNUMBER('Licences'!J189)),'Licences'!J189+186/100000,"")</f>
        <v/>
      </c>
      <c r="B189">
        <f>IF(AND(LEN('Licences'!A189)&gt;0,ISNUMBER('Licences'!J189)),MAX($B$3:B188)+1,"")</f>
        <v/>
      </c>
      <c r="E189">
        <f>IFERROR(MATCH(186,$B$4:$B$503,0),"")</f>
        <v/>
      </c>
    </row>
    <row r="190">
      <c r="A190">
        <f>IF(AND(LEN('Licences'!A190)&gt;0,ISNUMBER('Licences'!J190)),'Licences'!J190+187/100000,"")</f>
        <v/>
      </c>
      <c r="B190">
        <f>IF(AND(LEN('Licences'!A190)&gt;0,ISNUMBER('Licences'!J190)),MAX($B$3:B189)+1,"")</f>
        <v/>
      </c>
      <c r="E190">
        <f>IFERROR(MATCH(187,$B$4:$B$503,0),"")</f>
        <v/>
      </c>
    </row>
    <row r="191">
      <c r="A191">
        <f>IF(AND(LEN('Licences'!A191)&gt;0,ISNUMBER('Licences'!J191)),'Licences'!J191+188/100000,"")</f>
        <v/>
      </c>
      <c r="B191">
        <f>IF(AND(LEN('Licences'!A191)&gt;0,ISNUMBER('Licences'!J191)),MAX($B$3:B190)+1,"")</f>
        <v/>
      </c>
      <c r="E191">
        <f>IFERROR(MATCH(188,$B$4:$B$503,0),"")</f>
        <v/>
      </c>
    </row>
    <row r="192">
      <c r="A192">
        <f>IF(AND(LEN('Licences'!A192)&gt;0,ISNUMBER('Licences'!J192)),'Licences'!J192+189/100000,"")</f>
        <v/>
      </c>
      <c r="B192">
        <f>IF(AND(LEN('Licences'!A192)&gt;0,ISNUMBER('Licences'!J192)),MAX($B$3:B191)+1,"")</f>
        <v/>
      </c>
      <c r="E192">
        <f>IFERROR(MATCH(189,$B$4:$B$503,0),"")</f>
        <v/>
      </c>
    </row>
    <row r="193">
      <c r="A193">
        <f>IF(AND(LEN('Licences'!A193)&gt;0,ISNUMBER('Licences'!J193)),'Licences'!J193+190/100000,"")</f>
        <v/>
      </c>
      <c r="B193">
        <f>IF(AND(LEN('Licences'!A193)&gt;0,ISNUMBER('Licences'!J193)),MAX($B$3:B192)+1,"")</f>
        <v/>
      </c>
      <c r="E193">
        <f>IFERROR(MATCH(190,$B$4:$B$503,0),"")</f>
        <v/>
      </c>
    </row>
    <row r="194">
      <c r="A194">
        <f>IF(AND(LEN('Licences'!A194)&gt;0,ISNUMBER('Licences'!J194)),'Licences'!J194+191/100000,"")</f>
        <v/>
      </c>
      <c r="B194">
        <f>IF(AND(LEN('Licences'!A194)&gt;0,ISNUMBER('Licences'!J194)),MAX($B$3:B193)+1,"")</f>
        <v/>
      </c>
      <c r="E194">
        <f>IFERROR(MATCH(191,$B$4:$B$503,0),"")</f>
        <v/>
      </c>
    </row>
    <row r="195">
      <c r="A195">
        <f>IF(AND(LEN('Licences'!A195)&gt;0,ISNUMBER('Licences'!J195)),'Licences'!J195+192/100000,"")</f>
        <v/>
      </c>
      <c r="B195">
        <f>IF(AND(LEN('Licences'!A195)&gt;0,ISNUMBER('Licences'!J195)),MAX($B$3:B194)+1,"")</f>
        <v/>
      </c>
      <c r="E195">
        <f>IFERROR(MATCH(192,$B$4:$B$503,0),"")</f>
        <v/>
      </c>
    </row>
    <row r="196">
      <c r="A196">
        <f>IF(AND(LEN('Licences'!A196)&gt;0,ISNUMBER('Licences'!J196)),'Licences'!J196+193/100000,"")</f>
        <v/>
      </c>
      <c r="B196">
        <f>IF(AND(LEN('Licences'!A196)&gt;0,ISNUMBER('Licences'!J196)),MAX($B$3:B195)+1,"")</f>
        <v/>
      </c>
      <c r="E196">
        <f>IFERROR(MATCH(193,$B$4:$B$503,0),"")</f>
        <v/>
      </c>
    </row>
    <row r="197">
      <c r="A197">
        <f>IF(AND(LEN('Licences'!A197)&gt;0,ISNUMBER('Licences'!J197)),'Licences'!J197+194/100000,"")</f>
        <v/>
      </c>
      <c r="B197">
        <f>IF(AND(LEN('Licences'!A197)&gt;0,ISNUMBER('Licences'!J197)),MAX($B$3:B196)+1,"")</f>
        <v/>
      </c>
      <c r="E197">
        <f>IFERROR(MATCH(194,$B$4:$B$503,0),"")</f>
        <v/>
      </c>
    </row>
    <row r="198">
      <c r="A198">
        <f>IF(AND(LEN('Licences'!A198)&gt;0,ISNUMBER('Licences'!J198)),'Licences'!J198+195/100000,"")</f>
        <v/>
      </c>
      <c r="B198">
        <f>IF(AND(LEN('Licences'!A198)&gt;0,ISNUMBER('Licences'!J198)),MAX($B$3:B197)+1,"")</f>
        <v/>
      </c>
      <c r="E198">
        <f>IFERROR(MATCH(195,$B$4:$B$503,0),"")</f>
        <v/>
      </c>
    </row>
    <row r="199">
      <c r="A199">
        <f>IF(AND(LEN('Licences'!A199)&gt;0,ISNUMBER('Licences'!J199)),'Licences'!J199+196/100000,"")</f>
        <v/>
      </c>
      <c r="B199">
        <f>IF(AND(LEN('Licences'!A199)&gt;0,ISNUMBER('Licences'!J199)),MAX($B$3:B198)+1,"")</f>
        <v/>
      </c>
      <c r="E199">
        <f>IFERROR(MATCH(196,$B$4:$B$503,0),"")</f>
        <v/>
      </c>
    </row>
    <row r="200">
      <c r="A200">
        <f>IF(AND(LEN('Licences'!A200)&gt;0,ISNUMBER('Licences'!J200)),'Licences'!J200+197/100000,"")</f>
        <v/>
      </c>
      <c r="B200">
        <f>IF(AND(LEN('Licences'!A200)&gt;0,ISNUMBER('Licences'!J200)),MAX($B$3:B199)+1,"")</f>
        <v/>
      </c>
      <c r="E200">
        <f>IFERROR(MATCH(197,$B$4:$B$503,0),"")</f>
        <v/>
      </c>
    </row>
    <row r="201">
      <c r="A201">
        <f>IF(AND(LEN('Licences'!A201)&gt;0,ISNUMBER('Licences'!J201)),'Licences'!J201+198/100000,"")</f>
        <v/>
      </c>
      <c r="B201">
        <f>IF(AND(LEN('Licences'!A201)&gt;0,ISNUMBER('Licences'!J201)),MAX($B$3:B200)+1,"")</f>
        <v/>
      </c>
      <c r="E201">
        <f>IFERROR(MATCH(198,$B$4:$B$503,0),"")</f>
        <v/>
      </c>
    </row>
    <row r="202">
      <c r="A202">
        <f>IF(AND(LEN('Licences'!A202)&gt;0,ISNUMBER('Licences'!J202)),'Licences'!J202+199/100000,"")</f>
        <v/>
      </c>
      <c r="B202">
        <f>IF(AND(LEN('Licences'!A202)&gt;0,ISNUMBER('Licences'!J202)),MAX($B$3:B201)+1,"")</f>
        <v/>
      </c>
      <c r="E202">
        <f>IFERROR(MATCH(199,$B$4:$B$503,0),"")</f>
        <v/>
      </c>
    </row>
    <row r="203">
      <c r="A203">
        <f>IF(AND(LEN('Licences'!A203)&gt;0,ISNUMBER('Licences'!J203)),'Licences'!J203+200/100000,"")</f>
        <v/>
      </c>
      <c r="B203">
        <f>IF(AND(LEN('Licences'!A203)&gt;0,ISNUMBER('Licences'!J203)),MAX($B$3:B202)+1,"")</f>
        <v/>
      </c>
      <c r="E203">
        <f>IFERROR(MATCH(200,$B$4:$B$503,0),"")</f>
        <v/>
      </c>
    </row>
    <row r="204">
      <c r="A204">
        <f>IF(AND(LEN('Licences'!A204)&gt;0,ISNUMBER('Licences'!J204)),'Licences'!J204+201/100000,"")</f>
        <v/>
      </c>
      <c r="B204">
        <f>IF(AND(LEN('Licences'!A204)&gt;0,ISNUMBER('Licences'!J204)),MAX($B$3:B203)+1,"")</f>
        <v/>
      </c>
      <c r="E204">
        <f>IFERROR(MATCH(201,$B$4:$B$503,0),"")</f>
        <v/>
      </c>
    </row>
    <row r="205">
      <c r="A205">
        <f>IF(AND(LEN('Licences'!A205)&gt;0,ISNUMBER('Licences'!J205)),'Licences'!J205+202/100000,"")</f>
        <v/>
      </c>
      <c r="B205">
        <f>IF(AND(LEN('Licences'!A205)&gt;0,ISNUMBER('Licences'!J205)),MAX($B$3:B204)+1,"")</f>
        <v/>
      </c>
      <c r="E205">
        <f>IFERROR(MATCH(202,$B$4:$B$503,0),"")</f>
        <v/>
      </c>
    </row>
    <row r="206">
      <c r="A206">
        <f>IF(AND(LEN('Licences'!A206)&gt;0,ISNUMBER('Licences'!J206)),'Licences'!J206+203/100000,"")</f>
        <v/>
      </c>
      <c r="B206">
        <f>IF(AND(LEN('Licences'!A206)&gt;0,ISNUMBER('Licences'!J206)),MAX($B$3:B205)+1,"")</f>
        <v/>
      </c>
      <c r="E206">
        <f>IFERROR(MATCH(203,$B$4:$B$503,0),"")</f>
        <v/>
      </c>
    </row>
    <row r="207">
      <c r="A207">
        <f>IF(AND(LEN('Licences'!A207)&gt;0,ISNUMBER('Licences'!J207)),'Licences'!J207+204/100000,"")</f>
        <v/>
      </c>
      <c r="B207">
        <f>IF(AND(LEN('Licences'!A207)&gt;0,ISNUMBER('Licences'!J207)),MAX($B$3:B206)+1,"")</f>
        <v/>
      </c>
      <c r="E207">
        <f>IFERROR(MATCH(204,$B$4:$B$503,0),"")</f>
        <v/>
      </c>
    </row>
    <row r="208">
      <c r="A208">
        <f>IF(AND(LEN('Licences'!A208)&gt;0,ISNUMBER('Licences'!J208)),'Licences'!J208+205/100000,"")</f>
        <v/>
      </c>
      <c r="B208">
        <f>IF(AND(LEN('Licences'!A208)&gt;0,ISNUMBER('Licences'!J208)),MAX($B$3:B207)+1,"")</f>
        <v/>
      </c>
      <c r="E208">
        <f>IFERROR(MATCH(205,$B$4:$B$503,0),"")</f>
        <v/>
      </c>
    </row>
    <row r="209">
      <c r="A209">
        <f>IF(AND(LEN('Licences'!A209)&gt;0,ISNUMBER('Licences'!J209)),'Licences'!J209+206/100000,"")</f>
        <v/>
      </c>
      <c r="B209">
        <f>IF(AND(LEN('Licences'!A209)&gt;0,ISNUMBER('Licences'!J209)),MAX($B$3:B208)+1,"")</f>
        <v/>
      </c>
      <c r="E209">
        <f>IFERROR(MATCH(206,$B$4:$B$503,0),"")</f>
        <v/>
      </c>
    </row>
    <row r="210">
      <c r="A210">
        <f>IF(AND(LEN('Licences'!A210)&gt;0,ISNUMBER('Licences'!J210)),'Licences'!J210+207/100000,"")</f>
        <v/>
      </c>
      <c r="B210">
        <f>IF(AND(LEN('Licences'!A210)&gt;0,ISNUMBER('Licences'!J210)),MAX($B$3:B209)+1,"")</f>
        <v/>
      </c>
      <c r="E210">
        <f>IFERROR(MATCH(207,$B$4:$B$503,0),"")</f>
        <v/>
      </c>
    </row>
    <row r="211">
      <c r="A211">
        <f>IF(AND(LEN('Licences'!A211)&gt;0,ISNUMBER('Licences'!J211)),'Licences'!J211+208/100000,"")</f>
        <v/>
      </c>
      <c r="B211">
        <f>IF(AND(LEN('Licences'!A211)&gt;0,ISNUMBER('Licences'!J211)),MAX($B$3:B210)+1,"")</f>
        <v/>
      </c>
      <c r="E211">
        <f>IFERROR(MATCH(208,$B$4:$B$503,0),"")</f>
        <v/>
      </c>
    </row>
    <row r="212">
      <c r="A212">
        <f>IF(AND(LEN('Licences'!A212)&gt;0,ISNUMBER('Licences'!J212)),'Licences'!J212+209/100000,"")</f>
        <v/>
      </c>
      <c r="B212">
        <f>IF(AND(LEN('Licences'!A212)&gt;0,ISNUMBER('Licences'!J212)),MAX($B$3:B211)+1,"")</f>
        <v/>
      </c>
      <c r="E212">
        <f>IFERROR(MATCH(209,$B$4:$B$503,0),"")</f>
        <v/>
      </c>
    </row>
    <row r="213">
      <c r="A213">
        <f>IF(AND(LEN('Licences'!A213)&gt;0,ISNUMBER('Licences'!J213)),'Licences'!J213+210/100000,"")</f>
        <v/>
      </c>
      <c r="B213">
        <f>IF(AND(LEN('Licences'!A213)&gt;0,ISNUMBER('Licences'!J213)),MAX($B$3:B212)+1,"")</f>
        <v/>
      </c>
      <c r="E213">
        <f>IFERROR(MATCH(210,$B$4:$B$503,0),"")</f>
        <v/>
      </c>
    </row>
    <row r="214">
      <c r="A214">
        <f>IF(AND(LEN('Licences'!A214)&gt;0,ISNUMBER('Licences'!J214)),'Licences'!J214+211/100000,"")</f>
        <v/>
      </c>
      <c r="B214">
        <f>IF(AND(LEN('Licences'!A214)&gt;0,ISNUMBER('Licences'!J214)),MAX($B$3:B213)+1,"")</f>
        <v/>
      </c>
      <c r="E214">
        <f>IFERROR(MATCH(211,$B$4:$B$503,0),"")</f>
        <v/>
      </c>
    </row>
    <row r="215">
      <c r="A215">
        <f>IF(AND(LEN('Licences'!A215)&gt;0,ISNUMBER('Licences'!J215)),'Licences'!J215+212/100000,"")</f>
        <v/>
      </c>
      <c r="B215">
        <f>IF(AND(LEN('Licences'!A215)&gt;0,ISNUMBER('Licences'!J215)),MAX($B$3:B214)+1,"")</f>
        <v/>
      </c>
      <c r="E215">
        <f>IFERROR(MATCH(212,$B$4:$B$503,0),"")</f>
        <v/>
      </c>
    </row>
    <row r="216">
      <c r="A216">
        <f>IF(AND(LEN('Licences'!A216)&gt;0,ISNUMBER('Licences'!J216)),'Licences'!J216+213/100000,"")</f>
        <v/>
      </c>
      <c r="B216">
        <f>IF(AND(LEN('Licences'!A216)&gt;0,ISNUMBER('Licences'!J216)),MAX($B$3:B215)+1,"")</f>
        <v/>
      </c>
      <c r="E216">
        <f>IFERROR(MATCH(213,$B$4:$B$503,0),"")</f>
        <v/>
      </c>
    </row>
    <row r="217">
      <c r="A217">
        <f>IF(AND(LEN('Licences'!A217)&gt;0,ISNUMBER('Licences'!J217)),'Licences'!J217+214/100000,"")</f>
        <v/>
      </c>
      <c r="B217">
        <f>IF(AND(LEN('Licences'!A217)&gt;0,ISNUMBER('Licences'!J217)),MAX($B$3:B216)+1,"")</f>
        <v/>
      </c>
      <c r="E217">
        <f>IFERROR(MATCH(214,$B$4:$B$503,0),"")</f>
        <v/>
      </c>
    </row>
    <row r="218">
      <c r="A218">
        <f>IF(AND(LEN('Licences'!A218)&gt;0,ISNUMBER('Licences'!J218)),'Licences'!J218+215/100000,"")</f>
        <v/>
      </c>
      <c r="B218">
        <f>IF(AND(LEN('Licences'!A218)&gt;0,ISNUMBER('Licences'!J218)),MAX($B$3:B217)+1,"")</f>
        <v/>
      </c>
      <c r="E218">
        <f>IFERROR(MATCH(215,$B$4:$B$503,0),"")</f>
        <v/>
      </c>
    </row>
    <row r="219">
      <c r="A219">
        <f>IF(AND(LEN('Licences'!A219)&gt;0,ISNUMBER('Licences'!J219)),'Licences'!J219+216/100000,"")</f>
        <v/>
      </c>
      <c r="B219">
        <f>IF(AND(LEN('Licences'!A219)&gt;0,ISNUMBER('Licences'!J219)),MAX($B$3:B218)+1,"")</f>
        <v/>
      </c>
      <c r="E219">
        <f>IFERROR(MATCH(216,$B$4:$B$503,0),"")</f>
        <v/>
      </c>
    </row>
    <row r="220">
      <c r="A220">
        <f>IF(AND(LEN('Licences'!A220)&gt;0,ISNUMBER('Licences'!J220)),'Licences'!J220+217/100000,"")</f>
        <v/>
      </c>
      <c r="B220">
        <f>IF(AND(LEN('Licences'!A220)&gt;0,ISNUMBER('Licences'!J220)),MAX($B$3:B219)+1,"")</f>
        <v/>
      </c>
      <c r="E220">
        <f>IFERROR(MATCH(217,$B$4:$B$503,0),"")</f>
        <v/>
      </c>
    </row>
    <row r="221">
      <c r="A221">
        <f>IF(AND(LEN('Licences'!A221)&gt;0,ISNUMBER('Licences'!J221)),'Licences'!J221+218/100000,"")</f>
        <v/>
      </c>
      <c r="B221">
        <f>IF(AND(LEN('Licences'!A221)&gt;0,ISNUMBER('Licences'!J221)),MAX($B$3:B220)+1,"")</f>
        <v/>
      </c>
      <c r="E221">
        <f>IFERROR(MATCH(218,$B$4:$B$503,0),"")</f>
        <v/>
      </c>
    </row>
    <row r="222">
      <c r="A222">
        <f>IF(AND(LEN('Licences'!A222)&gt;0,ISNUMBER('Licences'!J222)),'Licences'!J222+219/100000,"")</f>
        <v/>
      </c>
      <c r="B222">
        <f>IF(AND(LEN('Licences'!A222)&gt;0,ISNUMBER('Licences'!J222)),MAX($B$3:B221)+1,"")</f>
        <v/>
      </c>
      <c r="E222">
        <f>IFERROR(MATCH(219,$B$4:$B$503,0),"")</f>
        <v/>
      </c>
    </row>
    <row r="223">
      <c r="A223">
        <f>IF(AND(LEN('Licences'!A223)&gt;0,ISNUMBER('Licences'!J223)),'Licences'!J223+220/100000,"")</f>
        <v/>
      </c>
      <c r="B223">
        <f>IF(AND(LEN('Licences'!A223)&gt;0,ISNUMBER('Licences'!J223)),MAX($B$3:B222)+1,"")</f>
        <v/>
      </c>
      <c r="E223">
        <f>IFERROR(MATCH(220,$B$4:$B$503,0),"")</f>
        <v/>
      </c>
    </row>
    <row r="224">
      <c r="A224">
        <f>IF(AND(LEN('Licences'!A224)&gt;0,ISNUMBER('Licences'!J224)),'Licences'!J224+221/100000,"")</f>
        <v/>
      </c>
      <c r="B224">
        <f>IF(AND(LEN('Licences'!A224)&gt;0,ISNUMBER('Licences'!J224)),MAX($B$3:B223)+1,"")</f>
        <v/>
      </c>
      <c r="E224">
        <f>IFERROR(MATCH(221,$B$4:$B$503,0),"")</f>
        <v/>
      </c>
    </row>
    <row r="225">
      <c r="A225">
        <f>IF(AND(LEN('Licences'!A225)&gt;0,ISNUMBER('Licences'!J225)),'Licences'!J225+222/100000,"")</f>
        <v/>
      </c>
      <c r="B225">
        <f>IF(AND(LEN('Licences'!A225)&gt;0,ISNUMBER('Licences'!J225)),MAX($B$3:B224)+1,"")</f>
        <v/>
      </c>
      <c r="E225">
        <f>IFERROR(MATCH(222,$B$4:$B$503,0),"")</f>
        <v/>
      </c>
    </row>
    <row r="226">
      <c r="A226">
        <f>IF(AND(LEN('Licences'!A226)&gt;0,ISNUMBER('Licences'!J226)),'Licences'!J226+223/100000,"")</f>
        <v/>
      </c>
      <c r="B226">
        <f>IF(AND(LEN('Licences'!A226)&gt;0,ISNUMBER('Licences'!J226)),MAX($B$3:B225)+1,"")</f>
        <v/>
      </c>
      <c r="E226">
        <f>IFERROR(MATCH(223,$B$4:$B$503,0),"")</f>
        <v/>
      </c>
    </row>
    <row r="227">
      <c r="A227">
        <f>IF(AND(LEN('Licences'!A227)&gt;0,ISNUMBER('Licences'!J227)),'Licences'!J227+224/100000,"")</f>
        <v/>
      </c>
      <c r="B227">
        <f>IF(AND(LEN('Licences'!A227)&gt;0,ISNUMBER('Licences'!J227)),MAX($B$3:B226)+1,"")</f>
        <v/>
      </c>
      <c r="E227">
        <f>IFERROR(MATCH(224,$B$4:$B$503,0),"")</f>
        <v/>
      </c>
    </row>
    <row r="228">
      <c r="A228">
        <f>IF(AND(LEN('Licences'!A228)&gt;0,ISNUMBER('Licences'!J228)),'Licences'!J228+225/100000,"")</f>
        <v/>
      </c>
      <c r="B228">
        <f>IF(AND(LEN('Licences'!A228)&gt;0,ISNUMBER('Licences'!J228)),MAX($B$3:B227)+1,"")</f>
        <v/>
      </c>
      <c r="E228">
        <f>IFERROR(MATCH(225,$B$4:$B$503,0),"")</f>
        <v/>
      </c>
    </row>
    <row r="229">
      <c r="A229">
        <f>IF(AND(LEN('Licences'!A229)&gt;0,ISNUMBER('Licences'!J229)),'Licences'!J229+226/100000,"")</f>
        <v/>
      </c>
      <c r="B229">
        <f>IF(AND(LEN('Licences'!A229)&gt;0,ISNUMBER('Licences'!J229)),MAX($B$3:B228)+1,"")</f>
        <v/>
      </c>
      <c r="E229">
        <f>IFERROR(MATCH(226,$B$4:$B$503,0),"")</f>
        <v/>
      </c>
    </row>
    <row r="230">
      <c r="A230">
        <f>IF(AND(LEN('Licences'!A230)&gt;0,ISNUMBER('Licences'!J230)),'Licences'!J230+227/100000,"")</f>
        <v/>
      </c>
      <c r="B230">
        <f>IF(AND(LEN('Licences'!A230)&gt;0,ISNUMBER('Licences'!J230)),MAX($B$3:B229)+1,"")</f>
        <v/>
      </c>
      <c r="E230">
        <f>IFERROR(MATCH(227,$B$4:$B$503,0),"")</f>
        <v/>
      </c>
    </row>
    <row r="231">
      <c r="A231">
        <f>IF(AND(LEN('Licences'!A231)&gt;0,ISNUMBER('Licences'!J231)),'Licences'!J231+228/100000,"")</f>
        <v/>
      </c>
      <c r="B231">
        <f>IF(AND(LEN('Licences'!A231)&gt;0,ISNUMBER('Licences'!J231)),MAX($B$3:B230)+1,"")</f>
        <v/>
      </c>
      <c r="E231">
        <f>IFERROR(MATCH(228,$B$4:$B$503,0),"")</f>
        <v/>
      </c>
    </row>
    <row r="232">
      <c r="A232">
        <f>IF(AND(LEN('Licences'!A232)&gt;0,ISNUMBER('Licences'!J232)),'Licences'!J232+229/100000,"")</f>
        <v/>
      </c>
      <c r="B232">
        <f>IF(AND(LEN('Licences'!A232)&gt;0,ISNUMBER('Licences'!J232)),MAX($B$3:B231)+1,"")</f>
        <v/>
      </c>
      <c r="E232">
        <f>IFERROR(MATCH(229,$B$4:$B$503,0),"")</f>
        <v/>
      </c>
    </row>
    <row r="233">
      <c r="A233">
        <f>IF(AND(LEN('Licences'!A233)&gt;0,ISNUMBER('Licences'!J233)),'Licences'!J233+230/100000,"")</f>
        <v/>
      </c>
      <c r="B233">
        <f>IF(AND(LEN('Licences'!A233)&gt;0,ISNUMBER('Licences'!J233)),MAX($B$3:B232)+1,"")</f>
        <v/>
      </c>
      <c r="E233">
        <f>IFERROR(MATCH(230,$B$4:$B$503,0),"")</f>
        <v/>
      </c>
    </row>
    <row r="234">
      <c r="A234">
        <f>IF(AND(LEN('Licences'!A234)&gt;0,ISNUMBER('Licences'!J234)),'Licences'!J234+231/100000,"")</f>
        <v/>
      </c>
      <c r="B234">
        <f>IF(AND(LEN('Licences'!A234)&gt;0,ISNUMBER('Licences'!J234)),MAX($B$3:B233)+1,"")</f>
        <v/>
      </c>
      <c r="E234">
        <f>IFERROR(MATCH(231,$B$4:$B$503,0),"")</f>
        <v/>
      </c>
    </row>
    <row r="235">
      <c r="A235">
        <f>IF(AND(LEN('Licences'!A235)&gt;0,ISNUMBER('Licences'!J235)),'Licences'!J235+232/100000,"")</f>
        <v/>
      </c>
      <c r="B235">
        <f>IF(AND(LEN('Licences'!A235)&gt;0,ISNUMBER('Licences'!J235)),MAX($B$3:B234)+1,"")</f>
        <v/>
      </c>
      <c r="E235">
        <f>IFERROR(MATCH(232,$B$4:$B$503,0),"")</f>
        <v/>
      </c>
    </row>
    <row r="236">
      <c r="A236">
        <f>IF(AND(LEN('Licences'!A236)&gt;0,ISNUMBER('Licences'!J236)),'Licences'!J236+233/100000,"")</f>
        <v/>
      </c>
      <c r="B236">
        <f>IF(AND(LEN('Licences'!A236)&gt;0,ISNUMBER('Licences'!J236)),MAX($B$3:B235)+1,"")</f>
        <v/>
      </c>
      <c r="E236">
        <f>IFERROR(MATCH(233,$B$4:$B$503,0),"")</f>
        <v/>
      </c>
    </row>
    <row r="237">
      <c r="A237">
        <f>IF(AND(LEN('Licences'!A237)&gt;0,ISNUMBER('Licences'!J237)),'Licences'!J237+234/100000,"")</f>
        <v/>
      </c>
      <c r="B237">
        <f>IF(AND(LEN('Licences'!A237)&gt;0,ISNUMBER('Licences'!J237)),MAX($B$3:B236)+1,"")</f>
        <v/>
      </c>
      <c r="E237">
        <f>IFERROR(MATCH(234,$B$4:$B$503,0),"")</f>
        <v/>
      </c>
    </row>
    <row r="238">
      <c r="A238">
        <f>IF(AND(LEN('Licences'!A238)&gt;0,ISNUMBER('Licences'!J238)),'Licences'!J238+235/100000,"")</f>
        <v/>
      </c>
      <c r="B238">
        <f>IF(AND(LEN('Licences'!A238)&gt;0,ISNUMBER('Licences'!J238)),MAX($B$3:B237)+1,"")</f>
        <v/>
      </c>
      <c r="E238">
        <f>IFERROR(MATCH(235,$B$4:$B$503,0),"")</f>
        <v/>
      </c>
    </row>
    <row r="239">
      <c r="A239">
        <f>IF(AND(LEN('Licences'!A239)&gt;0,ISNUMBER('Licences'!J239)),'Licences'!J239+236/100000,"")</f>
        <v/>
      </c>
      <c r="B239">
        <f>IF(AND(LEN('Licences'!A239)&gt;0,ISNUMBER('Licences'!J239)),MAX($B$3:B238)+1,"")</f>
        <v/>
      </c>
      <c r="E239">
        <f>IFERROR(MATCH(236,$B$4:$B$503,0),"")</f>
        <v/>
      </c>
    </row>
    <row r="240">
      <c r="A240">
        <f>IF(AND(LEN('Licences'!A240)&gt;0,ISNUMBER('Licences'!J240)),'Licences'!J240+237/100000,"")</f>
        <v/>
      </c>
      <c r="B240">
        <f>IF(AND(LEN('Licences'!A240)&gt;0,ISNUMBER('Licences'!J240)),MAX($B$3:B239)+1,"")</f>
        <v/>
      </c>
      <c r="E240">
        <f>IFERROR(MATCH(237,$B$4:$B$503,0),"")</f>
        <v/>
      </c>
    </row>
    <row r="241">
      <c r="A241">
        <f>IF(AND(LEN('Licences'!A241)&gt;0,ISNUMBER('Licences'!J241)),'Licences'!J241+238/100000,"")</f>
        <v/>
      </c>
      <c r="B241">
        <f>IF(AND(LEN('Licences'!A241)&gt;0,ISNUMBER('Licences'!J241)),MAX($B$3:B240)+1,"")</f>
        <v/>
      </c>
      <c r="E241">
        <f>IFERROR(MATCH(238,$B$4:$B$503,0),"")</f>
        <v/>
      </c>
    </row>
    <row r="242">
      <c r="A242">
        <f>IF(AND(LEN('Licences'!A242)&gt;0,ISNUMBER('Licences'!J242)),'Licences'!J242+239/100000,"")</f>
        <v/>
      </c>
      <c r="B242">
        <f>IF(AND(LEN('Licences'!A242)&gt;0,ISNUMBER('Licences'!J242)),MAX($B$3:B241)+1,"")</f>
        <v/>
      </c>
      <c r="E242">
        <f>IFERROR(MATCH(239,$B$4:$B$503,0),"")</f>
        <v/>
      </c>
    </row>
    <row r="243">
      <c r="A243">
        <f>IF(AND(LEN('Licences'!A243)&gt;0,ISNUMBER('Licences'!J243)),'Licences'!J243+240/100000,"")</f>
        <v/>
      </c>
      <c r="B243">
        <f>IF(AND(LEN('Licences'!A243)&gt;0,ISNUMBER('Licences'!J243)),MAX($B$3:B242)+1,"")</f>
        <v/>
      </c>
      <c r="E243">
        <f>IFERROR(MATCH(240,$B$4:$B$503,0),"")</f>
        <v/>
      </c>
    </row>
    <row r="244">
      <c r="A244">
        <f>IF(AND(LEN('Licences'!A244)&gt;0,ISNUMBER('Licences'!J244)),'Licences'!J244+241/100000,"")</f>
        <v/>
      </c>
      <c r="B244">
        <f>IF(AND(LEN('Licences'!A244)&gt;0,ISNUMBER('Licences'!J244)),MAX($B$3:B243)+1,"")</f>
        <v/>
      </c>
      <c r="E244">
        <f>IFERROR(MATCH(241,$B$4:$B$503,0),"")</f>
        <v/>
      </c>
    </row>
    <row r="245">
      <c r="A245">
        <f>IF(AND(LEN('Licences'!A245)&gt;0,ISNUMBER('Licences'!J245)),'Licences'!J245+242/100000,"")</f>
        <v/>
      </c>
      <c r="B245">
        <f>IF(AND(LEN('Licences'!A245)&gt;0,ISNUMBER('Licences'!J245)),MAX($B$3:B244)+1,"")</f>
        <v/>
      </c>
      <c r="E245">
        <f>IFERROR(MATCH(242,$B$4:$B$503,0),"")</f>
        <v/>
      </c>
    </row>
    <row r="246">
      <c r="A246">
        <f>IF(AND(LEN('Licences'!A246)&gt;0,ISNUMBER('Licences'!J246)),'Licences'!J246+243/100000,"")</f>
        <v/>
      </c>
      <c r="B246">
        <f>IF(AND(LEN('Licences'!A246)&gt;0,ISNUMBER('Licences'!J246)),MAX($B$3:B245)+1,"")</f>
        <v/>
      </c>
      <c r="E246">
        <f>IFERROR(MATCH(243,$B$4:$B$503,0),"")</f>
        <v/>
      </c>
    </row>
    <row r="247">
      <c r="A247">
        <f>IF(AND(LEN('Licences'!A247)&gt;0,ISNUMBER('Licences'!J247)),'Licences'!J247+244/100000,"")</f>
        <v/>
      </c>
      <c r="B247">
        <f>IF(AND(LEN('Licences'!A247)&gt;0,ISNUMBER('Licences'!J247)),MAX($B$3:B246)+1,"")</f>
        <v/>
      </c>
      <c r="E247">
        <f>IFERROR(MATCH(244,$B$4:$B$503,0),"")</f>
        <v/>
      </c>
    </row>
    <row r="248">
      <c r="A248">
        <f>IF(AND(LEN('Licences'!A248)&gt;0,ISNUMBER('Licences'!J248)),'Licences'!J248+245/100000,"")</f>
        <v/>
      </c>
      <c r="B248">
        <f>IF(AND(LEN('Licences'!A248)&gt;0,ISNUMBER('Licences'!J248)),MAX($B$3:B247)+1,"")</f>
        <v/>
      </c>
      <c r="E248">
        <f>IFERROR(MATCH(245,$B$4:$B$503,0),"")</f>
        <v/>
      </c>
    </row>
    <row r="249">
      <c r="A249">
        <f>IF(AND(LEN('Licences'!A249)&gt;0,ISNUMBER('Licences'!J249)),'Licences'!J249+246/100000,"")</f>
        <v/>
      </c>
      <c r="B249">
        <f>IF(AND(LEN('Licences'!A249)&gt;0,ISNUMBER('Licences'!J249)),MAX($B$3:B248)+1,"")</f>
        <v/>
      </c>
      <c r="E249">
        <f>IFERROR(MATCH(246,$B$4:$B$503,0),"")</f>
        <v/>
      </c>
    </row>
    <row r="250">
      <c r="A250">
        <f>IF(AND(LEN('Licences'!A250)&gt;0,ISNUMBER('Licences'!J250)),'Licences'!J250+247/100000,"")</f>
        <v/>
      </c>
      <c r="B250">
        <f>IF(AND(LEN('Licences'!A250)&gt;0,ISNUMBER('Licences'!J250)),MAX($B$3:B249)+1,"")</f>
        <v/>
      </c>
      <c r="E250">
        <f>IFERROR(MATCH(247,$B$4:$B$503,0),"")</f>
        <v/>
      </c>
    </row>
    <row r="251">
      <c r="A251">
        <f>IF(AND(LEN('Licences'!A251)&gt;0,ISNUMBER('Licences'!J251)),'Licences'!J251+248/100000,"")</f>
        <v/>
      </c>
      <c r="B251">
        <f>IF(AND(LEN('Licences'!A251)&gt;0,ISNUMBER('Licences'!J251)),MAX($B$3:B250)+1,"")</f>
        <v/>
      </c>
      <c r="E251">
        <f>IFERROR(MATCH(248,$B$4:$B$503,0),"")</f>
        <v/>
      </c>
    </row>
    <row r="252">
      <c r="A252">
        <f>IF(AND(LEN('Licences'!A252)&gt;0,ISNUMBER('Licences'!J252)),'Licences'!J252+249/100000,"")</f>
        <v/>
      </c>
      <c r="B252">
        <f>IF(AND(LEN('Licences'!A252)&gt;0,ISNUMBER('Licences'!J252)),MAX($B$3:B251)+1,"")</f>
        <v/>
      </c>
      <c r="E252">
        <f>IFERROR(MATCH(249,$B$4:$B$503,0),"")</f>
        <v/>
      </c>
    </row>
    <row r="253">
      <c r="A253">
        <f>IF(AND(LEN('Licences'!A253)&gt;0,ISNUMBER('Licences'!J253)),'Licences'!J253+250/100000,"")</f>
        <v/>
      </c>
      <c r="B253">
        <f>IF(AND(LEN('Licences'!A253)&gt;0,ISNUMBER('Licences'!J253)),MAX($B$3:B252)+1,"")</f>
        <v/>
      </c>
      <c r="E253">
        <f>IFERROR(MATCH(250,$B$4:$B$503,0),"")</f>
        <v/>
      </c>
    </row>
    <row r="254">
      <c r="A254">
        <f>IF(AND(LEN('Licences'!A254)&gt;0,ISNUMBER('Licences'!J254)),'Licences'!J254+251/100000,"")</f>
        <v/>
      </c>
      <c r="B254">
        <f>IF(AND(LEN('Licences'!A254)&gt;0,ISNUMBER('Licences'!J254)),MAX($B$3:B253)+1,"")</f>
        <v/>
      </c>
      <c r="E254">
        <f>IFERROR(MATCH(251,$B$4:$B$503,0),"")</f>
        <v/>
      </c>
    </row>
    <row r="255">
      <c r="A255">
        <f>IF(AND(LEN('Licences'!A255)&gt;0,ISNUMBER('Licences'!J255)),'Licences'!J255+252/100000,"")</f>
        <v/>
      </c>
      <c r="B255">
        <f>IF(AND(LEN('Licences'!A255)&gt;0,ISNUMBER('Licences'!J255)),MAX($B$3:B254)+1,"")</f>
        <v/>
      </c>
      <c r="E255">
        <f>IFERROR(MATCH(252,$B$4:$B$503,0),"")</f>
        <v/>
      </c>
    </row>
    <row r="256">
      <c r="A256">
        <f>IF(AND(LEN('Licences'!A256)&gt;0,ISNUMBER('Licences'!J256)),'Licences'!J256+253/100000,"")</f>
        <v/>
      </c>
      <c r="B256">
        <f>IF(AND(LEN('Licences'!A256)&gt;0,ISNUMBER('Licences'!J256)),MAX($B$3:B255)+1,"")</f>
        <v/>
      </c>
      <c r="E256">
        <f>IFERROR(MATCH(253,$B$4:$B$503,0),"")</f>
        <v/>
      </c>
    </row>
    <row r="257">
      <c r="A257">
        <f>IF(AND(LEN('Licences'!A257)&gt;0,ISNUMBER('Licences'!J257)),'Licences'!J257+254/100000,"")</f>
        <v/>
      </c>
      <c r="B257">
        <f>IF(AND(LEN('Licences'!A257)&gt;0,ISNUMBER('Licences'!J257)),MAX($B$3:B256)+1,"")</f>
        <v/>
      </c>
      <c r="E257">
        <f>IFERROR(MATCH(254,$B$4:$B$503,0),"")</f>
        <v/>
      </c>
    </row>
    <row r="258">
      <c r="A258">
        <f>IF(AND(LEN('Licences'!A258)&gt;0,ISNUMBER('Licences'!J258)),'Licences'!J258+255/100000,"")</f>
        <v/>
      </c>
      <c r="B258">
        <f>IF(AND(LEN('Licences'!A258)&gt;0,ISNUMBER('Licences'!J258)),MAX($B$3:B257)+1,"")</f>
        <v/>
      </c>
      <c r="E258">
        <f>IFERROR(MATCH(255,$B$4:$B$503,0),"")</f>
        <v/>
      </c>
    </row>
    <row r="259">
      <c r="A259">
        <f>IF(AND(LEN('Licences'!A259)&gt;0,ISNUMBER('Licences'!J259)),'Licences'!J259+256/100000,"")</f>
        <v/>
      </c>
      <c r="B259">
        <f>IF(AND(LEN('Licences'!A259)&gt;0,ISNUMBER('Licences'!J259)),MAX($B$3:B258)+1,"")</f>
        <v/>
      </c>
      <c r="E259">
        <f>IFERROR(MATCH(256,$B$4:$B$503,0),"")</f>
        <v/>
      </c>
    </row>
    <row r="260">
      <c r="A260">
        <f>IF(AND(LEN('Licences'!A260)&gt;0,ISNUMBER('Licences'!J260)),'Licences'!J260+257/100000,"")</f>
        <v/>
      </c>
      <c r="B260">
        <f>IF(AND(LEN('Licences'!A260)&gt;0,ISNUMBER('Licences'!J260)),MAX($B$3:B259)+1,"")</f>
        <v/>
      </c>
      <c r="E260">
        <f>IFERROR(MATCH(257,$B$4:$B$503,0),"")</f>
        <v/>
      </c>
    </row>
    <row r="261">
      <c r="A261">
        <f>IF(AND(LEN('Licences'!A261)&gt;0,ISNUMBER('Licences'!J261)),'Licences'!J261+258/100000,"")</f>
        <v/>
      </c>
      <c r="B261">
        <f>IF(AND(LEN('Licences'!A261)&gt;0,ISNUMBER('Licences'!J261)),MAX($B$3:B260)+1,"")</f>
        <v/>
      </c>
      <c r="E261">
        <f>IFERROR(MATCH(258,$B$4:$B$503,0),"")</f>
        <v/>
      </c>
    </row>
    <row r="262">
      <c r="A262">
        <f>IF(AND(LEN('Licences'!A262)&gt;0,ISNUMBER('Licences'!J262)),'Licences'!J262+259/100000,"")</f>
        <v/>
      </c>
      <c r="B262">
        <f>IF(AND(LEN('Licences'!A262)&gt;0,ISNUMBER('Licences'!J262)),MAX($B$3:B261)+1,"")</f>
        <v/>
      </c>
      <c r="E262">
        <f>IFERROR(MATCH(259,$B$4:$B$503,0),"")</f>
        <v/>
      </c>
    </row>
    <row r="263">
      <c r="A263">
        <f>IF(AND(LEN('Licences'!A263)&gt;0,ISNUMBER('Licences'!J263)),'Licences'!J263+260/100000,"")</f>
        <v/>
      </c>
      <c r="B263">
        <f>IF(AND(LEN('Licences'!A263)&gt;0,ISNUMBER('Licences'!J263)),MAX($B$3:B262)+1,"")</f>
        <v/>
      </c>
      <c r="E263">
        <f>IFERROR(MATCH(260,$B$4:$B$503,0),"")</f>
        <v/>
      </c>
    </row>
    <row r="264">
      <c r="A264">
        <f>IF(AND(LEN('Licences'!A264)&gt;0,ISNUMBER('Licences'!J264)),'Licences'!J264+261/100000,"")</f>
        <v/>
      </c>
      <c r="B264">
        <f>IF(AND(LEN('Licences'!A264)&gt;0,ISNUMBER('Licences'!J264)),MAX($B$3:B263)+1,"")</f>
        <v/>
      </c>
      <c r="E264">
        <f>IFERROR(MATCH(261,$B$4:$B$503,0),"")</f>
        <v/>
      </c>
    </row>
    <row r="265">
      <c r="A265">
        <f>IF(AND(LEN('Licences'!A265)&gt;0,ISNUMBER('Licences'!J265)),'Licences'!J265+262/100000,"")</f>
        <v/>
      </c>
      <c r="B265">
        <f>IF(AND(LEN('Licences'!A265)&gt;0,ISNUMBER('Licences'!J265)),MAX($B$3:B264)+1,"")</f>
        <v/>
      </c>
      <c r="E265">
        <f>IFERROR(MATCH(262,$B$4:$B$503,0),"")</f>
        <v/>
      </c>
    </row>
    <row r="266">
      <c r="A266">
        <f>IF(AND(LEN('Licences'!A266)&gt;0,ISNUMBER('Licences'!J266)),'Licences'!J266+263/100000,"")</f>
        <v/>
      </c>
      <c r="B266">
        <f>IF(AND(LEN('Licences'!A266)&gt;0,ISNUMBER('Licences'!J266)),MAX($B$3:B265)+1,"")</f>
        <v/>
      </c>
      <c r="E266">
        <f>IFERROR(MATCH(263,$B$4:$B$503,0),"")</f>
        <v/>
      </c>
    </row>
    <row r="267">
      <c r="A267">
        <f>IF(AND(LEN('Licences'!A267)&gt;0,ISNUMBER('Licences'!J267)),'Licences'!J267+264/100000,"")</f>
        <v/>
      </c>
      <c r="B267">
        <f>IF(AND(LEN('Licences'!A267)&gt;0,ISNUMBER('Licences'!J267)),MAX($B$3:B266)+1,"")</f>
        <v/>
      </c>
      <c r="E267">
        <f>IFERROR(MATCH(264,$B$4:$B$503,0),"")</f>
        <v/>
      </c>
    </row>
    <row r="268">
      <c r="A268">
        <f>IF(AND(LEN('Licences'!A268)&gt;0,ISNUMBER('Licences'!J268)),'Licences'!J268+265/100000,"")</f>
        <v/>
      </c>
      <c r="B268">
        <f>IF(AND(LEN('Licences'!A268)&gt;0,ISNUMBER('Licences'!J268)),MAX($B$3:B267)+1,"")</f>
        <v/>
      </c>
      <c r="E268">
        <f>IFERROR(MATCH(265,$B$4:$B$503,0),"")</f>
        <v/>
      </c>
    </row>
    <row r="269">
      <c r="A269">
        <f>IF(AND(LEN('Licences'!A269)&gt;0,ISNUMBER('Licences'!J269)),'Licences'!J269+266/100000,"")</f>
        <v/>
      </c>
      <c r="B269">
        <f>IF(AND(LEN('Licences'!A269)&gt;0,ISNUMBER('Licences'!J269)),MAX($B$3:B268)+1,"")</f>
        <v/>
      </c>
      <c r="E269">
        <f>IFERROR(MATCH(266,$B$4:$B$503,0),"")</f>
        <v/>
      </c>
    </row>
    <row r="270">
      <c r="A270">
        <f>IF(AND(LEN('Licences'!A270)&gt;0,ISNUMBER('Licences'!J270)),'Licences'!J270+267/100000,"")</f>
        <v/>
      </c>
      <c r="B270">
        <f>IF(AND(LEN('Licences'!A270)&gt;0,ISNUMBER('Licences'!J270)),MAX($B$3:B269)+1,"")</f>
        <v/>
      </c>
      <c r="E270">
        <f>IFERROR(MATCH(267,$B$4:$B$503,0),"")</f>
        <v/>
      </c>
    </row>
    <row r="271">
      <c r="A271">
        <f>IF(AND(LEN('Licences'!A271)&gt;0,ISNUMBER('Licences'!J271)),'Licences'!J271+268/100000,"")</f>
        <v/>
      </c>
      <c r="B271">
        <f>IF(AND(LEN('Licences'!A271)&gt;0,ISNUMBER('Licences'!J271)),MAX($B$3:B270)+1,"")</f>
        <v/>
      </c>
      <c r="E271">
        <f>IFERROR(MATCH(268,$B$4:$B$503,0),"")</f>
        <v/>
      </c>
    </row>
    <row r="272">
      <c r="A272">
        <f>IF(AND(LEN('Licences'!A272)&gt;0,ISNUMBER('Licences'!J272)),'Licences'!J272+269/100000,"")</f>
        <v/>
      </c>
      <c r="B272">
        <f>IF(AND(LEN('Licences'!A272)&gt;0,ISNUMBER('Licences'!J272)),MAX($B$3:B271)+1,"")</f>
        <v/>
      </c>
      <c r="E272">
        <f>IFERROR(MATCH(269,$B$4:$B$503,0),"")</f>
        <v/>
      </c>
    </row>
    <row r="273">
      <c r="A273">
        <f>IF(AND(LEN('Licences'!A273)&gt;0,ISNUMBER('Licences'!J273)),'Licences'!J273+270/100000,"")</f>
        <v/>
      </c>
      <c r="B273">
        <f>IF(AND(LEN('Licences'!A273)&gt;0,ISNUMBER('Licences'!J273)),MAX($B$3:B272)+1,"")</f>
        <v/>
      </c>
      <c r="E273">
        <f>IFERROR(MATCH(270,$B$4:$B$503,0),"")</f>
        <v/>
      </c>
    </row>
    <row r="274">
      <c r="A274">
        <f>IF(AND(LEN('Licences'!A274)&gt;0,ISNUMBER('Licences'!J274)),'Licences'!J274+271/100000,"")</f>
        <v/>
      </c>
      <c r="B274">
        <f>IF(AND(LEN('Licences'!A274)&gt;0,ISNUMBER('Licences'!J274)),MAX($B$3:B273)+1,"")</f>
        <v/>
      </c>
      <c r="E274">
        <f>IFERROR(MATCH(271,$B$4:$B$503,0),"")</f>
        <v/>
      </c>
    </row>
    <row r="275">
      <c r="A275">
        <f>IF(AND(LEN('Licences'!A275)&gt;0,ISNUMBER('Licences'!J275)),'Licences'!J275+272/100000,"")</f>
        <v/>
      </c>
      <c r="B275">
        <f>IF(AND(LEN('Licences'!A275)&gt;0,ISNUMBER('Licences'!J275)),MAX($B$3:B274)+1,"")</f>
        <v/>
      </c>
      <c r="E275">
        <f>IFERROR(MATCH(272,$B$4:$B$503,0),"")</f>
        <v/>
      </c>
    </row>
    <row r="276">
      <c r="A276">
        <f>IF(AND(LEN('Licences'!A276)&gt;0,ISNUMBER('Licences'!J276)),'Licences'!J276+273/100000,"")</f>
        <v/>
      </c>
      <c r="B276">
        <f>IF(AND(LEN('Licences'!A276)&gt;0,ISNUMBER('Licences'!J276)),MAX($B$3:B275)+1,"")</f>
        <v/>
      </c>
      <c r="E276">
        <f>IFERROR(MATCH(273,$B$4:$B$503,0),"")</f>
        <v/>
      </c>
    </row>
    <row r="277">
      <c r="A277">
        <f>IF(AND(LEN('Licences'!A277)&gt;0,ISNUMBER('Licences'!J277)),'Licences'!J277+274/100000,"")</f>
        <v/>
      </c>
      <c r="B277">
        <f>IF(AND(LEN('Licences'!A277)&gt;0,ISNUMBER('Licences'!J277)),MAX($B$3:B276)+1,"")</f>
        <v/>
      </c>
      <c r="E277">
        <f>IFERROR(MATCH(274,$B$4:$B$503,0),"")</f>
        <v/>
      </c>
    </row>
    <row r="278">
      <c r="A278">
        <f>IF(AND(LEN('Licences'!A278)&gt;0,ISNUMBER('Licences'!J278)),'Licences'!J278+275/100000,"")</f>
        <v/>
      </c>
      <c r="B278">
        <f>IF(AND(LEN('Licences'!A278)&gt;0,ISNUMBER('Licences'!J278)),MAX($B$3:B277)+1,"")</f>
        <v/>
      </c>
      <c r="E278">
        <f>IFERROR(MATCH(275,$B$4:$B$503,0),"")</f>
        <v/>
      </c>
    </row>
    <row r="279">
      <c r="A279">
        <f>IF(AND(LEN('Licences'!A279)&gt;0,ISNUMBER('Licences'!J279)),'Licences'!J279+276/100000,"")</f>
        <v/>
      </c>
      <c r="B279">
        <f>IF(AND(LEN('Licences'!A279)&gt;0,ISNUMBER('Licences'!J279)),MAX($B$3:B278)+1,"")</f>
        <v/>
      </c>
      <c r="E279">
        <f>IFERROR(MATCH(276,$B$4:$B$503,0),"")</f>
        <v/>
      </c>
    </row>
    <row r="280">
      <c r="A280">
        <f>IF(AND(LEN('Licences'!A280)&gt;0,ISNUMBER('Licences'!J280)),'Licences'!J280+277/100000,"")</f>
        <v/>
      </c>
      <c r="B280">
        <f>IF(AND(LEN('Licences'!A280)&gt;0,ISNUMBER('Licences'!J280)),MAX($B$3:B279)+1,"")</f>
        <v/>
      </c>
      <c r="E280">
        <f>IFERROR(MATCH(277,$B$4:$B$503,0),"")</f>
        <v/>
      </c>
    </row>
    <row r="281">
      <c r="A281">
        <f>IF(AND(LEN('Licences'!A281)&gt;0,ISNUMBER('Licences'!J281)),'Licences'!J281+278/100000,"")</f>
        <v/>
      </c>
      <c r="B281">
        <f>IF(AND(LEN('Licences'!A281)&gt;0,ISNUMBER('Licences'!J281)),MAX($B$3:B280)+1,"")</f>
        <v/>
      </c>
      <c r="E281">
        <f>IFERROR(MATCH(278,$B$4:$B$503,0),"")</f>
        <v/>
      </c>
    </row>
    <row r="282">
      <c r="A282">
        <f>IF(AND(LEN('Licences'!A282)&gt;0,ISNUMBER('Licences'!J282)),'Licences'!J282+279/100000,"")</f>
        <v/>
      </c>
      <c r="B282">
        <f>IF(AND(LEN('Licences'!A282)&gt;0,ISNUMBER('Licences'!J282)),MAX($B$3:B281)+1,"")</f>
        <v/>
      </c>
      <c r="E282">
        <f>IFERROR(MATCH(279,$B$4:$B$503,0),"")</f>
        <v/>
      </c>
    </row>
    <row r="283">
      <c r="A283">
        <f>IF(AND(LEN('Licences'!A283)&gt;0,ISNUMBER('Licences'!J283)),'Licences'!J283+280/100000,"")</f>
        <v/>
      </c>
      <c r="B283">
        <f>IF(AND(LEN('Licences'!A283)&gt;0,ISNUMBER('Licences'!J283)),MAX($B$3:B282)+1,"")</f>
        <v/>
      </c>
      <c r="E283">
        <f>IFERROR(MATCH(280,$B$4:$B$503,0),"")</f>
        <v/>
      </c>
    </row>
    <row r="284">
      <c r="A284">
        <f>IF(AND(LEN('Licences'!A284)&gt;0,ISNUMBER('Licences'!J284)),'Licences'!J284+281/100000,"")</f>
        <v/>
      </c>
      <c r="B284">
        <f>IF(AND(LEN('Licences'!A284)&gt;0,ISNUMBER('Licences'!J284)),MAX($B$3:B283)+1,"")</f>
        <v/>
      </c>
      <c r="E284">
        <f>IFERROR(MATCH(281,$B$4:$B$503,0),"")</f>
        <v/>
      </c>
    </row>
    <row r="285">
      <c r="A285">
        <f>IF(AND(LEN('Licences'!A285)&gt;0,ISNUMBER('Licences'!J285)),'Licences'!J285+282/100000,"")</f>
        <v/>
      </c>
      <c r="B285">
        <f>IF(AND(LEN('Licences'!A285)&gt;0,ISNUMBER('Licences'!J285)),MAX($B$3:B284)+1,"")</f>
        <v/>
      </c>
      <c r="E285">
        <f>IFERROR(MATCH(282,$B$4:$B$503,0),"")</f>
        <v/>
      </c>
    </row>
    <row r="286">
      <c r="A286">
        <f>IF(AND(LEN('Licences'!A286)&gt;0,ISNUMBER('Licences'!J286)),'Licences'!J286+283/100000,"")</f>
        <v/>
      </c>
      <c r="B286">
        <f>IF(AND(LEN('Licences'!A286)&gt;0,ISNUMBER('Licences'!J286)),MAX($B$3:B285)+1,"")</f>
        <v/>
      </c>
      <c r="E286">
        <f>IFERROR(MATCH(283,$B$4:$B$503,0),"")</f>
        <v/>
      </c>
    </row>
    <row r="287">
      <c r="A287">
        <f>IF(AND(LEN('Licences'!A287)&gt;0,ISNUMBER('Licences'!J287)),'Licences'!J287+284/100000,"")</f>
        <v/>
      </c>
      <c r="B287">
        <f>IF(AND(LEN('Licences'!A287)&gt;0,ISNUMBER('Licences'!J287)),MAX($B$3:B286)+1,"")</f>
        <v/>
      </c>
      <c r="E287">
        <f>IFERROR(MATCH(284,$B$4:$B$503,0),"")</f>
        <v/>
      </c>
    </row>
    <row r="288">
      <c r="A288">
        <f>IF(AND(LEN('Licences'!A288)&gt;0,ISNUMBER('Licences'!J288)),'Licences'!J288+285/100000,"")</f>
        <v/>
      </c>
      <c r="B288">
        <f>IF(AND(LEN('Licences'!A288)&gt;0,ISNUMBER('Licences'!J288)),MAX($B$3:B287)+1,"")</f>
        <v/>
      </c>
      <c r="E288">
        <f>IFERROR(MATCH(285,$B$4:$B$503,0),"")</f>
        <v/>
      </c>
    </row>
    <row r="289">
      <c r="A289">
        <f>IF(AND(LEN('Licences'!A289)&gt;0,ISNUMBER('Licences'!J289)),'Licences'!J289+286/100000,"")</f>
        <v/>
      </c>
      <c r="B289">
        <f>IF(AND(LEN('Licences'!A289)&gt;0,ISNUMBER('Licences'!J289)),MAX($B$3:B288)+1,"")</f>
        <v/>
      </c>
      <c r="E289">
        <f>IFERROR(MATCH(286,$B$4:$B$503,0),"")</f>
        <v/>
      </c>
    </row>
    <row r="290">
      <c r="A290">
        <f>IF(AND(LEN('Licences'!A290)&gt;0,ISNUMBER('Licences'!J290)),'Licences'!J290+287/100000,"")</f>
        <v/>
      </c>
      <c r="B290">
        <f>IF(AND(LEN('Licences'!A290)&gt;0,ISNUMBER('Licences'!J290)),MAX($B$3:B289)+1,"")</f>
        <v/>
      </c>
      <c r="E290">
        <f>IFERROR(MATCH(287,$B$4:$B$503,0),"")</f>
        <v/>
      </c>
    </row>
    <row r="291">
      <c r="A291">
        <f>IF(AND(LEN('Licences'!A291)&gt;0,ISNUMBER('Licences'!J291)),'Licences'!J291+288/100000,"")</f>
        <v/>
      </c>
      <c r="B291">
        <f>IF(AND(LEN('Licences'!A291)&gt;0,ISNUMBER('Licences'!J291)),MAX($B$3:B290)+1,"")</f>
        <v/>
      </c>
      <c r="E291">
        <f>IFERROR(MATCH(288,$B$4:$B$503,0),"")</f>
        <v/>
      </c>
    </row>
    <row r="292">
      <c r="A292">
        <f>IF(AND(LEN('Licences'!A292)&gt;0,ISNUMBER('Licences'!J292)),'Licences'!J292+289/100000,"")</f>
        <v/>
      </c>
      <c r="B292">
        <f>IF(AND(LEN('Licences'!A292)&gt;0,ISNUMBER('Licences'!J292)),MAX($B$3:B291)+1,"")</f>
        <v/>
      </c>
      <c r="E292">
        <f>IFERROR(MATCH(289,$B$4:$B$503,0),"")</f>
        <v/>
      </c>
    </row>
    <row r="293">
      <c r="A293">
        <f>IF(AND(LEN('Licences'!A293)&gt;0,ISNUMBER('Licences'!J293)),'Licences'!J293+290/100000,"")</f>
        <v/>
      </c>
      <c r="B293">
        <f>IF(AND(LEN('Licences'!A293)&gt;0,ISNUMBER('Licences'!J293)),MAX($B$3:B292)+1,"")</f>
        <v/>
      </c>
      <c r="E293">
        <f>IFERROR(MATCH(290,$B$4:$B$503,0),"")</f>
        <v/>
      </c>
    </row>
    <row r="294">
      <c r="A294">
        <f>IF(AND(LEN('Licences'!A294)&gt;0,ISNUMBER('Licences'!J294)),'Licences'!J294+291/100000,"")</f>
        <v/>
      </c>
      <c r="B294">
        <f>IF(AND(LEN('Licences'!A294)&gt;0,ISNUMBER('Licences'!J294)),MAX($B$3:B293)+1,"")</f>
        <v/>
      </c>
      <c r="E294">
        <f>IFERROR(MATCH(291,$B$4:$B$503,0),"")</f>
        <v/>
      </c>
    </row>
    <row r="295">
      <c r="A295">
        <f>IF(AND(LEN('Licences'!A295)&gt;0,ISNUMBER('Licences'!J295)),'Licences'!J295+292/100000,"")</f>
        <v/>
      </c>
      <c r="B295">
        <f>IF(AND(LEN('Licences'!A295)&gt;0,ISNUMBER('Licences'!J295)),MAX($B$3:B294)+1,"")</f>
        <v/>
      </c>
      <c r="E295">
        <f>IFERROR(MATCH(292,$B$4:$B$503,0),"")</f>
        <v/>
      </c>
    </row>
    <row r="296">
      <c r="A296">
        <f>IF(AND(LEN('Licences'!A296)&gt;0,ISNUMBER('Licences'!J296)),'Licences'!J296+293/100000,"")</f>
        <v/>
      </c>
      <c r="B296">
        <f>IF(AND(LEN('Licences'!A296)&gt;0,ISNUMBER('Licences'!J296)),MAX($B$3:B295)+1,"")</f>
        <v/>
      </c>
      <c r="E296">
        <f>IFERROR(MATCH(293,$B$4:$B$503,0),"")</f>
        <v/>
      </c>
    </row>
    <row r="297">
      <c r="A297">
        <f>IF(AND(LEN('Licences'!A297)&gt;0,ISNUMBER('Licences'!J297)),'Licences'!J297+294/100000,"")</f>
        <v/>
      </c>
      <c r="B297">
        <f>IF(AND(LEN('Licences'!A297)&gt;0,ISNUMBER('Licences'!J297)),MAX($B$3:B296)+1,"")</f>
        <v/>
      </c>
      <c r="E297">
        <f>IFERROR(MATCH(294,$B$4:$B$503,0),"")</f>
        <v/>
      </c>
    </row>
    <row r="298">
      <c r="A298">
        <f>IF(AND(LEN('Licences'!A298)&gt;0,ISNUMBER('Licences'!J298)),'Licences'!J298+295/100000,"")</f>
        <v/>
      </c>
      <c r="B298">
        <f>IF(AND(LEN('Licences'!A298)&gt;0,ISNUMBER('Licences'!J298)),MAX($B$3:B297)+1,"")</f>
        <v/>
      </c>
      <c r="E298">
        <f>IFERROR(MATCH(295,$B$4:$B$503,0),"")</f>
        <v/>
      </c>
    </row>
    <row r="299">
      <c r="A299">
        <f>IF(AND(LEN('Licences'!A299)&gt;0,ISNUMBER('Licences'!J299)),'Licences'!J299+296/100000,"")</f>
        <v/>
      </c>
      <c r="B299">
        <f>IF(AND(LEN('Licences'!A299)&gt;0,ISNUMBER('Licences'!J299)),MAX($B$3:B298)+1,"")</f>
        <v/>
      </c>
      <c r="E299">
        <f>IFERROR(MATCH(296,$B$4:$B$503,0),"")</f>
        <v/>
      </c>
    </row>
    <row r="300">
      <c r="A300">
        <f>IF(AND(LEN('Licences'!A300)&gt;0,ISNUMBER('Licences'!J300)),'Licences'!J300+297/100000,"")</f>
        <v/>
      </c>
      <c r="B300">
        <f>IF(AND(LEN('Licences'!A300)&gt;0,ISNUMBER('Licences'!J300)),MAX($B$3:B299)+1,"")</f>
        <v/>
      </c>
      <c r="E300">
        <f>IFERROR(MATCH(297,$B$4:$B$503,0),"")</f>
        <v/>
      </c>
    </row>
    <row r="301">
      <c r="A301">
        <f>IF(AND(LEN('Licences'!A301)&gt;0,ISNUMBER('Licences'!J301)),'Licences'!J301+298/100000,"")</f>
        <v/>
      </c>
      <c r="B301">
        <f>IF(AND(LEN('Licences'!A301)&gt;0,ISNUMBER('Licences'!J301)),MAX($B$3:B300)+1,"")</f>
        <v/>
      </c>
      <c r="E301">
        <f>IFERROR(MATCH(298,$B$4:$B$503,0),"")</f>
        <v/>
      </c>
    </row>
    <row r="302">
      <c r="A302">
        <f>IF(AND(LEN('Licences'!A302)&gt;0,ISNUMBER('Licences'!J302)),'Licences'!J302+299/100000,"")</f>
        <v/>
      </c>
      <c r="B302">
        <f>IF(AND(LEN('Licences'!A302)&gt;0,ISNUMBER('Licences'!J302)),MAX($B$3:B301)+1,"")</f>
        <v/>
      </c>
      <c r="E302">
        <f>IFERROR(MATCH(299,$B$4:$B$503,0),"")</f>
        <v/>
      </c>
    </row>
    <row r="303">
      <c r="A303">
        <f>IF(AND(LEN('Licences'!A303)&gt;0,ISNUMBER('Licences'!J303)),'Licences'!J303+300/100000,"")</f>
        <v/>
      </c>
      <c r="B303">
        <f>IF(AND(LEN('Licences'!A303)&gt;0,ISNUMBER('Licences'!J303)),MAX($B$3:B302)+1,"")</f>
        <v/>
      </c>
      <c r="E303">
        <f>IFERROR(MATCH(300,$B$4:$B$503,0),"")</f>
        <v/>
      </c>
    </row>
    <row r="304">
      <c r="A304">
        <f>IF(AND(LEN('Licences'!A304)&gt;0,ISNUMBER('Licences'!J304)),'Licences'!J304+301/100000,"")</f>
        <v/>
      </c>
      <c r="B304">
        <f>IF(AND(LEN('Licences'!A304)&gt;0,ISNUMBER('Licences'!J304)),MAX($B$3:B303)+1,"")</f>
        <v/>
      </c>
      <c r="E304">
        <f>IFERROR(MATCH(301,$B$4:$B$503,0),"")</f>
        <v/>
      </c>
    </row>
    <row r="305">
      <c r="A305">
        <f>IF(AND(LEN('Licences'!A305)&gt;0,ISNUMBER('Licences'!J305)),'Licences'!J305+302/100000,"")</f>
        <v/>
      </c>
      <c r="B305">
        <f>IF(AND(LEN('Licences'!A305)&gt;0,ISNUMBER('Licences'!J305)),MAX($B$3:B304)+1,"")</f>
        <v/>
      </c>
      <c r="E305">
        <f>IFERROR(MATCH(302,$B$4:$B$503,0),"")</f>
        <v/>
      </c>
    </row>
    <row r="306">
      <c r="A306">
        <f>IF(AND(LEN('Licences'!A306)&gt;0,ISNUMBER('Licences'!J306)),'Licences'!J306+303/100000,"")</f>
        <v/>
      </c>
      <c r="B306">
        <f>IF(AND(LEN('Licences'!A306)&gt;0,ISNUMBER('Licences'!J306)),MAX($B$3:B305)+1,"")</f>
        <v/>
      </c>
      <c r="E306">
        <f>IFERROR(MATCH(303,$B$4:$B$503,0),"")</f>
        <v/>
      </c>
    </row>
    <row r="307">
      <c r="A307">
        <f>IF(AND(LEN('Licences'!A307)&gt;0,ISNUMBER('Licences'!J307)),'Licences'!J307+304/100000,"")</f>
        <v/>
      </c>
      <c r="B307">
        <f>IF(AND(LEN('Licences'!A307)&gt;0,ISNUMBER('Licences'!J307)),MAX($B$3:B306)+1,"")</f>
        <v/>
      </c>
      <c r="E307">
        <f>IFERROR(MATCH(304,$B$4:$B$503,0),"")</f>
        <v/>
      </c>
    </row>
    <row r="308">
      <c r="A308">
        <f>IF(AND(LEN('Licences'!A308)&gt;0,ISNUMBER('Licences'!J308)),'Licences'!J308+305/100000,"")</f>
        <v/>
      </c>
      <c r="B308">
        <f>IF(AND(LEN('Licences'!A308)&gt;0,ISNUMBER('Licences'!J308)),MAX($B$3:B307)+1,"")</f>
        <v/>
      </c>
      <c r="E308">
        <f>IFERROR(MATCH(305,$B$4:$B$503,0),"")</f>
        <v/>
      </c>
    </row>
    <row r="309">
      <c r="A309">
        <f>IF(AND(LEN('Licences'!A309)&gt;0,ISNUMBER('Licences'!J309)),'Licences'!J309+306/100000,"")</f>
        <v/>
      </c>
      <c r="B309">
        <f>IF(AND(LEN('Licences'!A309)&gt;0,ISNUMBER('Licences'!J309)),MAX($B$3:B308)+1,"")</f>
        <v/>
      </c>
      <c r="E309">
        <f>IFERROR(MATCH(306,$B$4:$B$503,0),"")</f>
        <v/>
      </c>
    </row>
    <row r="310">
      <c r="A310">
        <f>IF(AND(LEN('Licences'!A310)&gt;0,ISNUMBER('Licences'!J310)),'Licences'!J310+307/100000,"")</f>
        <v/>
      </c>
      <c r="B310">
        <f>IF(AND(LEN('Licences'!A310)&gt;0,ISNUMBER('Licences'!J310)),MAX($B$3:B309)+1,"")</f>
        <v/>
      </c>
      <c r="E310">
        <f>IFERROR(MATCH(307,$B$4:$B$503,0),"")</f>
        <v/>
      </c>
    </row>
    <row r="311">
      <c r="A311">
        <f>IF(AND(LEN('Licences'!A311)&gt;0,ISNUMBER('Licences'!J311)),'Licences'!J311+308/100000,"")</f>
        <v/>
      </c>
      <c r="B311">
        <f>IF(AND(LEN('Licences'!A311)&gt;0,ISNUMBER('Licences'!J311)),MAX($B$3:B310)+1,"")</f>
        <v/>
      </c>
      <c r="E311">
        <f>IFERROR(MATCH(308,$B$4:$B$503,0),"")</f>
        <v/>
      </c>
    </row>
    <row r="312">
      <c r="A312">
        <f>IF(AND(LEN('Licences'!A312)&gt;0,ISNUMBER('Licences'!J312)),'Licences'!J312+309/100000,"")</f>
        <v/>
      </c>
      <c r="B312">
        <f>IF(AND(LEN('Licences'!A312)&gt;0,ISNUMBER('Licences'!J312)),MAX($B$3:B311)+1,"")</f>
        <v/>
      </c>
      <c r="E312">
        <f>IFERROR(MATCH(309,$B$4:$B$503,0),"")</f>
        <v/>
      </c>
    </row>
    <row r="313">
      <c r="A313">
        <f>IF(AND(LEN('Licences'!A313)&gt;0,ISNUMBER('Licences'!J313)),'Licences'!J313+310/100000,"")</f>
        <v/>
      </c>
      <c r="B313">
        <f>IF(AND(LEN('Licences'!A313)&gt;0,ISNUMBER('Licences'!J313)),MAX($B$3:B312)+1,"")</f>
        <v/>
      </c>
      <c r="E313">
        <f>IFERROR(MATCH(310,$B$4:$B$503,0),"")</f>
        <v/>
      </c>
    </row>
    <row r="314">
      <c r="A314">
        <f>IF(AND(LEN('Licences'!A314)&gt;0,ISNUMBER('Licences'!J314)),'Licences'!J314+311/100000,"")</f>
        <v/>
      </c>
      <c r="B314">
        <f>IF(AND(LEN('Licences'!A314)&gt;0,ISNUMBER('Licences'!J314)),MAX($B$3:B313)+1,"")</f>
        <v/>
      </c>
      <c r="E314">
        <f>IFERROR(MATCH(311,$B$4:$B$503,0),"")</f>
        <v/>
      </c>
    </row>
    <row r="315">
      <c r="A315">
        <f>IF(AND(LEN('Licences'!A315)&gt;0,ISNUMBER('Licences'!J315)),'Licences'!J315+312/100000,"")</f>
        <v/>
      </c>
      <c r="B315">
        <f>IF(AND(LEN('Licences'!A315)&gt;0,ISNUMBER('Licences'!J315)),MAX($B$3:B314)+1,"")</f>
        <v/>
      </c>
      <c r="E315">
        <f>IFERROR(MATCH(312,$B$4:$B$503,0),"")</f>
        <v/>
      </c>
    </row>
    <row r="316">
      <c r="A316">
        <f>IF(AND(LEN('Licences'!A316)&gt;0,ISNUMBER('Licences'!J316)),'Licences'!J316+313/100000,"")</f>
        <v/>
      </c>
      <c r="B316">
        <f>IF(AND(LEN('Licences'!A316)&gt;0,ISNUMBER('Licences'!J316)),MAX($B$3:B315)+1,"")</f>
        <v/>
      </c>
      <c r="E316">
        <f>IFERROR(MATCH(313,$B$4:$B$503,0),"")</f>
        <v/>
      </c>
    </row>
    <row r="317">
      <c r="A317">
        <f>IF(AND(LEN('Licences'!A317)&gt;0,ISNUMBER('Licences'!J317)),'Licences'!J317+314/100000,"")</f>
        <v/>
      </c>
      <c r="B317">
        <f>IF(AND(LEN('Licences'!A317)&gt;0,ISNUMBER('Licences'!J317)),MAX($B$3:B316)+1,"")</f>
        <v/>
      </c>
      <c r="E317">
        <f>IFERROR(MATCH(314,$B$4:$B$503,0),"")</f>
        <v/>
      </c>
    </row>
    <row r="318">
      <c r="A318">
        <f>IF(AND(LEN('Licences'!A318)&gt;0,ISNUMBER('Licences'!J318)),'Licences'!J318+315/100000,"")</f>
        <v/>
      </c>
      <c r="B318">
        <f>IF(AND(LEN('Licences'!A318)&gt;0,ISNUMBER('Licences'!J318)),MAX($B$3:B317)+1,"")</f>
        <v/>
      </c>
      <c r="E318">
        <f>IFERROR(MATCH(315,$B$4:$B$503,0),"")</f>
        <v/>
      </c>
    </row>
    <row r="319">
      <c r="A319">
        <f>IF(AND(LEN('Licences'!A319)&gt;0,ISNUMBER('Licences'!J319)),'Licences'!J319+316/100000,"")</f>
        <v/>
      </c>
      <c r="B319">
        <f>IF(AND(LEN('Licences'!A319)&gt;0,ISNUMBER('Licences'!J319)),MAX($B$3:B318)+1,"")</f>
        <v/>
      </c>
      <c r="E319">
        <f>IFERROR(MATCH(316,$B$4:$B$503,0),"")</f>
        <v/>
      </c>
    </row>
    <row r="320">
      <c r="A320">
        <f>IF(AND(LEN('Licences'!A320)&gt;0,ISNUMBER('Licences'!J320)),'Licences'!J320+317/100000,"")</f>
        <v/>
      </c>
      <c r="B320">
        <f>IF(AND(LEN('Licences'!A320)&gt;0,ISNUMBER('Licences'!J320)),MAX($B$3:B319)+1,"")</f>
        <v/>
      </c>
      <c r="E320">
        <f>IFERROR(MATCH(317,$B$4:$B$503,0),"")</f>
        <v/>
      </c>
    </row>
    <row r="321">
      <c r="A321">
        <f>IF(AND(LEN('Licences'!A321)&gt;0,ISNUMBER('Licences'!J321)),'Licences'!J321+318/100000,"")</f>
        <v/>
      </c>
      <c r="B321">
        <f>IF(AND(LEN('Licences'!A321)&gt;0,ISNUMBER('Licences'!J321)),MAX($B$3:B320)+1,"")</f>
        <v/>
      </c>
      <c r="E321">
        <f>IFERROR(MATCH(318,$B$4:$B$503,0),"")</f>
        <v/>
      </c>
    </row>
    <row r="322">
      <c r="A322">
        <f>IF(AND(LEN('Licences'!A322)&gt;0,ISNUMBER('Licences'!J322)),'Licences'!J322+319/100000,"")</f>
        <v/>
      </c>
      <c r="B322">
        <f>IF(AND(LEN('Licences'!A322)&gt;0,ISNUMBER('Licences'!J322)),MAX($B$3:B321)+1,"")</f>
        <v/>
      </c>
      <c r="E322">
        <f>IFERROR(MATCH(319,$B$4:$B$503,0),"")</f>
        <v/>
      </c>
    </row>
    <row r="323">
      <c r="A323">
        <f>IF(AND(LEN('Licences'!A323)&gt;0,ISNUMBER('Licences'!J323)),'Licences'!J323+320/100000,"")</f>
        <v/>
      </c>
      <c r="B323">
        <f>IF(AND(LEN('Licences'!A323)&gt;0,ISNUMBER('Licences'!J323)),MAX($B$3:B322)+1,"")</f>
        <v/>
      </c>
      <c r="E323">
        <f>IFERROR(MATCH(320,$B$4:$B$503,0),"")</f>
        <v/>
      </c>
    </row>
    <row r="324">
      <c r="A324">
        <f>IF(AND(LEN('Licences'!A324)&gt;0,ISNUMBER('Licences'!J324)),'Licences'!J324+321/100000,"")</f>
        <v/>
      </c>
      <c r="B324">
        <f>IF(AND(LEN('Licences'!A324)&gt;0,ISNUMBER('Licences'!J324)),MAX($B$3:B323)+1,"")</f>
        <v/>
      </c>
      <c r="E324">
        <f>IFERROR(MATCH(321,$B$4:$B$503,0),"")</f>
        <v/>
      </c>
    </row>
    <row r="325">
      <c r="A325">
        <f>IF(AND(LEN('Licences'!A325)&gt;0,ISNUMBER('Licences'!J325)),'Licences'!J325+322/100000,"")</f>
        <v/>
      </c>
      <c r="B325">
        <f>IF(AND(LEN('Licences'!A325)&gt;0,ISNUMBER('Licences'!J325)),MAX($B$3:B324)+1,"")</f>
        <v/>
      </c>
      <c r="E325">
        <f>IFERROR(MATCH(322,$B$4:$B$503,0),"")</f>
        <v/>
      </c>
    </row>
    <row r="326">
      <c r="A326">
        <f>IF(AND(LEN('Licences'!A326)&gt;0,ISNUMBER('Licences'!J326)),'Licences'!J326+323/100000,"")</f>
        <v/>
      </c>
      <c r="B326">
        <f>IF(AND(LEN('Licences'!A326)&gt;0,ISNUMBER('Licences'!J326)),MAX($B$3:B325)+1,"")</f>
        <v/>
      </c>
      <c r="E326">
        <f>IFERROR(MATCH(323,$B$4:$B$503,0),"")</f>
        <v/>
      </c>
    </row>
    <row r="327">
      <c r="A327">
        <f>IF(AND(LEN('Licences'!A327)&gt;0,ISNUMBER('Licences'!J327)),'Licences'!J327+324/100000,"")</f>
        <v/>
      </c>
      <c r="B327">
        <f>IF(AND(LEN('Licences'!A327)&gt;0,ISNUMBER('Licences'!J327)),MAX($B$3:B326)+1,"")</f>
        <v/>
      </c>
      <c r="E327">
        <f>IFERROR(MATCH(324,$B$4:$B$503,0),"")</f>
        <v/>
      </c>
    </row>
    <row r="328">
      <c r="A328">
        <f>IF(AND(LEN('Licences'!A328)&gt;0,ISNUMBER('Licences'!J328)),'Licences'!J328+325/100000,"")</f>
        <v/>
      </c>
      <c r="B328">
        <f>IF(AND(LEN('Licences'!A328)&gt;0,ISNUMBER('Licences'!J328)),MAX($B$3:B327)+1,"")</f>
        <v/>
      </c>
      <c r="E328">
        <f>IFERROR(MATCH(325,$B$4:$B$503,0),"")</f>
        <v/>
      </c>
    </row>
    <row r="329">
      <c r="A329">
        <f>IF(AND(LEN('Licences'!A329)&gt;0,ISNUMBER('Licences'!J329)),'Licences'!J329+326/100000,"")</f>
        <v/>
      </c>
      <c r="B329">
        <f>IF(AND(LEN('Licences'!A329)&gt;0,ISNUMBER('Licences'!J329)),MAX($B$3:B328)+1,"")</f>
        <v/>
      </c>
      <c r="E329">
        <f>IFERROR(MATCH(326,$B$4:$B$503,0),"")</f>
        <v/>
      </c>
    </row>
    <row r="330">
      <c r="A330">
        <f>IF(AND(LEN('Licences'!A330)&gt;0,ISNUMBER('Licences'!J330)),'Licences'!J330+327/100000,"")</f>
        <v/>
      </c>
      <c r="B330">
        <f>IF(AND(LEN('Licences'!A330)&gt;0,ISNUMBER('Licences'!J330)),MAX($B$3:B329)+1,"")</f>
        <v/>
      </c>
      <c r="E330">
        <f>IFERROR(MATCH(327,$B$4:$B$503,0),"")</f>
        <v/>
      </c>
    </row>
    <row r="331">
      <c r="A331">
        <f>IF(AND(LEN('Licences'!A331)&gt;0,ISNUMBER('Licences'!J331)),'Licences'!J331+328/100000,"")</f>
        <v/>
      </c>
      <c r="B331">
        <f>IF(AND(LEN('Licences'!A331)&gt;0,ISNUMBER('Licences'!J331)),MAX($B$3:B330)+1,"")</f>
        <v/>
      </c>
      <c r="E331">
        <f>IFERROR(MATCH(328,$B$4:$B$503,0),"")</f>
        <v/>
      </c>
    </row>
    <row r="332">
      <c r="A332">
        <f>IF(AND(LEN('Licences'!A332)&gt;0,ISNUMBER('Licences'!J332)),'Licences'!J332+329/100000,"")</f>
        <v/>
      </c>
      <c r="B332">
        <f>IF(AND(LEN('Licences'!A332)&gt;0,ISNUMBER('Licences'!J332)),MAX($B$3:B331)+1,"")</f>
        <v/>
      </c>
      <c r="E332">
        <f>IFERROR(MATCH(329,$B$4:$B$503,0),"")</f>
        <v/>
      </c>
    </row>
    <row r="333">
      <c r="A333">
        <f>IF(AND(LEN('Licences'!A333)&gt;0,ISNUMBER('Licences'!J333)),'Licences'!J333+330/100000,"")</f>
        <v/>
      </c>
      <c r="B333">
        <f>IF(AND(LEN('Licences'!A333)&gt;0,ISNUMBER('Licences'!J333)),MAX($B$3:B332)+1,"")</f>
        <v/>
      </c>
      <c r="E333">
        <f>IFERROR(MATCH(330,$B$4:$B$503,0),"")</f>
        <v/>
      </c>
    </row>
    <row r="334">
      <c r="A334">
        <f>IF(AND(LEN('Licences'!A334)&gt;0,ISNUMBER('Licences'!J334)),'Licences'!J334+331/100000,"")</f>
        <v/>
      </c>
      <c r="B334">
        <f>IF(AND(LEN('Licences'!A334)&gt;0,ISNUMBER('Licences'!J334)),MAX($B$3:B333)+1,"")</f>
        <v/>
      </c>
      <c r="E334">
        <f>IFERROR(MATCH(331,$B$4:$B$503,0),"")</f>
        <v/>
      </c>
    </row>
    <row r="335">
      <c r="A335">
        <f>IF(AND(LEN('Licences'!A335)&gt;0,ISNUMBER('Licences'!J335)),'Licences'!J335+332/100000,"")</f>
        <v/>
      </c>
      <c r="B335">
        <f>IF(AND(LEN('Licences'!A335)&gt;0,ISNUMBER('Licences'!J335)),MAX($B$3:B334)+1,"")</f>
        <v/>
      </c>
      <c r="E335">
        <f>IFERROR(MATCH(332,$B$4:$B$503,0),"")</f>
        <v/>
      </c>
    </row>
    <row r="336">
      <c r="A336">
        <f>IF(AND(LEN('Licences'!A336)&gt;0,ISNUMBER('Licences'!J336)),'Licences'!J336+333/100000,"")</f>
        <v/>
      </c>
      <c r="B336">
        <f>IF(AND(LEN('Licences'!A336)&gt;0,ISNUMBER('Licences'!J336)),MAX($B$3:B335)+1,"")</f>
        <v/>
      </c>
      <c r="E336">
        <f>IFERROR(MATCH(333,$B$4:$B$503,0),"")</f>
        <v/>
      </c>
    </row>
    <row r="337">
      <c r="A337">
        <f>IF(AND(LEN('Licences'!A337)&gt;0,ISNUMBER('Licences'!J337)),'Licences'!J337+334/100000,"")</f>
        <v/>
      </c>
      <c r="B337">
        <f>IF(AND(LEN('Licences'!A337)&gt;0,ISNUMBER('Licences'!J337)),MAX($B$3:B336)+1,"")</f>
        <v/>
      </c>
      <c r="E337">
        <f>IFERROR(MATCH(334,$B$4:$B$503,0),"")</f>
        <v/>
      </c>
    </row>
    <row r="338">
      <c r="A338">
        <f>IF(AND(LEN('Licences'!A338)&gt;0,ISNUMBER('Licences'!J338)),'Licences'!J338+335/100000,"")</f>
        <v/>
      </c>
      <c r="B338">
        <f>IF(AND(LEN('Licences'!A338)&gt;0,ISNUMBER('Licences'!J338)),MAX($B$3:B337)+1,"")</f>
        <v/>
      </c>
      <c r="E338">
        <f>IFERROR(MATCH(335,$B$4:$B$503,0),"")</f>
        <v/>
      </c>
    </row>
    <row r="339">
      <c r="A339">
        <f>IF(AND(LEN('Licences'!A339)&gt;0,ISNUMBER('Licences'!J339)),'Licences'!J339+336/100000,"")</f>
        <v/>
      </c>
      <c r="B339">
        <f>IF(AND(LEN('Licences'!A339)&gt;0,ISNUMBER('Licences'!J339)),MAX($B$3:B338)+1,"")</f>
        <v/>
      </c>
      <c r="E339">
        <f>IFERROR(MATCH(336,$B$4:$B$503,0),"")</f>
        <v/>
      </c>
    </row>
    <row r="340">
      <c r="A340">
        <f>IF(AND(LEN('Licences'!A340)&gt;0,ISNUMBER('Licences'!J340)),'Licences'!J340+337/100000,"")</f>
        <v/>
      </c>
      <c r="B340">
        <f>IF(AND(LEN('Licences'!A340)&gt;0,ISNUMBER('Licences'!J340)),MAX($B$3:B339)+1,"")</f>
        <v/>
      </c>
      <c r="E340">
        <f>IFERROR(MATCH(337,$B$4:$B$503,0),"")</f>
        <v/>
      </c>
    </row>
    <row r="341">
      <c r="A341">
        <f>IF(AND(LEN('Licences'!A341)&gt;0,ISNUMBER('Licences'!J341)),'Licences'!J341+338/100000,"")</f>
        <v/>
      </c>
      <c r="B341">
        <f>IF(AND(LEN('Licences'!A341)&gt;0,ISNUMBER('Licences'!J341)),MAX($B$3:B340)+1,"")</f>
        <v/>
      </c>
      <c r="E341">
        <f>IFERROR(MATCH(338,$B$4:$B$503,0),"")</f>
        <v/>
      </c>
    </row>
    <row r="342">
      <c r="A342">
        <f>IF(AND(LEN('Licences'!A342)&gt;0,ISNUMBER('Licences'!J342)),'Licences'!J342+339/100000,"")</f>
        <v/>
      </c>
      <c r="B342">
        <f>IF(AND(LEN('Licences'!A342)&gt;0,ISNUMBER('Licences'!J342)),MAX($B$3:B341)+1,"")</f>
        <v/>
      </c>
      <c r="E342">
        <f>IFERROR(MATCH(339,$B$4:$B$503,0),"")</f>
        <v/>
      </c>
    </row>
    <row r="343">
      <c r="A343">
        <f>IF(AND(LEN('Licences'!A343)&gt;0,ISNUMBER('Licences'!J343)),'Licences'!J343+340/100000,"")</f>
        <v/>
      </c>
      <c r="B343">
        <f>IF(AND(LEN('Licences'!A343)&gt;0,ISNUMBER('Licences'!J343)),MAX($B$3:B342)+1,"")</f>
        <v/>
      </c>
      <c r="E343">
        <f>IFERROR(MATCH(340,$B$4:$B$503,0),"")</f>
        <v/>
      </c>
    </row>
    <row r="344">
      <c r="A344">
        <f>IF(AND(LEN('Licences'!A344)&gt;0,ISNUMBER('Licences'!J344)),'Licences'!J344+341/100000,"")</f>
        <v/>
      </c>
      <c r="B344">
        <f>IF(AND(LEN('Licences'!A344)&gt;0,ISNUMBER('Licences'!J344)),MAX($B$3:B343)+1,"")</f>
        <v/>
      </c>
      <c r="E344">
        <f>IFERROR(MATCH(341,$B$4:$B$503,0),"")</f>
        <v/>
      </c>
    </row>
    <row r="345">
      <c r="A345">
        <f>IF(AND(LEN('Licences'!A345)&gt;0,ISNUMBER('Licences'!J345)),'Licences'!J345+342/100000,"")</f>
        <v/>
      </c>
      <c r="B345">
        <f>IF(AND(LEN('Licences'!A345)&gt;0,ISNUMBER('Licences'!J345)),MAX($B$3:B344)+1,"")</f>
        <v/>
      </c>
      <c r="E345">
        <f>IFERROR(MATCH(342,$B$4:$B$503,0),"")</f>
        <v/>
      </c>
    </row>
    <row r="346">
      <c r="A346">
        <f>IF(AND(LEN('Licences'!A346)&gt;0,ISNUMBER('Licences'!J346)),'Licences'!J346+343/100000,"")</f>
        <v/>
      </c>
      <c r="B346">
        <f>IF(AND(LEN('Licences'!A346)&gt;0,ISNUMBER('Licences'!J346)),MAX($B$3:B345)+1,"")</f>
        <v/>
      </c>
      <c r="E346">
        <f>IFERROR(MATCH(343,$B$4:$B$503,0),"")</f>
        <v/>
      </c>
    </row>
    <row r="347">
      <c r="A347">
        <f>IF(AND(LEN('Licences'!A347)&gt;0,ISNUMBER('Licences'!J347)),'Licences'!J347+344/100000,"")</f>
        <v/>
      </c>
      <c r="B347">
        <f>IF(AND(LEN('Licences'!A347)&gt;0,ISNUMBER('Licences'!J347)),MAX($B$3:B346)+1,"")</f>
        <v/>
      </c>
      <c r="E347">
        <f>IFERROR(MATCH(344,$B$4:$B$503,0),"")</f>
        <v/>
      </c>
    </row>
    <row r="348">
      <c r="A348">
        <f>IF(AND(LEN('Licences'!A348)&gt;0,ISNUMBER('Licences'!J348)),'Licences'!J348+345/100000,"")</f>
        <v/>
      </c>
      <c r="B348">
        <f>IF(AND(LEN('Licences'!A348)&gt;0,ISNUMBER('Licences'!J348)),MAX($B$3:B347)+1,"")</f>
        <v/>
      </c>
      <c r="E348">
        <f>IFERROR(MATCH(345,$B$4:$B$503,0),"")</f>
        <v/>
      </c>
    </row>
    <row r="349">
      <c r="A349">
        <f>IF(AND(LEN('Licences'!A349)&gt;0,ISNUMBER('Licences'!J349)),'Licences'!J349+346/100000,"")</f>
        <v/>
      </c>
      <c r="B349">
        <f>IF(AND(LEN('Licences'!A349)&gt;0,ISNUMBER('Licences'!J349)),MAX($B$3:B348)+1,"")</f>
        <v/>
      </c>
      <c r="E349">
        <f>IFERROR(MATCH(346,$B$4:$B$503,0),"")</f>
        <v/>
      </c>
    </row>
    <row r="350">
      <c r="A350">
        <f>IF(AND(LEN('Licences'!A350)&gt;0,ISNUMBER('Licences'!J350)),'Licences'!J350+347/100000,"")</f>
        <v/>
      </c>
      <c r="B350">
        <f>IF(AND(LEN('Licences'!A350)&gt;0,ISNUMBER('Licences'!J350)),MAX($B$3:B349)+1,"")</f>
        <v/>
      </c>
      <c r="E350">
        <f>IFERROR(MATCH(347,$B$4:$B$503,0),"")</f>
        <v/>
      </c>
    </row>
    <row r="351">
      <c r="A351">
        <f>IF(AND(LEN('Licences'!A351)&gt;0,ISNUMBER('Licences'!J351)),'Licences'!J351+348/100000,"")</f>
        <v/>
      </c>
      <c r="B351">
        <f>IF(AND(LEN('Licences'!A351)&gt;0,ISNUMBER('Licences'!J351)),MAX($B$3:B350)+1,"")</f>
        <v/>
      </c>
      <c r="E351">
        <f>IFERROR(MATCH(348,$B$4:$B$503,0),"")</f>
        <v/>
      </c>
    </row>
    <row r="352">
      <c r="A352">
        <f>IF(AND(LEN('Licences'!A352)&gt;0,ISNUMBER('Licences'!J352)),'Licences'!J352+349/100000,"")</f>
        <v/>
      </c>
      <c r="B352">
        <f>IF(AND(LEN('Licences'!A352)&gt;0,ISNUMBER('Licences'!J352)),MAX($B$3:B351)+1,"")</f>
        <v/>
      </c>
      <c r="E352">
        <f>IFERROR(MATCH(349,$B$4:$B$503,0),"")</f>
        <v/>
      </c>
    </row>
    <row r="353">
      <c r="A353">
        <f>IF(AND(LEN('Licences'!A353)&gt;0,ISNUMBER('Licences'!J353)),'Licences'!J353+350/100000,"")</f>
        <v/>
      </c>
      <c r="B353">
        <f>IF(AND(LEN('Licences'!A353)&gt;0,ISNUMBER('Licences'!J353)),MAX($B$3:B352)+1,"")</f>
        <v/>
      </c>
      <c r="E353">
        <f>IFERROR(MATCH(350,$B$4:$B$503,0),"")</f>
        <v/>
      </c>
    </row>
    <row r="354">
      <c r="A354">
        <f>IF(AND(LEN('Licences'!A354)&gt;0,ISNUMBER('Licences'!J354)),'Licences'!J354+351/100000,"")</f>
        <v/>
      </c>
      <c r="B354">
        <f>IF(AND(LEN('Licences'!A354)&gt;0,ISNUMBER('Licences'!J354)),MAX($B$3:B353)+1,"")</f>
        <v/>
      </c>
      <c r="E354">
        <f>IFERROR(MATCH(351,$B$4:$B$503,0),"")</f>
        <v/>
      </c>
    </row>
    <row r="355">
      <c r="A355">
        <f>IF(AND(LEN('Licences'!A355)&gt;0,ISNUMBER('Licences'!J355)),'Licences'!J355+352/100000,"")</f>
        <v/>
      </c>
      <c r="B355">
        <f>IF(AND(LEN('Licences'!A355)&gt;0,ISNUMBER('Licences'!J355)),MAX($B$3:B354)+1,"")</f>
        <v/>
      </c>
      <c r="E355">
        <f>IFERROR(MATCH(352,$B$4:$B$503,0),"")</f>
        <v/>
      </c>
    </row>
    <row r="356">
      <c r="A356">
        <f>IF(AND(LEN('Licences'!A356)&gt;0,ISNUMBER('Licences'!J356)),'Licences'!J356+353/100000,"")</f>
        <v/>
      </c>
      <c r="B356">
        <f>IF(AND(LEN('Licences'!A356)&gt;0,ISNUMBER('Licences'!J356)),MAX($B$3:B355)+1,"")</f>
        <v/>
      </c>
      <c r="E356">
        <f>IFERROR(MATCH(353,$B$4:$B$503,0),"")</f>
        <v/>
      </c>
    </row>
    <row r="357">
      <c r="A357">
        <f>IF(AND(LEN('Licences'!A357)&gt;0,ISNUMBER('Licences'!J357)),'Licences'!J357+354/100000,"")</f>
        <v/>
      </c>
      <c r="B357">
        <f>IF(AND(LEN('Licences'!A357)&gt;0,ISNUMBER('Licences'!J357)),MAX($B$3:B356)+1,"")</f>
        <v/>
      </c>
      <c r="E357">
        <f>IFERROR(MATCH(354,$B$4:$B$503,0),"")</f>
        <v/>
      </c>
    </row>
    <row r="358">
      <c r="A358">
        <f>IF(AND(LEN('Licences'!A358)&gt;0,ISNUMBER('Licences'!J358)),'Licences'!J358+355/100000,"")</f>
        <v/>
      </c>
      <c r="B358">
        <f>IF(AND(LEN('Licences'!A358)&gt;0,ISNUMBER('Licences'!J358)),MAX($B$3:B357)+1,"")</f>
        <v/>
      </c>
      <c r="E358">
        <f>IFERROR(MATCH(355,$B$4:$B$503,0),"")</f>
        <v/>
      </c>
    </row>
    <row r="359">
      <c r="A359">
        <f>IF(AND(LEN('Licences'!A359)&gt;0,ISNUMBER('Licences'!J359)),'Licences'!J359+356/100000,"")</f>
        <v/>
      </c>
      <c r="B359">
        <f>IF(AND(LEN('Licences'!A359)&gt;0,ISNUMBER('Licences'!J359)),MAX($B$3:B358)+1,"")</f>
        <v/>
      </c>
      <c r="E359">
        <f>IFERROR(MATCH(356,$B$4:$B$503,0),"")</f>
        <v/>
      </c>
    </row>
    <row r="360">
      <c r="A360">
        <f>IF(AND(LEN('Licences'!A360)&gt;0,ISNUMBER('Licences'!J360)),'Licences'!J360+357/100000,"")</f>
        <v/>
      </c>
      <c r="B360">
        <f>IF(AND(LEN('Licences'!A360)&gt;0,ISNUMBER('Licences'!J360)),MAX($B$3:B359)+1,"")</f>
        <v/>
      </c>
      <c r="E360">
        <f>IFERROR(MATCH(357,$B$4:$B$503,0),"")</f>
        <v/>
      </c>
    </row>
    <row r="361">
      <c r="A361">
        <f>IF(AND(LEN('Licences'!A361)&gt;0,ISNUMBER('Licences'!J361)),'Licences'!J361+358/100000,"")</f>
        <v/>
      </c>
      <c r="B361">
        <f>IF(AND(LEN('Licences'!A361)&gt;0,ISNUMBER('Licences'!J361)),MAX($B$3:B360)+1,"")</f>
        <v/>
      </c>
      <c r="E361">
        <f>IFERROR(MATCH(358,$B$4:$B$503,0),"")</f>
        <v/>
      </c>
    </row>
    <row r="362">
      <c r="A362">
        <f>IF(AND(LEN('Licences'!A362)&gt;0,ISNUMBER('Licences'!J362)),'Licences'!J362+359/100000,"")</f>
        <v/>
      </c>
      <c r="B362">
        <f>IF(AND(LEN('Licences'!A362)&gt;0,ISNUMBER('Licences'!J362)),MAX($B$3:B361)+1,"")</f>
        <v/>
      </c>
      <c r="E362">
        <f>IFERROR(MATCH(359,$B$4:$B$503,0),"")</f>
        <v/>
      </c>
    </row>
    <row r="363">
      <c r="A363">
        <f>IF(AND(LEN('Licences'!A363)&gt;0,ISNUMBER('Licences'!J363)),'Licences'!J363+360/100000,"")</f>
        <v/>
      </c>
      <c r="B363">
        <f>IF(AND(LEN('Licences'!A363)&gt;0,ISNUMBER('Licences'!J363)),MAX($B$3:B362)+1,"")</f>
        <v/>
      </c>
      <c r="E363">
        <f>IFERROR(MATCH(360,$B$4:$B$503,0),"")</f>
        <v/>
      </c>
    </row>
    <row r="364">
      <c r="A364">
        <f>IF(AND(LEN('Licences'!A364)&gt;0,ISNUMBER('Licences'!J364)),'Licences'!J364+361/100000,"")</f>
        <v/>
      </c>
      <c r="B364">
        <f>IF(AND(LEN('Licences'!A364)&gt;0,ISNUMBER('Licences'!J364)),MAX($B$3:B363)+1,"")</f>
        <v/>
      </c>
      <c r="E364">
        <f>IFERROR(MATCH(361,$B$4:$B$503,0),"")</f>
        <v/>
      </c>
    </row>
    <row r="365">
      <c r="A365">
        <f>IF(AND(LEN('Licences'!A365)&gt;0,ISNUMBER('Licences'!J365)),'Licences'!J365+362/100000,"")</f>
        <v/>
      </c>
      <c r="B365">
        <f>IF(AND(LEN('Licences'!A365)&gt;0,ISNUMBER('Licences'!J365)),MAX($B$3:B364)+1,"")</f>
        <v/>
      </c>
      <c r="E365">
        <f>IFERROR(MATCH(362,$B$4:$B$503,0),"")</f>
        <v/>
      </c>
    </row>
    <row r="366">
      <c r="A366">
        <f>IF(AND(LEN('Licences'!A366)&gt;0,ISNUMBER('Licences'!J366)),'Licences'!J366+363/100000,"")</f>
        <v/>
      </c>
      <c r="B366">
        <f>IF(AND(LEN('Licences'!A366)&gt;0,ISNUMBER('Licences'!J366)),MAX($B$3:B365)+1,"")</f>
        <v/>
      </c>
      <c r="E366">
        <f>IFERROR(MATCH(363,$B$4:$B$503,0),"")</f>
        <v/>
      </c>
    </row>
    <row r="367">
      <c r="A367">
        <f>IF(AND(LEN('Licences'!A367)&gt;0,ISNUMBER('Licences'!J367)),'Licences'!J367+364/100000,"")</f>
        <v/>
      </c>
      <c r="B367">
        <f>IF(AND(LEN('Licences'!A367)&gt;0,ISNUMBER('Licences'!J367)),MAX($B$3:B366)+1,"")</f>
        <v/>
      </c>
      <c r="E367">
        <f>IFERROR(MATCH(364,$B$4:$B$503,0),"")</f>
        <v/>
      </c>
    </row>
    <row r="368">
      <c r="A368">
        <f>IF(AND(LEN('Licences'!A368)&gt;0,ISNUMBER('Licences'!J368)),'Licences'!J368+365/100000,"")</f>
        <v/>
      </c>
      <c r="B368">
        <f>IF(AND(LEN('Licences'!A368)&gt;0,ISNUMBER('Licences'!J368)),MAX($B$3:B367)+1,"")</f>
        <v/>
      </c>
      <c r="E368">
        <f>IFERROR(MATCH(365,$B$4:$B$503,0),"")</f>
        <v/>
      </c>
    </row>
    <row r="369">
      <c r="A369">
        <f>IF(AND(LEN('Licences'!A369)&gt;0,ISNUMBER('Licences'!J369)),'Licences'!J369+366/100000,"")</f>
        <v/>
      </c>
      <c r="B369">
        <f>IF(AND(LEN('Licences'!A369)&gt;0,ISNUMBER('Licences'!J369)),MAX($B$3:B368)+1,"")</f>
        <v/>
      </c>
      <c r="E369">
        <f>IFERROR(MATCH(366,$B$4:$B$503,0),"")</f>
        <v/>
      </c>
    </row>
    <row r="370">
      <c r="A370">
        <f>IF(AND(LEN('Licences'!A370)&gt;0,ISNUMBER('Licences'!J370)),'Licences'!J370+367/100000,"")</f>
        <v/>
      </c>
      <c r="B370">
        <f>IF(AND(LEN('Licences'!A370)&gt;0,ISNUMBER('Licences'!J370)),MAX($B$3:B369)+1,"")</f>
        <v/>
      </c>
      <c r="E370">
        <f>IFERROR(MATCH(367,$B$4:$B$503,0),"")</f>
        <v/>
      </c>
    </row>
    <row r="371">
      <c r="A371">
        <f>IF(AND(LEN('Licences'!A371)&gt;0,ISNUMBER('Licences'!J371)),'Licences'!J371+368/100000,"")</f>
        <v/>
      </c>
      <c r="B371">
        <f>IF(AND(LEN('Licences'!A371)&gt;0,ISNUMBER('Licences'!J371)),MAX($B$3:B370)+1,"")</f>
        <v/>
      </c>
      <c r="E371">
        <f>IFERROR(MATCH(368,$B$4:$B$503,0),"")</f>
        <v/>
      </c>
    </row>
    <row r="372">
      <c r="A372">
        <f>IF(AND(LEN('Licences'!A372)&gt;0,ISNUMBER('Licences'!J372)),'Licences'!J372+369/100000,"")</f>
        <v/>
      </c>
      <c r="B372">
        <f>IF(AND(LEN('Licences'!A372)&gt;0,ISNUMBER('Licences'!J372)),MAX($B$3:B371)+1,"")</f>
        <v/>
      </c>
      <c r="E372">
        <f>IFERROR(MATCH(369,$B$4:$B$503,0),"")</f>
        <v/>
      </c>
    </row>
    <row r="373">
      <c r="A373">
        <f>IF(AND(LEN('Licences'!A373)&gt;0,ISNUMBER('Licences'!J373)),'Licences'!J373+370/100000,"")</f>
        <v/>
      </c>
      <c r="B373">
        <f>IF(AND(LEN('Licences'!A373)&gt;0,ISNUMBER('Licences'!J373)),MAX($B$3:B372)+1,"")</f>
        <v/>
      </c>
      <c r="E373">
        <f>IFERROR(MATCH(370,$B$4:$B$503,0),"")</f>
        <v/>
      </c>
    </row>
    <row r="374">
      <c r="A374">
        <f>IF(AND(LEN('Licences'!A374)&gt;0,ISNUMBER('Licences'!J374)),'Licences'!J374+371/100000,"")</f>
        <v/>
      </c>
      <c r="B374">
        <f>IF(AND(LEN('Licences'!A374)&gt;0,ISNUMBER('Licences'!J374)),MAX($B$3:B373)+1,"")</f>
        <v/>
      </c>
      <c r="E374">
        <f>IFERROR(MATCH(371,$B$4:$B$503,0),"")</f>
        <v/>
      </c>
    </row>
    <row r="375">
      <c r="A375">
        <f>IF(AND(LEN('Licences'!A375)&gt;0,ISNUMBER('Licences'!J375)),'Licences'!J375+372/100000,"")</f>
        <v/>
      </c>
      <c r="B375">
        <f>IF(AND(LEN('Licences'!A375)&gt;0,ISNUMBER('Licences'!J375)),MAX($B$3:B374)+1,"")</f>
        <v/>
      </c>
      <c r="E375">
        <f>IFERROR(MATCH(372,$B$4:$B$503,0),"")</f>
        <v/>
      </c>
    </row>
    <row r="376">
      <c r="A376">
        <f>IF(AND(LEN('Licences'!A376)&gt;0,ISNUMBER('Licences'!J376)),'Licences'!J376+373/100000,"")</f>
        <v/>
      </c>
      <c r="B376">
        <f>IF(AND(LEN('Licences'!A376)&gt;0,ISNUMBER('Licences'!J376)),MAX($B$3:B375)+1,"")</f>
        <v/>
      </c>
      <c r="E376">
        <f>IFERROR(MATCH(373,$B$4:$B$503,0),"")</f>
        <v/>
      </c>
    </row>
    <row r="377">
      <c r="A377">
        <f>IF(AND(LEN('Licences'!A377)&gt;0,ISNUMBER('Licences'!J377)),'Licences'!J377+374/100000,"")</f>
        <v/>
      </c>
      <c r="B377">
        <f>IF(AND(LEN('Licences'!A377)&gt;0,ISNUMBER('Licences'!J377)),MAX($B$3:B376)+1,"")</f>
        <v/>
      </c>
      <c r="E377">
        <f>IFERROR(MATCH(374,$B$4:$B$503,0),"")</f>
        <v/>
      </c>
    </row>
    <row r="378">
      <c r="A378">
        <f>IF(AND(LEN('Licences'!A378)&gt;0,ISNUMBER('Licences'!J378)),'Licences'!J378+375/100000,"")</f>
        <v/>
      </c>
      <c r="B378">
        <f>IF(AND(LEN('Licences'!A378)&gt;0,ISNUMBER('Licences'!J378)),MAX($B$3:B377)+1,"")</f>
        <v/>
      </c>
      <c r="E378">
        <f>IFERROR(MATCH(375,$B$4:$B$503,0),"")</f>
        <v/>
      </c>
    </row>
    <row r="379">
      <c r="A379">
        <f>IF(AND(LEN('Licences'!A379)&gt;0,ISNUMBER('Licences'!J379)),'Licences'!J379+376/100000,"")</f>
        <v/>
      </c>
      <c r="B379">
        <f>IF(AND(LEN('Licences'!A379)&gt;0,ISNUMBER('Licences'!J379)),MAX($B$3:B378)+1,"")</f>
        <v/>
      </c>
      <c r="E379">
        <f>IFERROR(MATCH(376,$B$4:$B$503,0),"")</f>
        <v/>
      </c>
    </row>
    <row r="380">
      <c r="A380">
        <f>IF(AND(LEN('Licences'!A380)&gt;0,ISNUMBER('Licences'!J380)),'Licences'!J380+377/100000,"")</f>
        <v/>
      </c>
      <c r="B380">
        <f>IF(AND(LEN('Licences'!A380)&gt;0,ISNUMBER('Licences'!J380)),MAX($B$3:B379)+1,"")</f>
        <v/>
      </c>
      <c r="E380">
        <f>IFERROR(MATCH(377,$B$4:$B$503,0),"")</f>
        <v/>
      </c>
    </row>
    <row r="381">
      <c r="A381">
        <f>IF(AND(LEN('Licences'!A381)&gt;0,ISNUMBER('Licences'!J381)),'Licences'!J381+378/100000,"")</f>
        <v/>
      </c>
      <c r="B381">
        <f>IF(AND(LEN('Licences'!A381)&gt;0,ISNUMBER('Licences'!J381)),MAX($B$3:B380)+1,"")</f>
        <v/>
      </c>
      <c r="E381">
        <f>IFERROR(MATCH(378,$B$4:$B$503,0),"")</f>
        <v/>
      </c>
    </row>
    <row r="382">
      <c r="A382">
        <f>IF(AND(LEN('Licences'!A382)&gt;0,ISNUMBER('Licences'!J382)),'Licences'!J382+379/100000,"")</f>
        <v/>
      </c>
      <c r="B382">
        <f>IF(AND(LEN('Licences'!A382)&gt;0,ISNUMBER('Licences'!J382)),MAX($B$3:B381)+1,"")</f>
        <v/>
      </c>
      <c r="E382">
        <f>IFERROR(MATCH(379,$B$4:$B$503,0),"")</f>
        <v/>
      </c>
    </row>
    <row r="383">
      <c r="A383">
        <f>IF(AND(LEN('Licences'!A383)&gt;0,ISNUMBER('Licences'!J383)),'Licences'!J383+380/100000,"")</f>
        <v/>
      </c>
      <c r="B383">
        <f>IF(AND(LEN('Licences'!A383)&gt;0,ISNUMBER('Licences'!J383)),MAX($B$3:B382)+1,"")</f>
        <v/>
      </c>
      <c r="E383">
        <f>IFERROR(MATCH(380,$B$4:$B$503,0),"")</f>
        <v/>
      </c>
    </row>
    <row r="384">
      <c r="A384">
        <f>IF(AND(LEN('Licences'!A384)&gt;0,ISNUMBER('Licences'!J384)),'Licences'!J384+381/100000,"")</f>
        <v/>
      </c>
      <c r="B384">
        <f>IF(AND(LEN('Licences'!A384)&gt;0,ISNUMBER('Licences'!J384)),MAX($B$3:B383)+1,"")</f>
        <v/>
      </c>
      <c r="E384">
        <f>IFERROR(MATCH(381,$B$4:$B$503,0),"")</f>
        <v/>
      </c>
    </row>
    <row r="385">
      <c r="A385">
        <f>IF(AND(LEN('Licences'!A385)&gt;0,ISNUMBER('Licences'!J385)),'Licences'!J385+382/100000,"")</f>
        <v/>
      </c>
      <c r="B385">
        <f>IF(AND(LEN('Licences'!A385)&gt;0,ISNUMBER('Licences'!J385)),MAX($B$3:B384)+1,"")</f>
        <v/>
      </c>
      <c r="E385">
        <f>IFERROR(MATCH(382,$B$4:$B$503,0),"")</f>
        <v/>
      </c>
    </row>
    <row r="386">
      <c r="A386">
        <f>IF(AND(LEN('Licences'!A386)&gt;0,ISNUMBER('Licences'!J386)),'Licences'!J386+383/100000,"")</f>
        <v/>
      </c>
      <c r="B386">
        <f>IF(AND(LEN('Licences'!A386)&gt;0,ISNUMBER('Licences'!J386)),MAX($B$3:B385)+1,"")</f>
        <v/>
      </c>
      <c r="E386">
        <f>IFERROR(MATCH(383,$B$4:$B$503,0),"")</f>
        <v/>
      </c>
    </row>
    <row r="387">
      <c r="A387">
        <f>IF(AND(LEN('Licences'!A387)&gt;0,ISNUMBER('Licences'!J387)),'Licences'!J387+384/100000,"")</f>
        <v/>
      </c>
      <c r="B387">
        <f>IF(AND(LEN('Licences'!A387)&gt;0,ISNUMBER('Licences'!J387)),MAX($B$3:B386)+1,"")</f>
        <v/>
      </c>
      <c r="E387">
        <f>IFERROR(MATCH(384,$B$4:$B$503,0),"")</f>
        <v/>
      </c>
    </row>
    <row r="388">
      <c r="A388">
        <f>IF(AND(LEN('Licences'!A388)&gt;0,ISNUMBER('Licences'!J388)),'Licences'!J388+385/100000,"")</f>
        <v/>
      </c>
      <c r="B388">
        <f>IF(AND(LEN('Licences'!A388)&gt;0,ISNUMBER('Licences'!J388)),MAX($B$3:B387)+1,"")</f>
        <v/>
      </c>
      <c r="E388">
        <f>IFERROR(MATCH(385,$B$4:$B$503,0),"")</f>
        <v/>
      </c>
    </row>
    <row r="389">
      <c r="A389">
        <f>IF(AND(LEN('Licences'!A389)&gt;0,ISNUMBER('Licences'!J389)),'Licences'!J389+386/100000,"")</f>
        <v/>
      </c>
      <c r="B389">
        <f>IF(AND(LEN('Licences'!A389)&gt;0,ISNUMBER('Licences'!J389)),MAX($B$3:B388)+1,"")</f>
        <v/>
      </c>
      <c r="E389">
        <f>IFERROR(MATCH(386,$B$4:$B$503,0),"")</f>
        <v/>
      </c>
    </row>
    <row r="390">
      <c r="A390">
        <f>IF(AND(LEN('Licences'!A390)&gt;0,ISNUMBER('Licences'!J390)),'Licences'!J390+387/100000,"")</f>
        <v/>
      </c>
      <c r="B390">
        <f>IF(AND(LEN('Licences'!A390)&gt;0,ISNUMBER('Licences'!J390)),MAX($B$3:B389)+1,"")</f>
        <v/>
      </c>
      <c r="E390">
        <f>IFERROR(MATCH(387,$B$4:$B$503,0),"")</f>
        <v/>
      </c>
    </row>
    <row r="391">
      <c r="A391">
        <f>IF(AND(LEN('Licences'!A391)&gt;0,ISNUMBER('Licences'!J391)),'Licences'!J391+388/100000,"")</f>
        <v/>
      </c>
      <c r="B391">
        <f>IF(AND(LEN('Licences'!A391)&gt;0,ISNUMBER('Licences'!J391)),MAX($B$3:B390)+1,"")</f>
        <v/>
      </c>
      <c r="E391">
        <f>IFERROR(MATCH(388,$B$4:$B$503,0),"")</f>
        <v/>
      </c>
    </row>
    <row r="392">
      <c r="A392">
        <f>IF(AND(LEN('Licences'!A392)&gt;0,ISNUMBER('Licences'!J392)),'Licences'!J392+389/100000,"")</f>
        <v/>
      </c>
      <c r="B392">
        <f>IF(AND(LEN('Licences'!A392)&gt;0,ISNUMBER('Licences'!J392)),MAX($B$3:B391)+1,"")</f>
        <v/>
      </c>
      <c r="E392">
        <f>IFERROR(MATCH(389,$B$4:$B$503,0),"")</f>
        <v/>
      </c>
    </row>
    <row r="393">
      <c r="A393">
        <f>IF(AND(LEN('Licences'!A393)&gt;0,ISNUMBER('Licences'!J393)),'Licences'!J393+390/100000,"")</f>
        <v/>
      </c>
      <c r="B393">
        <f>IF(AND(LEN('Licences'!A393)&gt;0,ISNUMBER('Licences'!J393)),MAX($B$3:B392)+1,"")</f>
        <v/>
      </c>
      <c r="E393">
        <f>IFERROR(MATCH(390,$B$4:$B$503,0),"")</f>
        <v/>
      </c>
    </row>
    <row r="394">
      <c r="A394">
        <f>IF(AND(LEN('Licences'!A394)&gt;0,ISNUMBER('Licences'!J394)),'Licences'!J394+391/100000,"")</f>
        <v/>
      </c>
      <c r="B394">
        <f>IF(AND(LEN('Licences'!A394)&gt;0,ISNUMBER('Licences'!J394)),MAX($B$3:B393)+1,"")</f>
        <v/>
      </c>
      <c r="E394">
        <f>IFERROR(MATCH(391,$B$4:$B$503,0),"")</f>
        <v/>
      </c>
    </row>
    <row r="395">
      <c r="A395">
        <f>IF(AND(LEN('Licences'!A395)&gt;0,ISNUMBER('Licences'!J395)),'Licences'!J395+392/100000,"")</f>
        <v/>
      </c>
      <c r="B395">
        <f>IF(AND(LEN('Licences'!A395)&gt;0,ISNUMBER('Licences'!J395)),MAX($B$3:B394)+1,"")</f>
        <v/>
      </c>
      <c r="E395">
        <f>IFERROR(MATCH(392,$B$4:$B$503,0),"")</f>
        <v/>
      </c>
    </row>
    <row r="396">
      <c r="A396">
        <f>IF(AND(LEN('Licences'!A396)&gt;0,ISNUMBER('Licences'!J396)),'Licences'!J396+393/100000,"")</f>
        <v/>
      </c>
      <c r="B396">
        <f>IF(AND(LEN('Licences'!A396)&gt;0,ISNUMBER('Licences'!J396)),MAX($B$3:B395)+1,"")</f>
        <v/>
      </c>
      <c r="E396">
        <f>IFERROR(MATCH(393,$B$4:$B$503,0),"")</f>
        <v/>
      </c>
    </row>
    <row r="397">
      <c r="A397">
        <f>IF(AND(LEN('Licences'!A397)&gt;0,ISNUMBER('Licences'!J397)),'Licences'!J397+394/100000,"")</f>
        <v/>
      </c>
      <c r="B397">
        <f>IF(AND(LEN('Licences'!A397)&gt;0,ISNUMBER('Licences'!J397)),MAX($B$3:B396)+1,"")</f>
        <v/>
      </c>
      <c r="E397">
        <f>IFERROR(MATCH(394,$B$4:$B$503,0),"")</f>
        <v/>
      </c>
    </row>
    <row r="398">
      <c r="A398">
        <f>IF(AND(LEN('Licences'!A398)&gt;0,ISNUMBER('Licences'!J398)),'Licences'!J398+395/100000,"")</f>
        <v/>
      </c>
      <c r="B398">
        <f>IF(AND(LEN('Licences'!A398)&gt;0,ISNUMBER('Licences'!J398)),MAX($B$3:B397)+1,"")</f>
        <v/>
      </c>
      <c r="E398">
        <f>IFERROR(MATCH(395,$B$4:$B$503,0),"")</f>
        <v/>
      </c>
    </row>
    <row r="399">
      <c r="A399">
        <f>IF(AND(LEN('Licences'!A399)&gt;0,ISNUMBER('Licences'!J399)),'Licences'!J399+396/100000,"")</f>
        <v/>
      </c>
      <c r="B399">
        <f>IF(AND(LEN('Licences'!A399)&gt;0,ISNUMBER('Licences'!J399)),MAX($B$3:B398)+1,"")</f>
        <v/>
      </c>
      <c r="E399">
        <f>IFERROR(MATCH(396,$B$4:$B$503,0),"")</f>
        <v/>
      </c>
    </row>
    <row r="400">
      <c r="A400">
        <f>IF(AND(LEN('Licences'!A400)&gt;0,ISNUMBER('Licences'!J400)),'Licences'!J400+397/100000,"")</f>
        <v/>
      </c>
      <c r="B400">
        <f>IF(AND(LEN('Licences'!A400)&gt;0,ISNUMBER('Licences'!J400)),MAX($B$3:B399)+1,"")</f>
        <v/>
      </c>
      <c r="E400">
        <f>IFERROR(MATCH(397,$B$4:$B$503,0),"")</f>
        <v/>
      </c>
    </row>
    <row r="401">
      <c r="A401">
        <f>IF(AND(LEN('Licences'!A401)&gt;0,ISNUMBER('Licences'!J401)),'Licences'!J401+398/100000,"")</f>
        <v/>
      </c>
      <c r="B401">
        <f>IF(AND(LEN('Licences'!A401)&gt;0,ISNUMBER('Licences'!J401)),MAX($B$3:B400)+1,"")</f>
        <v/>
      </c>
      <c r="E401">
        <f>IFERROR(MATCH(398,$B$4:$B$503,0),"")</f>
        <v/>
      </c>
    </row>
    <row r="402">
      <c r="A402">
        <f>IF(AND(LEN('Licences'!A402)&gt;0,ISNUMBER('Licences'!J402)),'Licences'!J402+399/100000,"")</f>
        <v/>
      </c>
      <c r="B402">
        <f>IF(AND(LEN('Licences'!A402)&gt;0,ISNUMBER('Licences'!J402)),MAX($B$3:B401)+1,"")</f>
        <v/>
      </c>
      <c r="E402">
        <f>IFERROR(MATCH(399,$B$4:$B$503,0),"")</f>
        <v/>
      </c>
    </row>
    <row r="403">
      <c r="A403">
        <f>IF(AND(LEN('Licences'!A403)&gt;0,ISNUMBER('Licences'!J403)),'Licences'!J403+400/100000,"")</f>
        <v/>
      </c>
      <c r="B403">
        <f>IF(AND(LEN('Licences'!A403)&gt;0,ISNUMBER('Licences'!J403)),MAX($B$3:B402)+1,"")</f>
        <v/>
      </c>
      <c r="E403">
        <f>IFERROR(MATCH(400,$B$4:$B$503,0),"")</f>
        <v/>
      </c>
    </row>
    <row r="404">
      <c r="A404">
        <f>IF(AND(LEN('Licences'!A404)&gt;0,ISNUMBER('Licences'!J404)),'Licences'!J404+401/100000,"")</f>
        <v/>
      </c>
      <c r="B404">
        <f>IF(AND(LEN('Licences'!A404)&gt;0,ISNUMBER('Licences'!J404)),MAX($B$3:B403)+1,"")</f>
        <v/>
      </c>
      <c r="E404">
        <f>IFERROR(MATCH(401,$B$4:$B$503,0),"")</f>
        <v/>
      </c>
    </row>
    <row r="405">
      <c r="A405">
        <f>IF(AND(LEN('Licences'!A405)&gt;0,ISNUMBER('Licences'!J405)),'Licences'!J405+402/100000,"")</f>
        <v/>
      </c>
      <c r="B405">
        <f>IF(AND(LEN('Licences'!A405)&gt;0,ISNUMBER('Licences'!J405)),MAX($B$3:B404)+1,"")</f>
        <v/>
      </c>
      <c r="E405">
        <f>IFERROR(MATCH(402,$B$4:$B$503,0),"")</f>
        <v/>
      </c>
    </row>
    <row r="406">
      <c r="A406">
        <f>IF(AND(LEN('Licences'!A406)&gt;0,ISNUMBER('Licences'!J406)),'Licences'!J406+403/100000,"")</f>
        <v/>
      </c>
      <c r="B406">
        <f>IF(AND(LEN('Licences'!A406)&gt;0,ISNUMBER('Licences'!J406)),MAX($B$3:B405)+1,"")</f>
        <v/>
      </c>
      <c r="E406">
        <f>IFERROR(MATCH(403,$B$4:$B$503,0),"")</f>
        <v/>
      </c>
    </row>
    <row r="407">
      <c r="A407">
        <f>IF(AND(LEN('Licences'!A407)&gt;0,ISNUMBER('Licences'!J407)),'Licences'!J407+404/100000,"")</f>
        <v/>
      </c>
      <c r="B407">
        <f>IF(AND(LEN('Licences'!A407)&gt;0,ISNUMBER('Licences'!J407)),MAX($B$3:B406)+1,"")</f>
        <v/>
      </c>
      <c r="E407">
        <f>IFERROR(MATCH(404,$B$4:$B$503,0),"")</f>
        <v/>
      </c>
    </row>
    <row r="408">
      <c r="A408">
        <f>IF(AND(LEN('Licences'!A408)&gt;0,ISNUMBER('Licences'!J408)),'Licences'!J408+405/100000,"")</f>
        <v/>
      </c>
      <c r="B408">
        <f>IF(AND(LEN('Licences'!A408)&gt;0,ISNUMBER('Licences'!J408)),MAX($B$3:B407)+1,"")</f>
        <v/>
      </c>
      <c r="E408">
        <f>IFERROR(MATCH(405,$B$4:$B$503,0),"")</f>
        <v/>
      </c>
    </row>
    <row r="409">
      <c r="A409">
        <f>IF(AND(LEN('Licences'!A409)&gt;0,ISNUMBER('Licences'!J409)),'Licences'!J409+406/100000,"")</f>
        <v/>
      </c>
      <c r="B409">
        <f>IF(AND(LEN('Licences'!A409)&gt;0,ISNUMBER('Licences'!J409)),MAX($B$3:B408)+1,"")</f>
        <v/>
      </c>
      <c r="E409">
        <f>IFERROR(MATCH(406,$B$4:$B$503,0),"")</f>
        <v/>
      </c>
    </row>
    <row r="410">
      <c r="A410">
        <f>IF(AND(LEN('Licences'!A410)&gt;0,ISNUMBER('Licences'!J410)),'Licences'!J410+407/100000,"")</f>
        <v/>
      </c>
      <c r="B410">
        <f>IF(AND(LEN('Licences'!A410)&gt;0,ISNUMBER('Licences'!J410)),MAX($B$3:B409)+1,"")</f>
        <v/>
      </c>
      <c r="E410">
        <f>IFERROR(MATCH(407,$B$4:$B$503,0),"")</f>
        <v/>
      </c>
    </row>
    <row r="411">
      <c r="A411">
        <f>IF(AND(LEN('Licences'!A411)&gt;0,ISNUMBER('Licences'!J411)),'Licences'!J411+408/100000,"")</f>
        <v/>
      </c>
      <c r="B411">
        <f>IF(AND(LEN('Licences'!A411)&gt;0,ISNUMBER('Licences'!J411)),MAX($B$3:B410)+1,"")</f>
        <v/>
      </c>
      <c r="E411">
        <f>IFERROR(MATCH(408,$B$4:$B$503,0),"")</f>
        <v/>
      </c>
    </row>
    <row r="412">
      <c r="A412">
        <f>IF(AND(LEN('Licences'!A412)&gt;0,ISNUMBER('Licences'!J412)),'Licences'!J412+409/100000,"")</f>
        <v/>
      </c>
      <c r="B412">
        <f>IF(AND(LEN('Licences'!A412)&gt;0,ISNUMBER('Licences'!J412)),MAX($B$3:B411)+1,"")</f>
        <v/>
      </c>
      <c r="E412">
        <f>IFERROR(MATCH(409,$B$4:$B$503,0),"")</f>
        <v/>
      </c>
    </row>
    <row r="413">
      <c r="A413">
        <f>IF(AND(LEN('Licences'!A413)&gt;0,ISNUMBER('Licences'!J413)),'Licences'!J413+410/100000,"")</f>
        <v/>
      </c>
      <c r="B413">
        <f>IF(AND(LEN('Licences'!A413)&gt;0,ISNUMBER('Licences'!J413)),MAX($B$3:B412)+1,"")</f>
        <v/>
      </c>
      <c r="E413">
        <f>IFERROR(MATCH(410,$B$4:$B$503,0),"")</f>
        <v/>
      </c>
    </row>
    <row r="414">
      <c r="A414">
        <f>IF(AND(LEN('Licences'!A414)&gt;0,ISNUMBER('Licences'!J414)),'Licences'!J414+411/100000,"")</f>
        <v/>
      </c>
      <c r="B414">
        <f>IF(AND(LEN('Licences'!A414)&gt;0,ISNUMBER('Licences'!J414)),MAX($B$3:B413)+1,"")</f>
        <v/>
      </c>
      <c r="E414">
        <f>IFERROR(MATCH(411,$B$4:$B$503,0),"")</f>
        <v/>
      </c>
    </row>
    <row r="415">
      <c r="A415">
        <f>IF(AND(LEN('Licences'!A415)&gt;0,ISNUMBER('Licences'!J415)),'Licences'!J415+412/100000,"")</f>
        <v/>
      </c>
      <c r="B415">
        <f>IF(AND(LEN('Licences'!A415)&gt;0,ISNUMBER('Licences'!J415)),MAX($B$3:B414)+1,"")</f>
        <v/>
      </c>
      <c r="E415">
        <f>IFERROR(MATCH(412,$B$4:$B$503,0),"")</f>
        <v/>
      </c>
    </row>
    <row r="416">
      <c r="A416">
        <f>IF(AND(LEN('Licences'!A416)&gt;0,ISNUMBER('Licences'!J416)),'Licences'!J416+413/100000,"")</f>
        <v/>
      </c>
      <c r="B416">
        <f>IF(AND(LEN('Licences'!A416)&gt;0,ISNUMBER('Licences'!J416)),MAX($B$3:B415)+1,"")</f>
        <v/>
      </c>
      <c r="E416">
        <f>IFERROR(MATCH(413,$B$4:$B$503,0),"")</f>
        <v/>
      </c>
    </row>
    <row r="417">
      <c r="A417">
        <f>IF(AND(LEN('Licences'!A417)&gt;0,ISNUMBER('Licences'!J417)),'Licences'!J417+414/100000,"")</f>
        <v/>
      </c>
      <c r="B417">
        <f>IF(AND(LEN('Licences'!A417)&gt;0,ISNUMBER('Licences'!J417)),MAX($B$3:B416)+1,"")</f>
        <v/>
      </c>
      <c r="E417">
        <f>IFERROR(MATCH(414,$B$4:$B$503,0),"")</f>
        <v/>
      </c>
    </row>
    <row r="418">
      <c r="A418">
        <f>IF(AND(LEN('Licences'!A418)&gt;0,ISNUMBER('Licences'!J418)),'Licences'!J418+415/100000,"")</f>
        <v/>
      </c>
      <c r="B418">
        <f>IF(AND(LEN('Licences'!A418)&gt;0,ISNUMBER('Licences'!J418)),MAX($B$3:B417)+1,"")</f>
        <v/>
      </c>
      <c r="E418">
        <f>IFERROR(MATCH(415,$B$4:$B$503,0),"")</f>
        <v/>
      </c>
    </row>
    <row r="419">
      <c r="A419">
        <f>IF(AND(LEN('Licences'!A419)&gt;0,ISNUMBER('Licences'!J419)),'Licences'!J419+416/100000,"")</f>
        <v/>
      </c>
      <c r="B419">
        <f>IF(AND(LEN('Licences'!A419)&gt;0,ISNUMBER('Licences'!J419)),MAX($B$3:B418)+1,"")</f>
        <v/>
      </c>
      <c r="E419">
        <f>IFERROR(MATCH(416,$B$4:$B$503,0),"")</f>
        <v/>
      </c>
    </row>
    <row r="420">
      <c r="A420">
        <f>IF(AND(LEN('Licences'!A420)&gt;0,ISNUMBER('Licences'!J420)),'Licences'!J420+417/100000,"")</f>
        <v/>
      </c>
      <c r="B420">
        <f>IF(AND(LEN('Licences'!A420)&gt;0,ISNUMBER('Licences'!J420)),MAX($B$3:B419)+1,"")</f>
        <v/>
      </c>
      <c r="E420">
        <f>IFERROR(MATCH(417,$B$4:$B$503,0),"")</f>
        <v/>
      </c>
    </row>
    <row r="421">
      <c r="A421">
        <f>IF(AND(LEN('Licences'!A421)&gt;0,ISNUMBER('Licences'!J421)),'Licences'!J421+418/100000,"")</f>
        <v/>
      </c>
      <c r="B421">
        <f>IF(AND(LEN('Licences'!A421)&gt;0,ISNUMBER('Licences'!J421)),MAX($B$3:B420)+1,"")</f>
        <v/>
      </c>
      <c r="E421">
        <f>IFERROR(MATCH(418,$B$4:$B$503,0),"")</f>
        <v/>
      </c>
    </row>
    <row r="422">
      <c r="A422">
        <f>IF(AND(LEN('Licences'!A422)&gt;0,ISNUMBER('Licences'!J422)),'Licences'!J422+419/100000,"")</f>
        <v/>
      </c>
      <c r="B422">
        <f>IF(AND(LEN('Licences'!A422)&gt;0,ISNUMBER('Licences'!J422)),MAX($B$3:B421)+1,"")</f>
        <v/>
      </c>
      <c r="E422">
        <f>IFERROR(MATCH(419,$B$4:$B$503,0),"")</f>
        <v/>
      </c>
    </row>
    <row r="423">
      <c r="A423">
        <f>IF(AND(LEN('Licences'!A423)&gt;0,ISNUMBER('Licences'!J423)),'Licences'!J423+420/100000,"")</f>
        <v/>
      </c>
      <c r="B423">
        <f>IF(AND(LEN('Licences'!A423)&gt;0,ISNUMBER('Licences'!J423)),MAX($B$3:B422)+1,"")</f>
        <v/>
      </c>
      <c r="E423">
        <f>IFERROR(MATCH(420,$B$4:$B$503,0),"")</f>
        <v/>
      </c>
    </row>
    <row r="424">
      <c r="A424">
        <f>IF(AND(LEN('Licences'!A424)&gt;0,ISNUMBER('Licences'!J424)),'Licences'!J424+421/100000,"")</f>
        <v/>
      </c>
      <c r="B424">
        <f>IF(AND(LEN('Licences'!A424)&gt;0,ISNUMBER('Licences'!J424)),MAX($B$3:B423)+1,"")</f>
        <v/>
      </c>
      <c r="E424">
        <f>IFERROR(MATCH(421,$B$4:$B$503,0),"")</f>
        <v/>
      </c>
    </row>
    <row r="425">
      <c r="A425">
        <f>IF(AND(LEN('Licences'!A425)&gt;0,ISNUMBER('Licences'!J425)),'Licences'!J425+422/100000,"")</f>
        <v/>
      </c>
      <c r="B425">
        <f>IF(AND(LEN('Licences'!A425)&gt;0,ISNUMBER('Licences'!J425)),MAX($B$3:B424)+1,"")</f>
        <v/>
      </c>
      <c r="E425">
        <f>IFERROR(MATCH(422,$B$4:$B$503,0),"")</f>
        <v/>
      </c>
    </row>
    <row r="426">
      <c r="A426">
        <f>IF(AND(LEN('Licences'!A426)&gt;0,ISNUMBER('Licences'!J426)),'Licences'!J426+423/100000,"")</f>
        <v/>
      </c>
      <c r="B426">
        <f>IF(AND(LEN('Licences'!A426)&gt;0,ISNUMBER('Licences'!J426)),MAX($B$3:B425)+1,"")</f>
        <v/>
      </c>
      <c r="E426">
        <f>IFERROR(MATCH(423,$B$4:$B$503,0),"")</f>
        <v/>
      </c>
    </row>
    <row r="427">
      <c r="A427">
        <f>IF(AND(LEN('Licences'!A427)&gt;0,ISNUMBER('Licences'!J427)),'Licences'!J427+424/100000,"")</f>
        <v/>
      </c>
      <c r="B427">
        <f>IF(AND(LEN('Licences'!A427)&gt;0,ISNUMBER('Licences'!J427)),MAX($B$3:B426)+1,"")</f>
        <v/>
      </c>
      <c r="E427">
        <f>IFERROR(MATCH(424,$B$4:$B$503,0),"")</f>
        <v/>
      </c>
    </row>
    <row r="428">
      <c r="A428">
        <f>IF(AND(LEN('Licences'!A428)&gt;0,ISNUMBER('Licences'!J428)),'Licences'!J428+425/100000,"")</f>
        <v/>
      </c>
      <c r="B428">
        <f>IF(AND(LEN('Licences'!A428)&gt;0,ISNUMBER('Licences'!J428)),MAX($B$3:B427)+1,"")</f>
        <v/>
      </c>
      <c r="E428">
        <f>IFERROR(MATCH(425,$B$4:$B$503,0),"")</f>
        <v/>
      </c>
    </row>
    <row r="429">
      <c r="A429">
        <f>IF(AND(LEN('Licences'!A429)&gt;0,ISNUMBER('Licences'!J429)),'Licences'!J429+426/100000,"")</f>
        <v/>
      </c>
      <c r="B429">
        <f>IF(AND(LEN('Licences'!A429)&gt;0,ISNUMBER('Licences'!J429)),MAX($B$3:B428)+1,"")</f>
        <v/>
      </c>
      <c r="E429">
        <f>IFERROR(MATCH(426,$B$4:$B$503,0),"")</f>
        <v/>
      </c>
    </row>
    <row r="430">
      <c r="A430">
        <f>IF(AND(LEN('Licences'!A430)&gt;0,ISNUMBER('Licences'!J430)),'Licences'!J430+427/100000,"")</f>
        <v/>
      </c>
      <c r="B430">
        <f>IF(AND(LEN('Licences'!A430)&gt;0,ISNUMBER('Licences'!J430)),MAX($B$3:B429)+1,"")</f>
        <v/>
      </c>
      <c r="E430">
        <f>IFERROR(MATCH(427,$B$4:$B$503,0),"")</f>
        <v/>
      </c>
    </row>
    <row r="431">
      <c r="A431">
        <f>IF(AND(LEN('Licences'!A431)&gt;0,ISNUMBER('Licences'!J431)),'Licences'!J431+428/100000,"")</f>
        <v/>
      </c>
      <c r="B431">
        <f>IF(AND(LEN('Licences'!A431)&gt;0,ISNUMBER('Licences'!J431)),MAX($B$3:B430)+1,"")</f>
        <v/>
      </c>
      <c r="E431">
        <f>IFERROR(MATCH(428,$B$4:$B$503,0),"")</f>
        <v/>
      </c>
    </row>
    <row r="432">
      <c r="A432">
        <f>IF(AND(LEN('Licences'!A432)&gt;0,ISNUMBER('Licences'!J432)),'Licences'!J432+429/100000,"")</f>
        <v/>
      </c>
      <c r="B432">
        <f>IF(AND(LEN('Licences'!A432)&gt;0,ISNUMBER('Licences'!J432)),MAX($B$3:B431)+1,"")</f>
        <v/>
      </c>
      <c r="E432">
        <f>IFERROR(MATCH(429,$B$4:$B$503,0),"")</f>
        <v/>
      </c>
    </row>
    <row r="433">
      <c r="A433">
        <f>IF(AND(LEN('Licences'!A433)&gt;0,ISNUMBER('Licences'!J433)),'Licences'!J433+430/100000,"")</f>
        <v/>
      </c>
      <c r="B433">
        <f>IF(AND(LEN('Licences'!A433)&gt;0,ISNUMBER('Licences'!J433)),MAX($B$3:B432)+1,"")</f>
        <v/>
      </c>
      <c r="E433">
        <f>IFERROR(MATCH(430,$B$4:$B$503,0),"")</f>
        <v/>
      </c>
    </row>
    <row r="434">
      <c r="A434">
        <f>IF(AND(LEN('Licences'!A434)&gt;0,ISNUMBER('Licences'!J434)),'Licences'!J434+431/100000,"")</f>
        <v/>
      </c>
      <c r="B434">
        <f>IF(AND(LEN('Licences'!A434)&gt;0,ISNUMBER('Licences'!J434)),MAX($B$3:B433)+1,"")</f>
        <v/>
      </c>
      <c r="E434">
        <f>IFERROR(MATCH(431,$B$4:$B$503,0),"")</f>
        <v/>
      </c>
    </row>
    <row r="435">
      <c r="A435">
        <f>IF(AND(LEN('Licences'!A435)&gt;0,ISNUMBER('Licences'!J435)),'Licences'!J435+432/100000,"")</f>
        <v/>
      </c>
      <c r="B435">
        <f>IF(AND(LEN('Licences'!A435)&gt;0,ISNUMBER('Licences'!J435)),MAX($B$3:B434)+1,"")</f>
        <v/>
      </c>
      <c r="E435">
        <f>IFERROR(MATCH(432,$B$4:$B$503,0),"")</f>
        <v/>
      </c>
    </row>
    <row r="436">
      <c r="A436">
        <f>IF(AND(LEN('Licences'!A436)&gt;0,ISNUMBER('Licences'!J436)),'Licences'!J436+433/100000,"")</f>
        <v/>
      </c>
      <c r="B436">
        <f>IF(AND(LEN('Licences'!A436)&gt;0,ISNUMBER('Licences'!J436)),MAX($B$3:B435)+1,"")</f>
        <v/>
      </c>
      <c r="E436">
        <f>IFERROR(MATCH(433,$B$4:$B$503,0),"")</f>
        <v/>
      </c>
    </row>
    <row r="437">
      <c r="A437">
        <f>IF(AND(LEN('Licences'!A437)&gt;0,ISNUMBER('Licences'!J437)),'Licences'!J437+434/100000,"")</f>
        <v/>
      </c>
      <c r="B437">
        <f>IF(AND(LEN('Licences'!A437)&gt;0,ISNUMBER('Licences'!J437)),MAX($B$3:B436)+1,"")</f>
        <v/>
      </c>
      <c r="E437">
        <f>IFERROR(MATCH(434,$B$4:$B$503,0),"")</f>
        <v/>
      </c>
    </row>
    <row r="438">
      <c r="A438">
        <f>IF(AND(LEN('Licences'!A438)&gt;0,ISNUMBER('Licences'!J438)),'Licences'!J438+435/100000,"")</f>
        <v/>
      </c>
      <c r="B438">
        <f>IF(AND(LEN('Licences'!A438)&gt;0,ISNUMBER('Licences'!J438)),MAX($B$3:B437)+1,"")</f>
        <v/>
      </c>
      <c r="E438">
        <f>IFERROR(MATCH(435,$B$4:$B$503,0),"")</f>
        <v/>
      </c>
    </row>
    <row r="439">
      <c r="A439">
        <f>IF(AND(LEN('Licences'!A439)&gt;0,ISNUMBER('Licences'!J439)),'Licences'!J439+436/100000,"")</f>
        <v/>
      </c>
      <c r="B439">
        <f>IF(AND(LEN('Licences'!A439)&gt;0,ISNUMBER('Licences'!J439)),MAX($B$3:B438)+1,"")</f>
        <v/>
      </c>
      <c r="E439">
        <f>IFERROR(MATCH(436,$B$4:$B$503,0),"")</f>
        <v/>
      </c>
    </row>
    <row r="440">
      <c r="A440">
        <f>IF(AND(LEN('Licences'!A440)&gt;0,ISNUMBER('Licences'!J440)),'Licences'!J440+437/100000,"")</f>
        <v/>
      </c>
      <c r="B440">
        <f>IF(AND(LEN('Licences'!A440)&gt;0,ISNUMBER('Licences'!J440)),MAX($B$3:B439)+1,"")</f>
        <v/>
      </c>
      <c r="E440">
        <f>IFERROR(MATCH(437,$B$4:$B$503,0),"")</f>
        <v/>
      </c>
    </row>
    <row r="441">
      <c r="A441">
        <f>IF(AND(LEN('Licences'!A441)&gt;0,ISNUMBER('Licences'!J441)),'Licences'!J441+438/100000,"")</f>
        <v/>
      </c>
      <c r="B441">
        <f>IF(AND(LEN('Licences'!A441)&gt;0,ISNUMBER('Licences'!J441)),MAX($B$3:B440)+1,"")</f>
        <v/>
      </c>
      <c r="E441">
        <f>IFERROR(MATCH(438,$B$4:$B$503,0),"")</f>
        <v/>
      </c>
    </row>
    <row r="442">
      <c r="A442">
        <f>IF(AND(LEN('Licences'!A442)&gt;0,ISNUMBER('Licences'!J442)),'Licences'!J442+439/100000,"")</f>
        <v/>
      </c>
      <c r="B442">
        <f>IF(AND(LEN('Licences'!A442)&gt;0,ISNUMBER('Licences'!J442)),MAX($B$3:B441)+1,"")</f>
        <v/>
      </c>
      <c r="E442">
        <f>IFERROR(MATCH(439,$B$4:$B$503,0),"")</f>
        <v/>
      </c>
    </row>
    <row r="443">
      <c r="A443">
        <f>IF(AND(LEN('Licences'!A443)&gt;0,ISNUMBER('Licences'!J443)),'Licences'!J443+440/100000,"")</f>
        <v/>
      </c>
      <c r="B443">
        <f>IF(AND(LEN('Licences'!A443)&gt;0,ISNUMBER('Licences'!J443)),MAX($B$3:B442)+1,"")</f>
        <v/>
      </c>
      <c r="E443">
        <f>IFERROR(MATCH(440,$B$4:$B$503,0),"")</f>
        <v/>
      </c>
    </row>
    <row r="444">
      <c r="A444">
        <f>IF(AND(LEN('Licences'!A444)&gt;0,ISNUMBER('Licences'!J444)),'Licences'!J444+441/100000,"")</f>
        <v/>
      </c>
      <c r="B444">
        <f>IF(AND(LEN('Licences'!A444)&gt;0,ISNUMBER('Licences'!J444)),MAX($B$3:B443)+1,"")</f>
        <v/>
      </c>
      <c r="E444">
        <f>IFERROR(MATCH(441,$B$4:$B$503,0),"")</f>
        <v/>
      </c>
    </row>
    <row r="445">
      <c r="A445">
        <f>IF(AND(LEN('Licences'!A445)&gt;0,ISNUMBER('Licences'!J445)),'Licences'!J445+442/100000,"")</f>
        <v/>
      </c>
      <c r="B445">
        <f>IF(AND(LEN('Licences'!A445)&gt;0,ISNUMBER('Licences'!J445)),MAX($B$3:B444)+1,"")</f>
        <v/>
      </c>
      <c r="E445">
        <f>IFERROR(MATCH(442,$B$4:$B$503,0),"")</f>
        <v/>
      </c>
    </row>
    <row r="446">
      <c r="A446">
        <f>IF(AND(LEN('Licences'!A446)&gt;0,ISNUMBER('Licences'!J446)),'Licences'!J446+443/100000,"")</f>
        <v/>
      </c>
      <c r="B446">
        <f>IF(AND(LEN('Licences'!A446)&gt;0,ISNUMBER('Licences'!J446)),MAX($B$3:B445)+1,"")</f>
        <v/>
      </c>
      <c r="E446">
        <f>IFERROR(MATCH(443,$B$4:$B$503,0),"")</f>
        <v/>
      </c>
    </row>
    <row r="447">
      <c r="A447">
        <f>IF(AND(LEN('Licences'!A447)&gt;0,ISNUMBER('Licences'!J447)),'Licences'!J447+444/100000,"")</f>
        <v/>
      </c>
      <c r="B447">
        <f>IF(AND(LEN('Licences'!A447)&gt;0,ISNUMBER('Licences'!J447)),MAX($B$3:B446)+1,"")</f>
        <v/>
      </c>
      <c r="E447">
        <f>IFERROR(MATCH(444,$B$4:$B$503,0),"")</f>
        <v/>
      </c>
    </row>
    <row r="448">
      <c r="A448">
        <f>IF(AND(LEN('Licences'!A448)&gt;0,ISNUMBER('Licences'!J448)),'Licences'!J448+445/100000,"")</f>
        <v/>
      </c>
      <c r="B448">
        <f>IF(AND(LEN('Licences'!A448)&gt;0,ISNUMBER('Licences'!J448)),MAX($B$3:B447)+1,"")</f>
        <v/>
      </c>
      <c r="E448">
        <f>IFERROR(MATCH(445,$B$4:$B$503,0),"")</f>
        <v/>
      </c>
    </row>
    <row r="449">
      <c r="A449">
        <f>IF(AND(LEN('Licences'!A449)&gt;0,ISNUMBER('Licences'!J449)),'Licences'!J449+446/100000,"")</f>
        <v/>
      </c>
      <c r="B449">
        <f>IF(AND(LEN('Licences'!A449)&gt;0,ISNUMBER('Licences'!J449)),MAX($B$3:B448)+1,"")</f>
        <v/>
      </c>
      <c r="E449">
        <f>IFERROR(MATCH(446,$B$4:$B$503,0),"")</f>
        <v/>
      </c>
    </row>
    <row r="450">
      <c r="A450">
        <f>IF(AND(LEN('Licences'!A450)&gt;0,ISNUMBER('Licences'!J450)),'Licences'!J450+447/100000,"")</f>
        <v/>
      </c>
      <c r="B450">
        <f>IF(AND(LEN('Licences'!A450)&gt;0,ISNUMBER('Licences'!J450)),MAX($B$3:B449)+1,"")</f>
        <v/>
      </c>
      <c r="E450">
        <f>IFERROR(MATCH(447,$B$4:$B$503,0),"")</f>
        <v/>
      </c>
    </row>
    <row r="451">
      <c r="A451">
        <f>IF(AND(LEN('Licences'!A451)&gt;0,ISNUMBER('Licences'!J451)),'Licences'!J451+448/100000,"")</f>
        <v/>
      </c>
      <c r="B451">
        <f>IF(AND(LEN('Licences'!A451)&gt;0,ISNUMBER('Licences'!J451)),MAX($B$3:B450)+1,"")</f>
        <v/>
      </c>
      <c r="E451">
        <f>IFERROR(MATCH(448,$B$4:$B$503,0),"")</f>
        <v/>
      </c>
    </row>
    <row r="452">
      <c r="A452">
        <f>IF(AND(LEN('Licences'!A452)&gt;0,ISNUMBER('Licences'!J452)),'Licences'!J452+449/100000,"")</f>
        <v/>
      </c>
      <c r="B452">
        <f>IF(AND(LEN('Licences'!A452)&gt;0,ISNUMBER('Licences'!J452)),MAX($B$3:B451)+1,"")</f>
        <v/>
      </c>
      <c r="E452">
        <f>IFERROR(MATCH(449,$B$4:$B$503,0),"")</f>
        <v/>
      </c>
    </row>
    <row r="453">
      <c r="A453">
        <f>IF(AND(LEN('Licences'!A453)&gt;0,ISNUMBER('Licences'!J453)),'Licences'!J453+450/100000,"")</f>
        <v/>
      </c>
      <c r="B453">
        <f>IF(AND(LEN('Licences'!A453)&gt;0,ISNUMBER('Licences'!J453)),MAX($B$3:B452)+1,"")</f>
        <v/>
      </c>
      <c r="E453">
        <f>IFERROR(MATCH(450,$B$4:$B$503,0),"")</f>
        <v/>
      </c>
    </row>
    <row r="454">
      <c r="A454">
        <f>IF(AND(LEN('Licences'!A454)&gt;0,ISNUMBER('Licences'!J454)),'Licences'!J454+451/100000,"")</f>
        <v/>
      </c>
      <c r="B454">
        <f>IF(AND(LEN('Licences'!A454)&gt;0,ISNUMBER('Licences'!J454)),MAX($B$3:B453)+1,"")</f>
        <v/>
      </c>
      <c r="E454">
        <f>IFERROR(MATCH(451,$B$4:$B$503,0),"")</f>
        <v/>
      </c>
    </row>
    <row r="455">
      <c r="A455">
        <f>IF(AND(LEN('Licences'!A455)&gt;0,ISNUMBER('Licences'!J455)),'Licences'!J455+452/100000,"")</f>
        <v/>
      </c>
      <c r="B455">
        <f>IF(AND(LEN('Licences'!A455)&gt;0,ISNUMBER('Licences'!J455)),MAX($B$3:B454)+1,"")</f>
        <v/>
      </c>
      <c r="E455">
        <f>IFERROR(MATCH(452,$B$4:$B$503,0),"")</f>
        <v/>
      </c>
    </row>
    <row r="456">
      <c r="A456">
        <f>IF(AND(LEN('Licences'!A456)&gt;0,ISNUMBER('Licences'!J456)),'Licences'!J456+453/100000,"")</f>
        <v/>
      </c>
      <c r="B456">
        <f>IF(AND(LEN('Licences'!A456)&gt;0,ISNUMBER('Licences'!J456)),MAX($B$3:B455)+1,"")</f>
        <v/>
      </c>
      <c r="E456">
        <f>IFERROR(MATCH(453,$B$4:$B$503,0),"")</f>
        <v/>
      </c>
    </row>
    <row r="457">
      <c r="A457">
        <f>IF(AND(LEN('Licences'!A457)&gt;0,ISNUMBER('Licences'!J457)),'Licences'!J457+454/100000,"")</f>
        <v/>
      </c>
      <c r="B457">
        <f>IF(AND(LEN('Licences'!A457)&gt;0,ISNUMBER('Licences'!J457)),MAX($B$3:B456)+1,"")</f>
        <v/>
      </c>
      <c r="E457">
        <f>IFERROR(MATCH(454,$B$4:$B$503,0),"")</f>
        <v/>
      </c>
    </row>
    <row r="458">
      <c r="A458">
        <f>IF(AND(LEN('Licences'!A458)&gt;0,ISNUMBER('Licences'!J458)),'Licences'!J458+455/100000,"")</f>
        <v/>
      </c>
      <c r="B458">
        <f>IF(AND(LEN('Licences'!A458)&gt;0,ISNUMBER('Licences'!J458)),MAX($B$3:B457)+1,"")</f>
        <v/>
      </c>
      <c r="E458">
        <f>IFERROR(MATCH(455,$B$4:$B$503,0),"")</f>
        <v/>
      </c>
    </row>
    <row r="459">
      <c r="A459">
        <f>IF(AND(LEN('Licences'!A459)&gt;0,ISNUMBER('Licences'!J459)),'Licences'!J459+456/100000,"")</f>
        <v/>
      </c>
      <c r="B459">
        <f>IF(AND(LEN('Licences'!A459)&gt;0,ISNUMBER('Licences'!J459)),MAX($B$3:B458)+1,"")</f>
        <v/>
      </c>
      <c r="E459">
        <f>IFERROR(MATCH(456,$B$4:$B$503,0),"")</f>
        <v/>
      </c>
    </row>
    <row r="460">
      <c r="A460">
        <f>IF(AND(LEN('Licences'!A460)&gt;0,ISNUMBER('Licences'!J460)),'Licences'!J460+457/100000,"")</f>
        <v/>
      </c>
      <c r="B460">
        <f>IF(AND(LEN('Licences'!A460)&gt;0,ISNUMBER('Licences'!J460)),MAX($B$3:B459)+1,"")</f>
        <v/>
      </c>
      <c r="E460">
        <f>IFERROR(MATCH(457,$B$4:$B$503,0),"")</f>
        <v/>
      </c>
    </row>
    <row r="461">
      <c r="A461">
        <f>IF(AND(LEN('Licences'!A461)&gt;0,ISNUMBER('Licences'!J461)),'Licences'!J461+458/100000,"")</f>
        <v/>
      </c>
      <c r="B461">
        <f>IF(AND(LEN('Licences'!A461)&gt;0,ISNUMBER('Licences'!J461)),MAX($B$3:B460)+1,"")</f>
        <v/>
      </c>
      <c r="E461">
        <f>IFERROR(MATCH(458,$B$4:$B$503,0),"")</f>
        <v/>
      </c>
    </row>
    <row r="462">
      <c r="A462">
        <f>IF(AND(LEN('Licences'!A462)&gt;0,ISNUMBER('Licences'!J462)),'Licences'!J462+459/100000,"")</f>
        <v/>
      </c>
      <c r="B462">
        <f>IF(AND(LEN('Licences'!A462)&gt;0,ISNUMBER('Licences'!J462)),MAX($B$3:B461)+1,"")</f>
        <v/>
      </c>
      <c r="E462">
        <f>IFERROR(MATCH(459,$B$4:$B$503,0),"")</f>
        <v/>
      </c>
    </row>
    <row r="463">
      <c r="A463">
        <f>IF(AND(LEN('Licences'!A463)&gt;0,ISNUMBER('Licences'!J463)),'Licences'!J463+460/100000,"")</f>
        <v/>
      </c>
      <c r="B463">
        <f>IF(AND(LEN('Licences'!A463)&gt;0,ISNUMBER('Licences'!J463)),MAX($B$3:B462)+1,"")</f>
        <v/>
      </c>
      <c r="E463">
        <f>IFERROR(MATCH(460,$B$4:$B$503,0),"")</f>
        <v/>
      </c>
    </row>
    <row r="464">
      <c r="A464">
        <f>IF(AND(LEN('Licences'!A464)&gt;0,ISNUMBER('Licences'!J464)),'Licences'!J464+461/100000,"")</f>
        <v/>
      </c>
      <c r="B464">
        <f>IF(AND(LEN('Licences'!A464)&gt;0,ISNUMBER('Licences'!J464)),MAX($B$3:B463)+1,"")</f>
        <v/>
      </c>
      <c r="E464">
        <f>IFERROR(MATCH(461,$B$4:$B$503,0),"")</f>
        <v/>
      </c>
    </row>
    <row r="465">
      <c r="A465">
        <f>IF(AND(LEN('Licences'!A465)&gt;0,ISNUMBER('Licences'!J465)),'Licences'!J465+462/100000,"")</f>
        <v/>
      </c>
      <c r="B465">
        <f>IF(AND(LEN('Licences'!A465)&gt;0,ISNUMBER('Licences'!J465)),MAX($B$3:B464)+1,"")</f>
        <v/>
      </c>
      <c r="E465">
        <f>IFERROR(MATCH(462,$B$4:$B$503,0),"")</f>
        <v/>
      </c>
    </row>
    <row r="466">
      <c r="A466">
        <f>IF(AND(LEN('Licences'!A466)&gt;0,ISNUMBER('Licences'!J466)),'Licences'!J466+463/100000,"")</f>
        <v/>
      </c>
      <c r="B466">
        <f>IF(AND(LEN('Licences'!A466)&gt;0,ISNUMBER('Licences'!J466)),MAX($B$3:B465)+1,"")</f>
        <v/>
      </c>
      <c r="E466">
        <f>IFERROR(MATCH(463,$B$4:$B$503,0),"")</f>
        <v/>
      </c>
    </row>
    <row r="467">
      <c r="A467">
        <f>IF(AND(LEN('Licences'!A467)&gt;0,ISNUMBER('Licences'!J467)),'Licences'!J467+464/100000,"")</f>
        <v/>
      </c>
      <c r="B467">
        <f>IF(AND(LEN('Licences'!A467)&gt;0,ISNUMBER('Licences'!J467)),MAX($B$3:B466)+1,"")</f>
        <v/>
      </c>
      <c r="E467">
        <f>IFERROR(MATCH(464,$B$4:$B$503,0),"")</f>
        <v/>
      </c>
    </row>
    <row r="468">
      <c r="A468">
        <f>IF(AND(LEN('Licences'!A468)&gt;0,ISNUMBER('Licences'!J468)),'Licences'!J468+465/100000,"")</f>
        <v/>
      </c>
      <c r="B468">
        <f>IF(AND(LEN('Licences'!A468)&gt;0,ISNUMBER('Licences'!J468)),MAX($B$3:B467)+1,"")</f>
        <v/>
      </c>
      <c r="E468">
        <f>IFERROR(MATCH(465,$B$4:$B$503,0),"")</f>
        <v/>
      </c>
    </row>
    <row r="469">
      <c r="A469">
        <f>IF(AND(LEN('Licences'!A469)&gt;0,ISNUMBER('Licences'!J469)),'Licences'!J469+466/100000,"")</f>
        <v/>
      </c>
      <c r="B469">
        <f>IF(AND(LEN('Licences'!A469)&gt;0,ISNUMBER('Licences'!J469)),MAX($B$3:B468)+1,"")</f>
        <v/>
      </c>
      <c r="E469">
        <f>IFERROR(MATCH(466,$B$4:$B$503,0),"")</f>
        <v/>
      </c>
    </row>
    <row r="470">
      <c r="A470">
        <f>IF(AND(LEN('Licences'!A470)&gt;0,ISNUMBER('Licences'!J470)),'Licences'!J470+467/100000,"")</f>
        <v/>
      </c>
      <c r="B470">
        <f>IF(AND(LEN('Licences'!A470)&gt;0,ISNUMBER('Licences'!J470)),MAX($B$3:B469)+1,"")</f>
        <v/>
      </c>
      <c r="E470">
        <f>IFERROR(MATCH(467,$B$4:$B$503,0),"")</f>
        <v/>
      </c>
    </row>
    <row r="471">
      <c r="A471">
        <f>IF(AND(LEN('Licences'!A471)&gt;0,ISNUMBER('Licences'!J471)),'Licences'!J471+468/100000,"")</f>
        <v/>
      </c>
      <c r="B471">
        <f>IF(AND(LEN('Licences'!A471)&gt;0,ISNUMBER('Licences'!J471)),MAX($B$3:B470)+1,"")</f>
        <v/>
      </c>
      <c r="E471">
        <f>IFERROR(MATCH(468,$B$4:$B$503,0),"")</f>
        <v/>
      </c>
    </row>
    <row r="472">
      <c r="A472">
        <f>IF(AND(LEN('Licences'!A472)&gt;0,ISNUMBER('Licences'!J472)),'Licences'!J472+469/100000,"")</f>
        <v/>
      </c>
      <c r="B472">
        <f>IF(AND(LEN('Licences'!A472)&gt;0,ISNUMBER('Licences'!J472)),MAX($B$3:B471)+1,"")</f>
        <v/>
      </c>
      <c r="E472">
        <f>IFERROR(MATCH(469,$B$4:$B$503,0),"")</f>
        <v/>
      </c>
    </row>
    <row r="473">
      <c r="A473">
        <f>IF(AND(LEN('Licences'!A473)&gt;0,ISNUMBER('Licences'!J473)),'Licences'!J473+470/100000,"")</f>
        <v/>
      </c>
      <c r="B473">
        <f>IF(AND(LEN('Licences'!A473)&gt;0,ISNUMBER('Licences'!J473)),MAX($B$3:B472)+1,"")</f>
        <v/>
      </c>
      <c r="E473">
        <f>IFERROR(MATCH(470,$B$4:$B$503,0),"")</f>
        <v/>
      </c>
    </row>
    <row r="474">
      <c r="A474">
        <f>IF(AND(LEN('Licences'!A474)&gt;0,ISNUMBER('Licences'!J474)),'Licences'!J474+471/100000,"")</f>
        <v/>
      </c>
      <c r="B474">
        <f>IF(AND(LEN('Licences'!A474)&gt;0,ISNUMBER('Licences'!J474)),MAX($B$3:B473)+1,"")</f>
        <v/>
      </c>
      <c r="E474">
        <f>IFERROR(MATCH(471,$B$4:$B$503,0),"")</f>
        <v/>
      </c>
    </row>
    <row r="475">
      <c r="A475">
        <f>IF(AND(LEN('Licences'!A475)&gt;0,ISNUMBER('Licences'!J475)),'Licences'!J475+472/100000,"")</f>
        <v/>
      </c>
      <c r="B475">
        <f>IF(AND(LEN('Licences'!A475)&gt;0,ISNUMBER('Licences'!J475)),MAX($B$3:B474)+1,"")</f>
        <v/>
      </c>
      <c r="E475">
        <f>IFERROR(MATCH(472,$B$4:$B$503,0),"")</f>
        <v/>
      </c>
    </row>
    <row r="476">
      <c r="A476">
        <f>IF(AND(LEN('Licences'!A476)&gt;0,ISNUMBER('Licences'!J476)),'Licences'!J476+473/100000,"")</f>
        <v/>
      </c>
      <c r="B476">
        <f>IF(AND(LEN('Licences'!A476)&gt;0,ISNUMBER('Licences'!J476)),MAX($B$3:B475)+1,"")</f>
        <v/>
      </c>
      <c r="E476">
        <f>IFERROR(MATCH(473,$B$4:$B$503,0),"")</f>
        <v/>
      </c>
    </row>
    <row r="477">
      <c r="A477">
        <f>IF(AND(LEN('Licences'!A477)&gt;0,ISNUMBER('Licences'!J477)),'Licences'!J477+474/100000,"")</f>
        <v/>
      </c>
      <c r="B477">
        <f>IF(AND(LEN('Licences'!A477)&gt;0,ISNUMBER('Licences'!J477)),MAX($B$3:B476)+1,"")</f>
        <v/>
      </c>
      <c r="E477">
        <f>IFERROR(MATCH(474,$B$4:$B$503,0),"")</f>
        <v/>
      </c>
    </row>
    <row r="478">
      <c r="A478">
        <f>IF(AND(LEN('Licences'!A478)&gt;0,ISNUMBER('Licences'!J478)),'Licences'!J478+475/100000,"")</f>
        <v/>
      </c>
      <c r="B478">
        <f>IF(AND(LEN('Licences'!A478)&gt;0,ISNUMBER('Licences'!J478)),MAX($B$3:B477)+1,"")</f>
        <v/>
      </c>
      <c r="E478">
        <f>IFERROR(MATCH(475,$B$4:$B$503,0),"")</f>
        <v/>
      </c>
    </row>
    <row r="479">
      <c r="A479">
        <f>IF(AND(LEN('Licences'!A479)&gt;0,ISNUMBER('Licences'!J479)),'Licences'!J479+476/100000,"")</f>
        <v/>
      </c>
      <c r="B479">
        <f>IF(AND(LEN('Licences'!A479)&gt;0,ISNUMBER('Licences'!J479)),MAX($B$3:B478)+1,"")</f>
        <v/>
      </c>
      <c r="E479">
        <f>IFERROR(MATCH(476,$B$4:$B$503,0),"")</f>
        <v/>
      </c>
    </row>
    <row r="480">
      <c r="A480">
        <f>IF(AND(LEN('Licences'!A480)&gt;0,ISNUMBER('Licences'!J480)),'Licences'!J480+477/100000,"")</f>
        <v/>
      </c>
      <c r="B480">
        <f>IF(AND(LEN('Licences'!A480)&gt;0,ISNUMBER('Licences'!J480)),MAX($B$3:B479)+1,"")</f>
        <v/>
      </c>
      <c r="E480">
        <f>IFERROR(MATCH(477,$B$4:$B$503,0),"")</f>
        <v/>
      </c>
    </row>
    <row r="481">
      <c r="A481">
        <f>IF(AND(LEN('Licences'!A481)&gt;0,ISNUMBER('Licences'!J481)),'Licences'!J481+478/100000,"")</f>
        <v/>
      </c>
      <c r="B481">
        <f>IF(AND(LEN('Licences'!A481)&gt;0,ISNUMBER('Licences'!J481)),MAX($B$3:B480)+1,"")</f>
        <v/>
      </c>
      <c r="E481">
        <f>IFERROR(MATCH(478,$B$4:$B$503,0),"")</f>
        <v/>
      </c>
    </row>
    <row r="482">
      <c r="A482">
        <f>IF(AND(LEN('Licences'!A482)&gt;0,ISNUMBER('Licences'!J482)),'Licences'!J482+479/100000,"")</f>
        <v/>
      </c>
      <c r="B482">
        <f>IF(AND(LEN('Licences'!A482)&gt;0,ISNUMBER('Licences'!J482)),MAX($B$3:B481)+1,"")</f>
        <v/>
      </c>
      <c r="E482">
        <f>IFERROR(MATCH(479,$B$4:$B$503,0),"")</f>
        <v/>
      </c>
    </row>
    <row r="483">
      <c r="A483">
        <f>IF(AND(LEN('Licences'!A483)&gt;0,ISNUMBER('Licences'!J483)),'Licences'!J483+480/100000,"")</f>
        <v/>
      </c>
      <c r="B483">
        <f>IF(AND(LEN('Licences'!A483)&gt;0,ISNUMBER('Licences'!J483)),MAX($B$3:B482)+1,"")</f>
        <v/>
      </c>
      <c r="E483">
        <f>IFERROR(MATCH(480,$B$4:$B$503,0),"")</f>
        <v/>
      </c>
    </row>
    <row r="484">
      <c r="A484">
        <f>IF(AND(LEN('Licences'!A484)&gt;0,ISNUMBER('Licences'!J484)),'Licences'!J484+481/100000,"")</f>
        <v/>
      </c>
      <c r="B484">
        <f>IF(AND(LEN('Licences'!A484)&gt;0,ISNUMBER('Licences'!J484)),MAX($B$3:B483)+1,"")</f>
        <v/>
      </c>
      <c r="E484">
        <f>IFERROR(MATCH(481,$B$4:$B$503,0),"")</f>
        <v/>
      </c>
    </row>
    <row r="485">
      <c r="A485">
        <f>IF(AND(LEN('Licences'!A485)&gt;0,ISNUMBER('Licences'!J485)),'Licences'!J485+482/100000,"")</f>
        <v/>
      </c>
      <c r="B485">
        <f>IF(AND(LEN('Licences'!A485)&gt;0,ISNUMBER('Licences'!J485)),MAX($B$3:B484)+1,"")</f>
        <v/>
      </c>
      <c r="E485">
        <f>IFERROR(MATCH(482,$B$4:$B$503,0),"")</f>
        <v/>
      </c>
    </row>
    <row r="486">
      <c r="A486">
        <f>IF(AND(LEN('Licences'!A486)&gt;0,ISNUMBER('Licences'!J486)),'Licences'!J486+483/100000,"")</f>
        <v/>
      </c>
      <c r="B486">
        <f>IF(AND(LEN('Licences'!A486)&gt;0,ISNUMBER('Licences'!J486)),MAX($B$3:B485)+1,"")</f>
        <v/>
      </c>
      <c r="E486">
        <f>IFERROR(MATCH(483,$B$4:$B$503,0),"")</f>
        <v/>
      </c>
    </row>
    <row r="487">
      <c r="A487">
        <f>IF(AND(LEN('Licences'!A487)&gt;0,ISNUMBER('Licences'!J487)),'Licences'!J487+484/100000,"")</f>
        <v/>
      </c>
      <c r="B487">
        <f>IF(AND(LEN('Licences'!A487)&gt;0,ISNUMBER('Licences'!J487)),MAX($B$3:B486)+1,"")</f>
        <v/>
      </c>
      <c r="E487">
        <f>IFERROR(MATCH(484,$B$4:$B$503,0),"")</f>
        <v/>
      </c>
    </row>
    <row r="488">
      <c r="A488">
        <f>IF(AND(LEN('Licences'!A488)&gt;0,ISNUMBER('Licences'!J488)),'Licences'!J488+485/100000,"")</f>
        <v/>
      </c>
      <c r="B488">
        <f>IF(AND(LEN('Licences'!A488)&gt;0,ISNUMBER('Licences'!J488)),MAX($B$3:B487)+1,"")</f>
        <v/>
      </c>
      <c r="E488">
        <f>IFERROR(MATCH(485,$B$4:$B$503,0),"")</f>
        <v/>
      </c>
    </row>
    <row r="489">
      <c r="A489">
        <f>IF(AND(LEN('Licences'!A489)&gt;0,ISNUMBER('Licences'!J489)),'Licences'!J489+486/100000,"")</f>
        <v/>
      </c>
      <c r="B489">
        <f>IF(AND(LEN('Licences'!A489)&gt;0,ISNUMBER('Licences'!J489)),MAX($B$3:B488)+1,"")</f>
        <v/>
      </c>
      <c r="E489">
        <f>IFERROR(MATCH(486,$B$4:$B$503,0),"")</f>
        <v/>
      </c>
    </row>
    <row r="490">
      <c r="A490">
        <f>IF(AND(LEN('Licences'!A490)&gt;0,ISNUMBER('Licences'!J490)),'Licences'!J490+487/100000,"")</f>
        <v/>
      </c>
      <c r="B490">
        <f>IF(AND(LEN('Licences'!A490)&gt;0,ISNUMBER('Licences'!J490)),MAX($B$3:B489)+1,"")</f>
        <v/>
      </c>
      <c r="E490">
        <f>IFERROR(MATCH(487,$B$4:$B$503,0),"")</f>
        <v/>
      </c>
    </row>
    <row r="491">
      <c r="A491">
        <f>IF(AND(LEN('Licences'!A491)&gt;0,ISNUMBER('Licences'!J491)),'Licences'!J491+488/100000,"")</f>
        <v/>
      </c>
      <c r="B491">
        <f>IF(AND(LEN('Licences'!A491)&gt;0,ISNUMBER('Licences'!J491)),MAX($B$3:B490)+1,"")</f>
        <v/>
      </c>
      <c r="E491">
        <f>IFERROR(MATCH(488,$B$4:$B$503,0),"")</f>
        <v/>
      </c>
    </row>
    <row r="492">
      <c r="A492">
        <f>IF(AND(LEN('Licences'!A492)&gt;0,ISNUMBER('Licences'!J492)),'Licences'!J492+489/100000,"")</f>
        <v/>
      </c>
      <c r="B492">
        <f>IF(AND(LEN('Licences'!A492)&gt;0,ISNUMBER('Licences'!J492)),MAX($B$3:B491)+1,"")</f>
        <v/>
      </c>
      <c r="E492">
        <f>IFERROR(MATCH(489,$B$4:$B$503,0),"")</f>
        <v/>
      </c>
    </row>
    <row r="493">
      <c r="A493">
        <f>IF(AND(LEN('Licences'!A493)&gt;0,ISNUMBER('Licences'!J493)),'Licences'!J493+490/100000,"")</f>
        <v/>
      </c>
      <c r="B493">
        <f>IF(AND(LEN('Licences'!A493)&gt;0,ISNUMBER('Licences'!J493)),MAX($B$3:B492)+1,"")</f>
        <v/>
      </c>
      <c r="E493">
        <f>IFERROR(MATCH(490,$B$4:$B$503,0),"")</f>
        <v/>
      </c>
    </row>
    <row r="494">
      <c r="A494">
        <f>IF(AND(LEN('Licences'!A494)&gt;0,ISNUMBER('Licences'!J494)),'Licences'!J494+491/100000,"")</f>
        <v/>
      </c>
      <c r="B494">
        <f>IF(AND(LEN('Licences'!A494)&gt;0,ISNUMBER('Licences'!J494)),MAX($B$3:B493)+1,"")</f>
        <v/>
      </c>
      <c r="E494">
        <f>IFERROR(MATCH(491,$B$4:$B$503,0),"")</f>
        <v/>
      </c>
    </row>
    <row r="495">
      <c r="A495">
        <f>IF(AND(LEN('Licences'!A495)&gt;0,ISNUMBER('Licences'!J495)),'Licences'!J495+492/100000,"")</f>
        <v/>
      </c>
      <c r="B495">
        <f>IF(AND(LEN('Licences'!A495)&gt;0,ISNUMBER('Licences'!J495)),MAX($B$3:B494)+1,"")</f>
        <v/>
      </c>
      <c r="E495">
        <f>IFERROR(MATCH(492,$B$4:$B$503,0),"")</f>
        <v/>
      </c>
    </row>
    <row r="496">
      <c r="A496">
        <f>IF(AND(LEN('Licences'!A496)&gt;0,ISNUMBER('Licences'!J496)),'Licences'!J496+493/100000,"")</f>
        <v/>
      </c>
      <c r="B496">
        <f>IF(AND(LEN('Licences'!A496)&gt;0,ISNUMBER('Licences'!J496)),MAX($B$3:B495)+1,"")</f>
        <v/>
      </c>
      <c r="E496">
        <f>IFERROR(MATCH(493,$B$4:$B$503,0),"")</f>
        <v/>
      </c>
    </row>
    <row r="497">
      <c r="A497">
        <f>IF(AND(LEN('Licences'!A497)&gt;0,ISNUMBER('Licences'!J497)),'Licences'!J497+494/100000,"")</f>
        <v/>
      </c>
      <c r="B497">
        <f>IF(AND(LEN('Licences'!A497)&gt;0,ISNUMBER('Licences'!J497)),MAX($B$3:B496)+1,"")</f>
        <v/>
      </c>
      <c r="E497">
        <f>IFERROR(MATCH(494,$B$4:$B$503,0),"")</f>
        <v/>
      </c>
    </row>
    <row r="498">
      <c r="A498">
        <f>IF(AND(LEN('Licences'!A498)&gt;0,ISNUMBER('Licences'!J498)),'Licences'!J498+495/100000,"")</f>
        <v/>
      </c>
      <c r="B498">
        <f>IF(AND(LEN('Licences'!A498)&gt;0,ISNUMBER('Licences'!J498)),MAX($B$3:B497)+1,"")</f>
        <v/>
      </c>
      <c r="E498">
        <f>IFERROR(MATCH(495,$B$4:$B$503,0),"")</f>
        <v/>
      </c>
    </row>
    <row r="499">
      <c r="A499">
        <f>IF(AND(LEN('Licences'!A499)&gt;0,ISNUMBER('Licences'!J499)),'Licences'!J499+496/100000,"")</f>
        <v/>
      </c>
      <c r="B499">
        <f>IF(AND(LEN('Licences'!A499)&gt;0,ISNUMBER('Licences'!J499)),MAX($B$3:B498)+1,"")</f>
        <v/>
      </c>
      <c r="E499">
        <f>IFERROR(MATCH(496,$B$4:$B$503,0),"")</f>
        <v/>
      </c>
    </row>
    <row r="500">
      <c r="A500">
        <f>IF(AND(LEN('Licences'!A500)&gt;0,ISNUMBER('Licences'!J500)),'Licences'!J500+497/100000,"")</f>
        <v/>
      </c>
      <c r="B500">
        <f>IF(AND(LEN('Licences'!A500)&gt;0,ISNUMBER('Licences'!J500)),MAX($B$3:B499)+1,"")</f>
        <v/>
      </c>
      <c r="E500">
        <f>IFERROR(MATCH(497,$B$4:$B$503,0),"")</f>
        <v/>
      </c>
    </row>
    <row r="501">
      <c r="A501">
        <f>IF(AND(LEN('Licences'!A501)&gt;0,ISNUMBER('Licences'!J501)),'Licences'!J501+498/100000,"")</f>
        <v/>
      </c>
      <c r="B501">
        <f>IF(AND(LEN('Licences'!A501)&gt;0,ISNUMBER('Licences'!J501)),MAX($B$3:B500)+1,"")</f>
        <v/>
      </c>
      <c r="E501">
        <f>IFERROR(MATCH(498,$B$4:$B$503,0),"")</f>
        <v/>
      </c>
    </row>
    <row r="502">
      <c r="A502">
        <f>IF(AND(LEN('Licences'!A502)&gt;0,ISNUMBER('Licences'!J502)),'Licences'!J502+499/100000,"")</f>
        <v/>
      </c>
      <c r="B502">
        <f>IF(AND(LEN('Licences'!A502)&gt;0,ISNUMBER('Licences'!J502)),MAX($B$3:B501)+1,"")</f>
        <v/>
      </c>
      <c r="E502">
        <f>IFERROR(MATCH(499,$B$4:$B$503,0),"")</f>
        <v/>
      </c>
    </row>
    <row r="503">
      <c r="A503">
        <f>IF(AND(LEN('Licences'!A503)&gt;0,ISNUMBER('Licences'!J503)),'Licences'!J503+500/100000,"")</f>
        <v/>
      </c>
      <c r="B503">
        <f>IF(AND(LEN('Licences'!A503)&gt;0,ISNUMBER('Licences'!J503)),MAX($B$3:B502)+1,"")</f>
        <v/>
      </c>
      <c r="E503">
        <f>IFERROR(MATCH(500,$B$4:$B$503,0),"")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ExpiryEdge</Company>
</Properties>
</file>

<file path=docProps/core.xml><?xml version="1.0" encoding="utf-8"?>
<cp:coreProperties xmlns:cp="http://schemas.openxmlformats.org/package/2006/metadata/core-properties">
  <dc:creator xmlns:dc="http://purl.org/dc/elements/1.1/">ExpiryEdge</dc:creator>
  <dc:title xmlns:dc="http://purl.org/dc/elements/1.1/">Licence &amp; permit expiry tracker (free template)</dc:title>
  <dc:description xmlns:dc="http://purl.org/dc/elements/1.1/">Free template from expiryedge.com/templates/. September 2026 edition.</dc:description>
  <dc:subject xmlns:dc="http://purl.org/dc/elements/1.1/">Every business licence, permit and registration in one list, with a renew-by date for each.</dc:subject>
  <dcterms:created xmlns:dcterms="http://purl.org/dc/terms/" xmlns:xsi="http://www.w3.org/2001/XMLSchema-instance" xsi:type="dcterms:W3CDTF">2026-09-28T09:00:00Z</dcterms:created>
  <dcterms:modified xmlns:dcterms="http://purl.org/dc/terms/" xmlns:xsi="http://www.w3.org/2001/XMLSchema-instance" xsi:type="dcterms:W3CDTF">2026-09-28T09:00:00Z</dcterms:modified>
  <cp:lastModifiedBy>ExpiryEdge</cp:lastModifiedBy>
  <cp:keywords>expiry tracker, renewal tracker, template, ExpiryEdge</cp:keywords>
</cp:coreProperties>
</file>