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ecks" sheetId="2" state="visible" r:id="rId2"/>
    <sheet xmlns:r="http://schemas.openxmlformats.org/officeDocument/2006/relationships" name="Propertie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Import to ExpiryEdge" sheetId="5" state="visible" r:id="rId5"/>
    <sheet xmlns:r="http://schemas.openxmlformats.org/officeDocument/2006/relationships" name="Lists" sheetId="6" state="visible" r:id="rId6"/>
    <sheet xmlns:r="http://schemas.openxmlformats.org/officeDocument/2006/relationships" name="_calc" sheetId="7" state="hidden" r:id="rId7"/>
  </sheets>
  <definedNames>
    <definedName name="_xlnm.Print_Area" localSheetId="0">'Start here'!$A$1:$C$51</definedName>
    <definedName name="_xlnm.Print_Area" localSheetId="1">OFFSET('Checks'!$A$1,0,0,MAX(4,COUNTA('Checks'!$A$1:$A$503)),16)</definedName>
    <definedName name="_xlnm.Print_Titles" localSheetId="1">'Checks'!$3:$3</definedName>
    <definedName name="_xlnm.Print_Area" localSheetId="2">OFFSET('Properties'!$A$1,0,0,MAX(5,COUNTA('Properties'!$A$1:$A$154)+1),11)</definedName>
    <definedName name="_xlnm.Print_Titles" localSheetId="2">'Properties'!$4:$4</definedName>
    <definedName name="_xlnm.Print_Area" localSheetId="3">'Dashboard'!$A$1:$H$27</definedName>
    <definedName name="_xlnm.Print_Area" localSheetId="4">OFFSET('Import to ExpiryEdge'!$A$1,0,0,MAX(2,COUNTIF('Import to ExpiryEdge'!$A$1:$A$501,"?*")),11)</definedName>
    <definedName name="_xlnm.Print_Titles" localSheetId="4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21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color rgb="005F675C"/>
      <sz val="9"/>
    </font>
    <font>
      <name val="Arial"/>
      <b val="1"/>
      <color rgb="001F2A24"/>
      <sz val="10"/>
    </font>
    <font>
      <name val="Arial"/>
      <b val="1"/>
      <color rgb="001F2A24"/>
      <sz val="15"/>
    </font>
    <font>
      <name val="Arial"/>
      <color rgb="000E6B4F"/>
      <sz val="10"/>
      <u val="single"/>
    </font>
    <font>
      <name val="Arial"/>
      <b val="1"/>
      <color rgb="00FFFFFF"/>
      <sz val="9"/>
    </font>
    <font>
      <name val="Arial"/>
      <color rgb="001F2A24"/>
      <sz val="9"/>
    </font>
    <font>
      <name val="Arial"/>
      <b val="1"/>
      <color rgb="001F2A24"/>
      <sz val="16"/>
    </font>
    <font>
      <name val="Arial"/>
      <b val="1"/>
      <color rgb="001F2A24"/>
      <sz val="12"/>
    </font>
    <font>
      <name val="Arial"/>
      <b val="1"/>
      <color rgb="00B03A21"/>
      <sz val="10"/>
    </font>
    <font>
      <name val="Arial"/>
      <b val="1"/>
      <color rgb="001F2A24"/>
      <sz val="11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434B45"/>
      <sz val="10"/>
    </font>
    <font>
      <name val="Arial"/>
      <color rgb="000E6B4F"/>
      <sz val="9"/>
      <u val="single"/>
    </font>
  </fonts>
  <fills count="9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FEF7E7"/>
        <bgColor rgb="00FEF7E7"/>
      </patternFill>
    </fill>
    <fill>
      <patternFill patternType="solid">
        <fgColor rgb="00D8F0DC"/>
        <bgColor rgb="00D8F0DC"/>
      </patternFill>
    </fill>
  </fills>
  <borders count="5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  <border>
      <right style="hair">
        <color rgb="00E0E2DA"/>
      </right>
      <bottom style="hair">
        <color rgb="00E0E2DA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6" fillId="0" borderId="0" pivotButton="0" quotePrefix="0" xfId="0"/>
    <xf numFmtId="0" fontId="17" fillId="0" borderId="0" pivotButton="0" quotePrefix="0" xfId="0"/>
    <xf numFmtId="0" fontId="3" fillId="0" borderId="0" pivotButton="0" quotePrefix="0" xfId="0"/>
    <xf numFmtId="0" fontId="18" fillId="0" borderId="0" pivotButton="0" quotePrefix="0" xfId="0"/>
    <xf numFmtId="0" fontId="4" fillId="0" borderId="0" applyAlignment="1" pivotButton="0" quotePrefix="0" xfId="0">
      <alignment vertical="top" wrapText="1"/>
    </xf>
    <xf numFmtId="0" fontId="19" fillId="0" borderId="0" applyAlignment="1" pivotButton="0" quotePrefix="0" xfId="0">
      <alignment vertical="top" wrapText="1"/>
    </xf>
    <xf numFmtId="0" fontId="11" fillId="5" borderId="0" pivotButton="0" quotePrefix="0" xfId="0"/>
    <xf numFmtId="0" fontId="19" fillId="0" borderId="0" pivotButton="0" quotePrefix="0" xfId="0"/>
    <xf numFmtId="0" fontId="13" fillId="6" borderId="0" pivotButton="0" quotePrefix="0" xfId="0"/>
    <xf numFmtId="0" fontId="13" fillId="7" borderId="0" pivotButton="0" quotePrefix="0" xfId="0"/>
    <xf numFmtId="0" fontId="14" fillId="8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4" fillId="0" borderId="3" applyAlignment="1" pivotButton="0" quotePrefix="0" xfId="0">
      <alignment vertical="top" wrapText="1"/>
    </xf>
    <xf numFmtId="0" fontId="19" fillId="0" borderId="3" applyAlignment="1" pivotButton="0" quotePrefix="0" xfId="0">
      <alignment vertical="top" wrapText="1"/>
    </xf>
    <xf numFmtId="0" fontId="4" fillId="4" borderId="3" applyAlignment="1" pivotButton="0" quotePrefix="0" xfId="0">
      <alignment vertical="top" wrapText="1"/>
    </xf>
    <xf numFmtId="0" fontId="20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165" fontId="2" fillId="0" borderId="2" applyAlignment="1" pivotButton="0" quotePrefix="0" xfId="0">
      <alignment horizontal="left"/>
    </xf>
    <xf numFmtId="1" fontId="2" fillId="0" borderId="2" applyAlignment="1" pivotButton="0" quotePrefix="0" xfId="0">
      <alignment horizontal="right"/>
    </xf>
    <xf numFmtId="165" fontId="2" fillId="4" borderId="2" applyAlignment="1" pivotButton="0" quotePrefix="0" xfId="0">
      <alignment horizontal="left"/>
    </xf>
    <xf numFmtId="1" fontId="2" fillId="4" borderId="2" applyAlignment="1" pivotButton="0" quotePrefix="0" xfId="0">
      <alignment horizontal="right"/>
    </xf>
    <xf numFmtId="0" fontId="4" fillId="4" borderId="2" pivotButton="0" quotePrefix="0" xfId="0"/>
    <xf numFmtId="0" fontId="6" fillId="4" borderId="2" pivotButton="0" quotePrefix="0" xfId="0"/>
    <xf numFmtId="0" fontId="1" fillId="2" borderId="0" applyAlignment="1" pivotButton="0" quotePrefix="0" xfId="0">
      <alignment vertical="center"/>
    </xf>
    <xf numFmtId="0" fontId="7" fillId="2" borderId="0" applyAlignment="1" pivotButton="0" quotePrefix="0" xfId="0">
      <alignment horizontal="center" vertical="center" wrapText="1"/>
    </xf>
    <xf numFmtId="0" fontId="4" fillId="0" borderId="3" pivotButton="0" quotePrefix="0" xfId="0"/>
    <xf numFmtId="165" fontId="8" fillId="0" borderId="4" applyAlignment="1" pivotButton="0" quotePrefix="0" xfId="0">
      <alignment horizontal="center"/>
    </xf>
    <xf numFmtId="0" fontId="9" fillId="0" borderId="0" pivotButton="0" quotePrefix="0" xfId="0"/>
    <xf numFmtId="165" fontId="3" fillId="0" borderId="0" applyAlignment="1" pivotButton="0" quotePrefix="0" xfId="0">
      <alignment horizontal="left"/>
    </xf>
    <xf numFmtId="0" fontId="1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11" fillId="5" borderId="3" pivotButton="0" quotePrefix="0" xfId="0"/>
    <xf numFmtId="1" fontId="12" fillId="0" borderId="3" pivotButton="0" quotePrefix="0" xfId="0"/>
    <xf numFmtId="0" fontId="13" fillId="6" borderId="3" pivotButton="0" quotePrefix="0" xfId="0"/>
    <xf numFmtId="0" fontId="13" fillId="7" borderId="3" pivotButton="0" quotePrefix="0" xfId="0"/>
    <xf numFmtId="0" fontId="14" fillId="8" borderId="3" pivotButton="0" quotePrefix="0" xfId="0"/>
    <xf numFmtId="0" fontId="15" fillId="0" borderId="3" applyAlignment="1" pivotButton="0" quotePrefix="0" xfId="0">
      <alignment horizontal="center"/>
    </xf>
    <xf numFmtId="0" fontId="2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Address or a short name, spelled the same way on every row (the overview matches on it). (Required for import.)</t>
      </text>
    </comment>
    <comment ref="B3" authorId="0" shapeId="0">
      <text>
        <t>Pick from the list so the overview and guide links work. (Required for import.)</t>
      </text>
    </comment>
    <comment ref="C3" authorId="0" shapeId="0">
      <text>
        <t>Date of the inspection or certificate.</t>
      </text>
    </comment>
    <comment ref="D3" authorId="0" shapeId="0">
      <text>
        <t>The next-due or expiry date written on the certificate itself. Some reports set an earlier date than the usual maximum, so copy it from the document. (Required for import.)</t>
      </text>
    </comment>
    <comment ref="E3" authorId="0" shapeId="0">
      <text>
        <t>How many days before the date you want to start acting. Leave blank for 30.</t>
      </text>
    </comment>
    <comment ref="F3" authorId="0" shapeId="0">
      <text>
        <t>Calculated. Next due minus lead time: book the contractor before this.</t>
      </text>
    </comment>
    <comment ref="G3" authorId="0" shapeId="0">
      <text>
        <t>Calculated. Days until the date; negative once it has passed.</t>
      </text>
    </comment>
    <comment ref="H3" authorId="0" shapeId="0">
      <text>
        <t>Calculated. Expired, Due ≤30 days, Due ≤90 days or OK.</t>
      </text>
    </comment>
    <comment ref="I3" authorId="0" shapeId="0">
      <text>
        <t>Who did it, with their registration number if relevant.</t>
      </text>
    </comment>
    <comment ref="J3" authorId="0" shapeId="0">
      <text>
        <t>Serial or report number.</t>
      </text>
    </comment>
    <comment ref="K3" authorId="0" shapeId="0">
      <text>
        <t>When the tenant received a copy, if one is required. Keep the evidence.</t>
      </text>
    </comment>
    <comment ref="L3" authorId="0" shapeId="0">
      <text>
        <t>Low, Medium or High. Matches the ExpiryEdge priority field.</t>
      </text>
    </comment>
    <comment ref="M3" authorId="0" shapeId="0">
      <text>
        <t>Who should be reminded. Becomes notification_email on import.</t>
      </text>
    </comment>
    <comment ref="N3" authorId="0" shapeId="0">
      <text>
        <t>Link to the certificate PDF.</t>
      </text>
    </comment>
    <comment ref="O3" authorId="0" shapeId="0">
      <text>
        <t>Calculated. Link to our free guide for that check, with official sources.</t>
      </text>
    </comment>
    <comment ref="P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tracker. Only rows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Checks" displayName="tblChecks" ref="A3:P503" headerRowCount="1">
  <autoFilter ref="A3:P503"/>
  <tableColumns count="16">
    <tableColumn id="1" name="Property"/>
    <tableColumn id="2" name="Check / certificate"/>
    <tableColumn id="3" name="Last done / issued"/>
    <tableColumn id="4" name="Expiry / next due"/>
    <tableColumn id="5" name="Lead time (days)"/>
    <tableColumn id="6" name="Book-by date"/>
    <tableColumn id="7" name="Days left"/>
    <tableColumn id="8" name="Status"/>
    <tableColumn id="9" name="Contractor / inspector"/>
    <tableColumn id="10" name="Certificate ref"/>
    <tableColumn id="11" name="Copy to tenant on"/>
    <tableColumn id="12" name="Priority"/>
    <tableColumn id="13" name="Owner email"/>
    <tableColumn id="14" name="Certificate link"/>
    <tableColumn id="15" name="Validity guide"/>
    <tableColumn id="16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piryedge.com/templates/landlord-compliance-tracke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51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Landlord property compliance tracker (UK)</t>
        </is>
      </c>
    </row>
    <row r="3">
      <c r="B3" s="2" t="inlineStr">
        <is>
          <t>Gas safety, EICR, EPC, alarms and licences for every property you let, with a book-by date for each check.</t>
        </is>
      </c>
    </row>
    <row r="4">
      <c r="B4" s="3" t="inlineStr">
        <is>
          <t>Free template · September 2026 edition · works in Excel, Google Sheets and LibreOffice</t>
        </is>
      </c>
    </row>
    <row r="6">
      <c r="B6" s="4" t="inlineStr">
        <is>
          <t>How to use it</t>
        </is>
      </c>
    </row>
    <row r="7" ht="18" customHeight="1">
      <c r="B7" s="5" t="inlineStr">
        <is>
          <t>1. Clear the examples</t>
        </is>
      </c>
      <c r="C7" s="6" t="inlineStr">
        <is>
          <t>Rows on the "Checks" sheet that start with "Example –" are samples. Delete them, or type over them.</t>
        </is>
      </c>
    </row>
    <row r="8" ht="33" customHeight="1">
      <c r="B8" s="5" t="inlineStr">
        <is>
          <t>2. Add your own rows</t>
        </is>
      </c>
      <c r="C8" s="6" t="inlineStr">
        <is>
          <t>Type in the white columns. The date is the one that matters: copy it from the document itself. Shaded columns calculate the days left, the status and the date to act by.</t>
        </is>
      </c>
    </row>
    <row r="9" ht="33" customHeight="1">
      <c r="B9" s="5" t="inlineStr">
        <is>
          <t>3. Check it weekly</t>
        </is>
      </c>
      <c r="C9" s="6" t="inlineStr">
        <is>
          <t>Open the Dashboard sheet: it counts what has expired or is due soon and lists the next 10 dates. Filter the status column to see only what needs action.</t>
        </is>
      </c>
    </row>
    <row r="11">
      <c r="B11" s="4" t="inlineStr">
        <is>
          <t>Colour key</t>
        </is>
      </c>
    </row>
    <row r="12">
      <c r="B12" s="7" t="inlineStr">
        <is>
          <t>Expired</t>
        </is>
      </c>
      <c r="C12" s="8" t="inlineStr">
        <is>
          <t>The date has passed.</t>
        </is>
      </c>
    </row>
    <row r="13">
      <c r="B13" s="9" t="inlineStr">
        <is>
          <t>Due ≤30 days</t>
        </is>
      </c>
      <c r="C13" s="8" t="inlineStr">
        <is>
          <t>Due within 30 days. Act now.</t>
        </is>
      </c>
    </row>
    <row r="14">
      <c r="B14" s="10" t="inlineStr">
        <is>
          <t>Due ≤90 days</t>
        </is>
      </c>
      <c r="C14" s="8" t="inlineStr">
        <is>
          <t>Due within 90 days. Plan it.</t>
        </is>
      </c>
    </row>
    <row r="15">
      <c r="B15" s="11" t="inlineStr">
        <is>
          <t>OK</t>
        </is>
      </c>
      <c r="C15" s="8" t="inlineStr">
        <is>
          <t>More than 90 days away.</t>
        </is>
      </c>
    </row>
    <row r="16">
      <c r="B16" s="12" t="inlineStr">
        <is>
          <t>Calculated column</t>
        </is>
      </c>
      <c r="C16" s="8" t="inlineStr">
        <is>
          <t>Dark header and shaded cells: filled in by formula, no need to type.</t>
        </is>
      </c>
    </row>
    <row r="17">
      <c r="B17" s="13" t="inlineStr">
        <is>
          <t>Your input</t>
        </is>
      </c>
      <c r="C17" s="8" t="inlineStr">
        <is>
          <t>Green header: type here. Hover a header to see what it expects.</t>
        </is>
      </c>
    </row>
    <row r="19">
      <c r="B19" s="4" t="inlineStr">
        <is>
          <t>Columns on "Checks"</t>
        </is>
      </c>
    </row>
    <row r="20">
      <c r="B20" s="13" t="inlineStr">
        <is>
          <t>Column</t>
        </is>
      </c>
      <c r="C20" s="13" t="inlineStr">
        <is>
          <t>What to enter</t>
        </is>
      </c>
    </row>
    <row r="21" ht="18" customHeight="1">
      <c r="B21" s="14" t="inlineStr">
        <is>
          <t>Property *</t>
        </is>
      </c>
      <c r="C21" s="15" t="inlineStr">
        <is>
          <t>Address or a short name, spelled the same way on every row (the overview matches on it).</t>
        </is>
      </c>
    </row>
    <row r="22" ht="18" customHeight="1">
      <c r="B22" s="14" t="inlineStr">
        <is>
          <t>Check / certificate *</t>
        </is>
      </c>
      <c r="C22" s="15" t="inlineStr">
        <is>
          <t>Pick from the list so the overview and guide links work.</t>
        </is>
      </c>
    </row>
    <row r="23" ht="18" customHeight="1">
      <c r="B23" s="14" t="inlineStr">
        <is>
          <t>Last done / issued</t>
        </is>
      </c>
      <c r="C23" s="15" t="inlineStr">
        <is>
          <t>Date of the inspection or certificate.</t>
        </is>
      </c>
    </row>
    <row r="24" ht="33" customHeight="1">
      <c r="B24" s="14" t="inlineStr">
        <is>
          <t>Expiry / next due *</t>
        </is>
      </c>
      <c r="C24" s="15" t="inlineStr">
        <is>
          <t>The next-due or expiry date written on the certificate itself. Some reports set an earlier date than the usual maximum, so copy it from the document.</t>
        </is>
      </c>
    </row>
    <row r="25" ht="18" customHeight="1">
      <c r="B25" s="14" t="inlineStr">
        <is>
          <t>Lead time (days)</t>
        </is>
      </c>
      <c r="C25" s="15" t="inlineStr">
        <is>
          <t>How many days before the date you want to start acting. Leave blank for 30.</t>
        </is>
      </c>
    </row>
    <row r="26" ht="18" customHeight="1">
      <c r="B26" s="16" t="inlineStr">
        <is>
          <t>Book-by date</t>
        </is>
      </c>
      <c r="C26" s="15" t="inlineStr">
        <is>
          <t>Calculated. Next due minus lead time: book the contractor before this.</t>
        </is>
      </c>
    </row>
    <row r="27" ht="18" customHeight="1">
      <c r="B27" s="16" t="inlineStr">
        <is>
          <t>Days left</t>
        </is>
      </c>
      <c r="C27" s="15" t="inlineStr">
        <is>
          <t>Calculated. Days until the date; negative once it has passed.</t>
        </is>
      </c>
    </row>
    <row r="28" ht="18" customHeight="1">
      <c r="B28" s="16" t="inlineStr">
        <is>
          <t>Status</t>
        </is>
      </c>
      <c r="C28" s="15" t="inlineStr">
        <is>
          <t>Calculated. Expired, Due ≤30 days, Due ≤90 days or OK.</t>
        </is>
      </c>
    </row>
    <row r="29" ht="18" customHeight="1">
      <c r="B29" s="14" t="inlineStr">
        <is>
          <t>Contractor / inspector</t>
        </is>
      </c>
      <c r="C29" s="15" t="inlineStr">
        <is>
          <t>Who did it, with their registration number if relevant.</t>
        </is>
      </c>
    </row>
    <row r="30" ht="18" customHeight="1">
      <c r="B30" s="14" t="inlineStr">
        <is>
          <t>Certificate ref</t>
        </is>
      </c>
      <c r="C30" s="15" t="inlineStr">
        <is>
          <t>Serial or report number.</t>
        </is>
      </c>
    </row>
    <row r="31" ht="18" customHeight="1">
      <c r="B31" s="14" t="inlineStr">
        <is>
          <t>Copy to tenant on</t>
        </is>
      </c>
      <c r="C31" s="15" t="inlineStr">
        <is>
          <t>When the tenant received a copy, if one is required. Keep the evidence.</t>
        </is>
      </c>
    </row>
    <row r="32" ht="18" customHeight="1">
      <c r="B32" s="14" t="inlineStr">
        <is>
          <t>Priority</t>
        </is>
      </c>
      <c r="C32" s="15" t="inlineStr">
        <is>
          <t>Low, Medium or High. Matches the ExpiryEdge priority field.</t>
        </is>
      </c>
    </row>
    <row r="33" ht="18" customHeight="1">
      <c r="B33" s="14" t="inlineStr">
        <is>
          <t>Owner email</t>
        </is>
      </c>
      <c r="C33" s="15" t="inlineStr">
        <is>
          <t>Who should be reminded. Becomes notification_email on import.</t>
        </is>
      </c>
    </row>
    <row r="34" ht="18" customHeight="1">
      <c r="B34" s="14" t="inlineStr">
        <is>
          <t>Certificate link</t>
        </is>
      </c>
      <c r="C34" s="15" t="inlineStr">
        <is>
          <t>Link to the certificate PDF.</t>
        </is>
      </c>
    </row>
    <row r="35" ht="18" customHeight="1">
      <c r="B35" s="16" t="inlineStr">
        <is>
          <t>Validity guide</t>
        </is>
      </c>
      <c r="C35" s="15" t="inlineStr">
        <is>
          <t>Calculated. Link to our free guide for that check, with official sources.</t>
        </is>
      </c>
    </row>
    <row r="36" ht="18" customHeight="1">
      <c r="B36" s="14" t="inlineStr">
        <is>
          <t>Notes</t>
        </is>
      </c>
      <c r="C36" s="15" t="inlineStr">
        <is>
          <t>Anything the next person needs to know.</t>
        </is>
      </c>
    </row>
    <row r="37">
      <c r="B37" s="3" t="inlineStr">
        <is>
          <t>* needed for the import sheet.</t>
        </is>
      </c>
    </row>
    <row r="39">
      <c r="B39" s="4" t="inlineStr">
        <is>
          <t>Other sheets</t>
        </is>
      </c>
    </row>
    <row r="40" ht="48" customHeight="1">
      <c r="B40" s="5" t="inlineStr">
        <is>
          <t>Properties</t>
        </is>
      </c>
      <c r="C40" s="6" t="inlineStr">
        <is>
          <t>Type each property once in column A (same spelling as the Checks sheet). Each cell shows the latest next-due date recorded for that check. Blank means nothing recorded, which may be fine (not every property needs every check) or may be a gap.</t>
        </is>
      </c>
    </row>
    <row r="41" ht="18" customHeight="1">
      <c r="B41" s="5" t="inlineStr">
        <is>
          <t>Dashboard</t>
        </is>
      </c>
      <c r="C41" s="6" t="inlineStr">
        <is>
          <t>Counts by status and the next 10 dates, always as of today.</t>
        </is>
      </c>
    </row>
    <row r="42" ht="48" customHeight="1">
      <c r="B42" s="5" t="inlineStr">
        <is>
          <t>Import to ExpiryEdge</t>
        </is>
      </c>
      <c r="C42" s="6" t="inlineStr">
        <is>
          <t>The same rows laid out in the ExpiryEdge bulk-import columns (name, expiry_date, type, ...). If you ever move this list into ExpiryEdge, upload this file in Bulk Import and pick this sheet, or save the sheet as CSV. It fills itself; you never need to edit it.</t>
        </is>
      </c>
    </row>
    <row r="43" ht="18" customHeight="1">
      <c r="B43" s="5" t="inlineStr">
        <is>
          <t>Lists</t>
        </is>
      </c>
      <c r="C43" s="6" t="inlineStr">
        <is>
          <t>The options behind the dropdowns. Add your own there.</t>
        </is>
      </c>
    </row>
    <row r="45">
      <c r="B45" s="4" t="inlineStr">
        <is>
          <t>Good to know</t>
        </is>
      </c>
    </row>
    <row r="46">
      <c r="B46" s="8" t="inlineStr">
        <is>
          <t>·  Formulas are filled down for 500 rows. Need more? Copy the last row down.</t>
        </is>
      </c>
    </row>
    <row r="47">
      <c r="B47" s="8" t="inlineStr">
        <is>
          <t>·  Dates must be real dates, not text. If a status says "Check date", retype that date.</t>
        </is>
      </c>
    </row>
    <row r="48">
      <c r="B48" s="8" t="inlineStr">
        <is>
          <t>·  The file only changes when someone opens it. It cannot send reminders on its own.</t>
        </is>
      </c>
    </row>
    <row r="49">
      <c r="B49" s="8" t="inlineStr">
        <is>
          <t>·  This is a free template, not legal advice. Check dates and requirements against the official source for your situation.</t>
        </is>
      </c>
    </row>
    <row r="51">
      <c r="B51" s="17" t="inlineStr">
        <is>
          <t>Made by ExpiryEdge · expiryedge.com</t>
        </is>
      </c>
    </row>
  </sheetData>
  <hyperlinks>
    <hyperlink xmlns:r="http://schemas.openxmlformats.org/officeDocument/2006/relationships" ref="B51" r:id="rId1"/>
  </hyperlinks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P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6" customWidth="1" min="2" max="2"/>
    <col width="13" customWidth="1" min="3" max="3"/>
    <col width="13" customWidth="1" min="4" max="4"/>
    <col width="11" customWidth="1" min="5" max="5"/>
    <col width="13" customWidth="1" min="6" max="6"/>
    <col width="10" customWidth="1" min="7" max="7"/>
    <col width="14" customWidth="1" min="8" max="8"/>
    <col width="22" customWidth="1" min="9" max="9"/>
    <col width="14" customWidth="1" min="10" max="10"/>
    <col width="13" customWidth="1" min="11" max="11"/>
    <col width="10" customWidth="1" min="12" max="12"/>
    <col width="26" customWidth="1" min="13" max="13"/>
    <col width="26" customWidth="1" min="14" max="14"/>
    <col width="14" customWidth="1" min="15" max="15"/>
    <col width="36" customWidth="1" min="16" max="16"/>
  </cols>
  <sheetData>
    <row r="1" ht="24" customHeight="1">
      <c r="A1" s="18" t="inlineStr">
        <is>
          <t>Property compliance checks (one row per property per check)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Property</t>
        </is>
      </c>
      <c r="B3" s="19" t="inlineStr">
        <is>
          <t>Check / certificate</t>
        </is>
      </c>
      <c r="C3" s="19" t="inlineStr">
        <is>
          <t>Last done / issued</t>
        </is>
      </c>
      <c r="D3" s="19" t="inlineStr">
        <is>
          <t>Expiry / next due</t>
        </is>
      </c>
      <c r="E3" s="19" t="inlineStr">
        <is>
          <t>Lead time (days)</t>
        </is>
      </c>
      <c r="F3" s="20" t="inlineStr">
        <is>
          <t>Book-by date</t>
        </is>
      </c>
      <c r="G3" s="20" t="inlineStr">
        <is>
          <t>Days left</t>
        </is>
      </c>
      <c r="H3" s="20" t="inlineStr">
        <is>
          <t>Status</t>
        </is>
      </c>
      <c r="I3" s="19" t="inlineStr">
        <is>
          <t>Contractor / inspector</t>
        </is>
      </c>
      <c r="J3" s="19" t="inlineStr">
        <is>
          <t>Certificate ref</t>
        </is>
      </c>
      <c r="K3" s="19" t="inlineStr">
        <is>
          <t>Copy to tenant on</t>
        </is>
      </c>
      <c r="L3" s="19" t="inlineStr">
        <is>
          <t>Priority</t>
        </is>
      </c>
      <c r="M3" s="19" t="inlineStr">
        <is>
          <t>Owner email</t>
        </is>
      </c>
      <c r="N3" s="19" t="inlineStr">
        <is>
          <t>Certificate link</t>
        </is>
      </c>
      <c r="O3" s="20" t="inlineStr">
        <is>
          <t>Validity guide</t>
        </is>
      </c>
      <c r="P3" s="19" t="inlineStr">
        <is>
          <t>Notes</t>
        </is>
      </c>
    </row>
    <row r="4">
      <c r="A4" s="21" t="inlineStr">
        <is>
          <t>Example – 12 Sample Street</t>
        </is>
      </c>
      <c r="B4" s="21" t="inlineStr">
        <is>
          <t>Gas safety record</t>
        </is>
      </c>
      <c r="C4" s="22" t="n">
        <v>45936</v>
      </c>
      <c r="D4" s="22" t="n">
        <v>46300</v>
      </c>
      <c r="E4" s="23" t="n">
        <v>30</v>
      </c>
      <c r="F4" s="24">
        <f>IF(ISNUMBER(D4),D4-IF(ISNUMBER(E4),E4,30),"")</f>
        <v/>
      </c>
      <c r="G4" s="25">
        <f>IF(D4="","",IF(ISNUMBER(D4),D4-TODAY(),"Check date"))</f>
        <v/>
      </c>
      <c r="H4" s="26">
        <f>IF(G4="","",IF(ISNUMBER(G4),IF(G4&lt;0,"Expired",IF(G4&lt;=30,"Due ≤30 days",IF(G4&lt;=90,"Due ≤90 days","OK"))),"Check date"))</f>
        <v/>
      </c>
      <c r="I4" s="21" t="inlineStr">
        <is>
          <t>Example Heating (Gas Safe reg. 000000)</t>
        </is>
      </c>
      <c r="J4" s="21" t="inlineStr">
        <is>
          <t>GS-0001</t>
        </is>
      </c>
      <c r="K4" s="22" t="n">
        <v>45938</v>
      </c>
      <c r="L4" s="21" t="inlineStr">
        <is>
          <t>High</t>
        </is>
      </c>
      <c r="M4" s="21" t="inlineStr">
        <is>
          <t>lettings@example.com</t>
        </is>
      </c>
      <c r="N4" s="21" t="n"/>
      <c r="O4" s="27">
        <f>IF(B4="","",IFERROR(IF(VLOOKUP(B4,Lists!$A$2:$B$12,2,FALSE)="","",HYPERLINK(VLOOKUP(B4,Lists!$A$2:$B$12,2,FALSE),"How long valid?")),""))</f>
        <v/>
      </c>
      <c r="P4" s="21" t="n"/>
    </row>
    <row r="5">
      <c r="A5" s="21" t="inlineStr">
        <is>
          <t>Example – 12 Sample Street</t>
        </is>
      </c>
      <c r="B5" s="21" t="inlineStr">
        <is>
          <t>EICR (electrical)</t>
        </is>
      </c>
      <c r="C5" s="22" t="n">
        <v>44518</v>
      </c>
      <c r="D5" s="22" t="n">
        <v>46343</v>
      </c>
      <c r="E5" s="23" t="n">
        <v>60</v>
      </c>
      <c r="F5" s="24">
        <f>IF(ISNUMBER(D5),D5-IF(ISNUMBER(E5),E5,30),"")</f>
        <v/>
      </c>
      <c r="G5" s="25">
        <f>IF(D5="","",IF(ISNUMBER(D5),D5-TODAY(),"Check date"))</f>
        <v/>
      </c>
      <c r="H5" s="26">
        <f>IF(G5="","",IF(ISNUMBER(G5),IF(G5&lt;0,"Expired",IF(G5&lt;=30,"Due ≤30 days",IF(G5&lt;=90,"Due ≤90 days","OK"))),"Check date"))</f>
        <v/>
      </c>
      <c r="I5" s="21" t="inlineStr">
        <is>
          <t>Example Electrical</t>
        </is>
      </c>
      <c r="J5" s="21" t="inlineStr">
        <is>
          <t>EICR-0002</t>
        </is>
      </c>
      <c r="K5" s="22" t="n">
        <v>44520</v>
      </c>
      <c r="L5" s="21" t="inlineStr">
        <is>
          <t>High</t>
        </is>
      </c>
      <c r="M5" s="21" t="inlineStr">
        <is>
          <t>lettings@example.com</t>
        </is>
      </c>
      <c r="N5" s="21" t="n"/>
      <c r="O5" s="27">
        <f>IF(B5="","",IFERROR(IF(VLOOKUP(B5,Lists!$A$2:$B$12,2,FALSE)="","",HYPERLINK(VLOOKUP(B5,Lists!$A$2:$B$12,2,FALSE),"How long valid?")),""))</f>
        <v/>
      </c>
      <c r="P5" s="21" t="n"/>
    </row>
    <row r="6">
      <c r="A6" s="21" t="inlineStr">
        <is>
          <t>Example – 12 Sample Street</t>
        </is>
      </c>
      <c r="B6" s="21" t="inlineStr">
        <is>
          <t>EPC</t>
        </is>
      </c>
      <c r="C6" s="22" t="n">
        <v>42767</v>
      </c>
      <c r="D6" s="22" t="n">
        <v>46418</v>
      </c>
      <c r="E6" s="23" t="n">
        <v>90</v>
      </c>
      <c r="F6" s="24">
        <f>IF(ISNUMBER(D6),D6-IF(ISNUMBER(E6),E6,30),"")</f>
        <v/>
      </c>
      <c r="G6" s="25">
        <f>IF(D6="","",IF(ISNUMBER(D6),D6-TODAY(),"Check date"))</f>
        <v/>
      </c>
      <c r="H6" s="26">
        <f>IF(G6="","",IF(ISNUMBER(G6),IF(G6&lt;0,"Expired",IF(G6&lt;=30,"Due ≤30 days",IF(G6&lt;=90,"Due ≤90 days","OK"))),"Check date"))</f>
        <v/>
      </c>
      <c r="I6" s="21" t="inlineStr">
        <is>
          <t>Example Energy Assessor</t>
        </is>
      </c>
      <c r="J6" s="21" t="inlineStr">
        <is>
          <t>EPC-0003</t>
        </is>
      </c>
      <c r="K6" s="22" t="n">
        <v>42767</v>
      </c>
      <c r="L6" s="21" t="inlineStr">
        <is>
          <t>Medium</t>
        </is>
      </c>
      <c r="M6" s="21" t="inlineStr">
        <is>
          <t>lettings@example.com</t>
        </is>
      </c>
      <c r="N6" s="21" t="n"/>
      <c r="O6" s="27">
        <f>IF(B6="","",IFERROR(IF(VLOOKUP(B6,Lists!$A$2:$B$12,2,FALSE)="","",HYPERLINK(VLOOKUP(B6,Lists!$A$2:$B$12,2,FALSE),"How long valid?")),""))</f>
        <v/>
      </c>
      <c r="P6" s="21" t="n"/>
    </row>
    <row r="7">
      <c r="A7" s="21" t="inlineStr">
        <is>
          <t>Example – 12 Sample Street</t>
        </is>
      </c>
      <c r="B7" s="21" t="inlineStr">
        <is>
          <t>Smoke &amp; CO alarm check</t>
        </is>
      </c>
      <c r="C7" s="22" t="n">
        <v>45901</v>
      </c>
      <c r="D7" s="22" t="n">
        <v>46266</v>
      </c>
      <c r="E7" s="23" t="n">
        <v>7</v>
      </c>
      <c r="F7" s="24">
        <f>IF(ISNUMBER(D7),D7-IF(ISNUMBER(E7),E7,30),"")</f>
        <v/>
      </c>
      <c r="G7" s="25">
        <f>IF(D7="","",IF(ISNUMBER(D7),D7-TODAY(),"Check date"))</f>
        <v/>
      </c>
      <c r="H7" s="26">
        <f>IF(G7="","",IF(ISNUMBER(G7),IF(G7&lt;0,"Expired",IF(G7&lt;=30,"Due ≤30 days",IF(G7&lt;=90,"Due ≤90 days","OK"))),"Check date"))</f>
        <v/>
      </c>
      <c r="I7" s="21" t="inlineStr">
        <is>
          <t>Landlord</t>
        </is>
      </c>
      <c r="J7" s="21" t="n"/>
      <c r="K7" s="22" t="n"/>
      <c r="L7" s="21" t="inlineStr">
        <is>
          <t>High</t>
        </is>
      </c>
      <c r="M7" s="21" t="inlineStr">
        <is>
          <t>lettings@example.com</t>
        </is>
      </c>
      <c r="N7" s="21" t="n"/>
      <c r="O7" s="27">
        <f>IF(B7="","",IFERROR(IF(VLOOKUP(B7,Lists!$A$2:$B$12,2,FALSE)="","",HYPERLINK(VLOOKUP(B7,Lists!$A$2:$B$12,2,FALSE),"How long valid?")),""))</f>
        <v/>
      </c>
      <c r="P7" s="21" t="n"/>
    </row>
    <row r="8">
      <c r="A8" s="21" t="inlineStr">
        <is>
          <t>Example – Flat 2, 4 Example Road</t>
        </is>
      </c>
      <c r="B8" s="21" t="inlineStr">
        <is>
          <t>Gas safety record</t>
        </is>
      </c>
      <c r="C8" s="22" t="n">
        <v>46091</v>
      </c>
      <c r="D8" s="22" t="n">
        <v>46455</v>
      </c>
      <c r="E8" s="23" t="n">
        <v>30</v>
      </c>
      <c r="F8" s="24">
        <f>IF(ISNUMBER(D8),D8-IF(ISNUMBER(E8),E8,30),"")</f>
        <v/>
      </c>
      <c r="G8" s="25">
        <f>IF(D8="","",IF(ISNUMBER(D8),D8-TODAY(),"Check date"))</f>
        <v/>
      </c>
      <c r="H8" s="26">
        <f>IF(G8="","",IF(ISNUMBER(G8),IF(G8&lt;0,"Expired",IF(G8&lt;=30,"Due ≤30 days",IF(G8&lt;=90,"Due ≤90 days","OK"))),"Check date"))</f>
        <v/>
      </c>
      <c r="I8" s="21" t="inlineStr">
        <is>
          <t>Example Heating (Gas Safe reg. 000000)</t>
        </is>
      </c>
      <c r="J8" s="21" t="inlineStr">
        <is>
          <t>GS-0004</t>
        </is>
      </c>
      <c r="K8" s="22" t="n">
        <v>46092</v>
      </c>
      <c r="L8" s="21" t="inlineStr">
        <is>
          <t>High</t>
        </is>
      </c>
      <c r="M8" s="21" t="inlineStr">
        <is>
          <t>lettings@example.com</t>
        </is>
      </c>
      <c r="N8" s="21" t="n"/>
      <c r="O8" s="27">
        <f>IF(B8="","",IFERROR(IF(VLOOKUP(B8,Lists!$A$2:$B$12,2,FALSE)="","",HYPERLINK(VLOOKUP(B8,Lists!$A$2:$B$12,2,FALSE),"How long valid?")),""))</f>
        <v/>
      </c>
      <c r="P8" s="21" t="n"/>
    </row>
    <row r="9">
      <c r="A9" s="21" t="inlineStr">
        <is>
          <t>Example – Flat 2, 4 Example Road</t>
        </is>
      </c>
      <c r="B9" s="21" t="inlineStr">
        <is>
          <t>EICR (electrical)</t>
        </is>
      </c>
      <c r="C9" s="22" t="n">
        <v>45432</v>
      </c>
      <c r="D9" s="22" t="n">
        <v>47257</v>
      </c>
      <c r="E9" s="23" t="n">
        <v>60</v>
      </c>
      <c r="F9" s="24">
        <f>IF(ISNUMBER(D9),D9-IF(ISNUMBER(E9),E9,30),"")</f>
        <v/>
      </c>
      <c r="G9" s="25">
        <f>IF(D9="","",IF(ISNUMBER(D9),D9-TODAY(),"Check date"))</f>
        <v/>
      </c>
      <c r="H9" s="26">
        <f>IF(G9="","",IF(ISNUMBER(G9),IF(G9&lt;0,"Expired",IF(G9&lt;=30,"Due ≤30 days",IF(G9&lt;=90,"Due ≤90 days","OK"))),"Check date"))</f>
        <v/>
      </c>
      <c r="I9" s="21" t="inlineStr">
        <is>
          <t>Example Electrical</t>
        </is>
      </c>
      <c r="J9" s="21" t="inlineStr">
        <is>
          <t>EICR-0005</t>
        </is>
      </c>
      <c r="K9" s="22" t="n">
        <v>45434</v>
      </c>
      <c r="L9" s="21" t="inlineStr">
        <is>
          <t>High</t>
        </is>
      </c>
      <c r="M9" s="21" t="inlineStr">
        <is>
          <t>lettings@example.com</t>
        </is>
      </c>
      <c r="N9" s="21" t="n"/>
      <c r="O9" s="27">
        <f>IF(B9="","",IFERROR(IF(VLOOKUP(B9,Lists!$A$2:$B$12,2,FALSE)="","",HYPERLINK(VLOOKUP(B9,Lists!$A$2:$B$12,2,FALSE),"How long valid?")),""))</f>
        <v/>
      </c>
      <c r="P9" s="21" t="n"/>
    </row>
    <row r="10">
      <c r="A10" s="21" t="inlineStr">
        <is>
          <t>Example – 7 Placeholder Lane (HMO)</t>
        </is>
      </c>
      <c r="B10" s="21" t="inlineStr">
        <is>
          <t>HMO licence</t>
        </is>
      </c>
      <c r="C10" s="22" t="n">
        <v>44571</v>
      </c>
      <c r="D10" s="22" t="n">
        <v>46396</v>
      </c>
      <c r="E10" s="23" t="n">
        <v>120</v>
      </c>
      <c r="F10" s="24">
        <f>IF(ISNUMBER(D10),D10-IF(ISNUMBER(E10),E10,30),"")</f>
        <v/>
      </c>
      <c r="G10" s="25">
        <f>IF(D10="","",IF(ISNUMBER(D10),D10-TODAY(),"Check date"))</f>
        <v/>
      </c>
      <c r="H10" s="26">
        <f>IF(G10="","",IF(ISNUMBER(G10),IF(G10&lt;0,"Expired",IF(G10&lt;=30,"Due ≤30 days",IF(G10&lt;=90,"Due ≤90 days","OK"))),"Check date"))</f>
        <v/>
      </c>
      <c r="I10" s="21" t="inlineStr">
        <is>
          <t>Example Council</t>
        </is>
      </c>
      <c r="J10" s="21" t="inlineStr">
        <is>
          <t>HMO-0006</t>
        </is>
      </c>
      <c r="K10" s="22" t="n"/>
      <c r="L10" s="21" t="inlineStr">
        <is>
          <t>High</t>
        </is>
      </c>
      <c r="M10" s="21" t="inlineStr">
        <is>
          <t>lettings@example.com</t>
        </is>
      </c>
      <c r="N10" s="21" t="n"/>
      <c r="O10" s="27">
        <f>IF(B10="","",IFERROR(IF(VLOOKUP(B10,Lists!$A$2:$B$12,2,FALSE)="","",HYPERLINK(VLOOKUP(B10,Lists!$A$2:$B$12,2,FALSE),"How long valid?")),""))</f>
        <v/>
      </c>
      <c r="P10" s="21" t="n"/>
    </row>
    <row r="11">
      <c r="A11" s="21" t="inlineStr">
        <is>
          <t>Example – 7 Placeholder Lane (HMO)</t>
        </is>
      </c>
      <c r="B11" s="21" t="inlineStr">
        <is>
          <t>Fire risk assessment</t>
        </is>
      </c>
      <c r="C11" s="22" t="n">
        <v>45992</v>
      </c>
      <c r="D11" s="22" t="n">
        <v>46357</v>
      </c>
      <c r="E11" s="23" t="n">
        <v>45</v>
      </c>
      <c r="F11" s="24">
        <f>IF(ISNUMBER(D11),D11-IF(ISNUMBER(E11),E11,30),"")</f>
        <v/>
      </c>
      <c r="G11" s="25">
        <f>IF(D11="","",IF(ISNUMBER(D11),D11-TODAY(),"Check date"))</f>
        <v/>
      </c>
      <c r="H11" s="26">
        <f>IF(G11="","",IF(ISNUMBER(G11),IF(G11&lt;0,"Expired",IF(G11&lt;=30,"Due ≤30 days",IF(G11&lt;=90,"Due ≤90 days","OK"))),"Check date"))</f>
        <v/>
      </c>
      <c r="I11" s="21" t="inlineStr">
        <is>
          <t>Example Fire Safety</t>
        </is>
      </c>
      <c r="J11" s="21" t="inlineStr">
        <is>
          <t>FRA-0007</t>
        </is>
      </c>
      <c r="K11" s="22" t="n"/>
      <c r="L11" s="21" t="inlineStr">
        <is>
          <t>Medium</t>
        </is>
      </c>
      <c r="M11" s="21" t="inlineStr">
        <is>
          <t>lettings@example.com</t>
        </is>
      </c>
      <c r="N11" s="21" t="n"/>
      <c r="O11" s="27">
        <f>IF(B11="","",IFERROR(IF(VLOOKUP(B11,Lists!$A$2:$B$12,2,FALSE)="","",HYPERLINK(VLOOKUP(B11,Lists!$A$2:$B$12,2,FALSE),"How long valid?")),""))</f>
        <v/>
      </c>
      <c r="P11" s="21" t="n"/>
    </row>
    <row r="12">
      <c r="A12" s="21" t="n"/>
      <c r="B12" s="21" t="n"/>
      <c r="C12" s="22" t="n"/>
      <c r="D12" s="22" t="n"/>
      <c r="E12" s="23" t="n"/>
      <c r="F12" s="24">
        <f>IF(ISNUMBER(D12),D12-IF(ISNUMBER(E12),E12,30),"")</f>
        <v/>
      </c>
      <c r="G12" s="25">
        <f>IF(D12="","",IF(ISNUMBER(D12),D12-TODAY(),"Check date"))</f>
        <v/>
      </c>
      <c r="H12" s="26">
        <f>IF(G12="","",IF(ISNUMBER(G12),IF(G12&lt;0,"Expired",IF(G12&lt;=30,"Due ≤30 days",IF(G12&lt;=90,"Due ≤90 days","OK"))),"Check date"))</f>
        <v/>
      </c>
      <c r="I12" s="21" t="n"/>
      <c r="J12" s="21" t="n"/>
      <c r="K12" s="22" t="n"/>
      <c r="L12" s="21" t="n"/>
      <c r="M12" s="21" t="n"/>
      <c r="N12" s="21" t="n"/>
      <c r="O12" s="27">
        <f>IF(B12="","",IFERROR(IF(VLOOKUP(B12,Lists!$A$2:$B$12,2,FALSE)="","",HYPERLINK(VLOOKUP(B12,Lists!$A$2:$B$12,2,FALSE),"How long valid?")),""))</f>
        <v/>
      </c>
      <c r="P12" s="21" t="n"/>
    </row>
    <row r="13">
      <c r="A13" s="21" t="n"/>
      <c r="B13" s="21" t="n"/>
      <c r="C13" s="22" t="n"/>
      <c r="D13" s="22" t="n"/>
      <c r="E13" s="23" t="n"/>
      <c r="F13" s="24">
        <f>IF(ISNUMBER(D13),D13-IF(ISNUMBER(E13),E13,30),"")</f>
        <v/>
      </c>
      <c r="G13" s="25">
        <f>IF(D13="","",IF(ISNUMBER(D13),D13-TODAY(),"Check date"))</f>
        <v/>
      </c>
      <c r="H13" s="26">
        <f>IF(G13="","",IF(ISNUMBER(G13),IF(G13&lt;0,"Expired",IF(G13&lt;=30,"Due ≤30 days",IF(G13&lt;=90,"Due ≤90 days","OK"))),"Check date"))</f>
        <v/>
      </c>
      <c r="I13" s="21" t="n"/>
      <c r="J13" s="21" t="n"/>
      <c r="K13" s="22" t="n"/>
      <c r="L13" s="21" t="n"/>
      <c r="M13" s="21" t="n"/>
      <c r="N13" s="21" t="n"/>
      <c r="O13" s="27">
        <f>IF(B13="","",IFERROR(IF(VLOOKUP(B13,Lists!$A$2:$B$12,2,FALSE)="","",HYPERLINK(VLOOKUP(B13,Lists!$A$2:$B$12,2,FALSE),"How long valid?")),""))</f>
        <v/>
      </c>
      <c r="P13" s="21" t="n"/>
    </row>
    <row r="14">
      <c r="A14" s="21" t="n"/>
      <c r="B14" s="21" t="n"/>
      <c r="C14" s="22" t="n"/>
      <c r="D14" s="22" t="n"/>
      <c r="E14" s="23" t="n"/>
      <c r="F14" s="24">
        <f>IF(ISNUMBER(D14),D14-IF(ISNUMBER(E14),E14,30),"")</f>
        <v/>
      </c>
      <c r="G14" s="25">
        <f>IF(D14="","",IF(ISNUMBER(D14),D14-TODAY(),"Check date"))</f>
        <v/>
      </c>
      <c r="H14" s="26">
        <f>IF(G14="","",IF(ISNUMBER(G14),IF(G14&lt;0,"Expired",IF(G14&lt;=30,"Due ≤30 days",IF(G14&lt;=90,"Due ≤90 days","OK"))),"Check date"))</f>
        <v/>
      </c>
      <c r="I14" s="21" t="n"/>
      <c r="J14" s="21" t="n"/>
      <c r="K14" s="22" t="n"/>
      <c r="L14" s="21" t="n"/>
      <c r="M14" s="21" t="n"/>
      <c r="N14" s="21" t="n"/>
      <c r="O14" s="27">
        <f>IF(B14="","",IFERROR(IF(VLOOKUP(B14,Lists!$A$2:$B$12,2,FALSE)="","",HYPERLINK(VLOOKUP(B14,Lists!$A$2:$B$12,2,FALSE),"How long valid?")),""))</f>
        <v/>
      </c>
      <c r="P14" s="21" t="n"/>
    </row>
    <row r="15">
      <c r="A15" s="21" t="n"/>
      <c r="B15" s="21" t="n"/>
      <c r="C15" s="22" t="n"/>
      <c r="D15" s="22" t="n"/>
      <c r="E15" s="23" t="n"/>
      <c r="F15" s="24">
        <f>IF(ISNUMBER(D15),D15-IF(ISNUMBER(E15),E15,30),"")</f>
        <v/>
      </c>
      <c r="G15" s="25">
        <f>IF(D15="","",IF(ISNUMBER(D15),D15-TODAY(),"Check date"))</f>
        <v/>
      </c>
      <c r="H15" s="26">
        <f>IF(G15="","",IF(ISNUMBER(G15),IF(G15&lt;0,"Expired",IF(G15&lt;=30,"Due ≤30 days",IF(G15&lt;=90,"Due ≤90 days","OK"))),"Check date"))</f>
        <v/>
      </c>
      <c r="I15" s="21" t="n"/>
      <c r="J15" s="21" t="n"/>
      <c r="K15" s="22" t="n"/>
      <c r="L15" s="21" t="n"/>
      <c r="M15" s="21" t="n"/>
      <c r="N15" s="21" t="n"/>
      <c r="O15" s="27">
        <f>IF(B15="","",IFERROR(IF(VLOOKUP(B15,Lists!$A$2:$B$12,2,FALSE)="","",HYPERLINK(VLOOKUP(B15,Lists!$A$2:$B$12,2,FALSE),"How long valid?")),""))</f>
        <v/>
      </c>
      <c r="P15" s="21" t="n"/>
    </row>
    <row r="16">
      <c r="A16" s="21" t="n"/>
      <c r="B16" s="21" t="n"/>
      <c r="C16" s="22" t="n"/>
      <c r="D16" s="22" t="n"/>
      <c r="E16" s="23" t="n"/>
      <c r="F16" s="24">
        <f>IF(ISNUMBER(D16),D16-IF(ISNUMBER(E16),E16,30),"")</f>
        <v/>
      </c>
      <c r="G16" s="25">
        <f>IF(D16="","",IF(ISNUMBER(D16),D16-TODAY(),"Check date"))</f>
        <v/>
      </c>
      <c r="H16" s="26">
        <f>IF(G16="","",IF(ISNUMBER(G16),IF(G16&lt;0,"Expired",IF(G16&lt;=30,"Due ≤30 days",IF(G16&lt;=90,"Due ≤90 days","OK"))),"Check date"))</f>
        <v/>
      </c>
      <c r="I16" s="21" t="n"/>
      <c r="J16" s="21" t="n"/>
      <c r="K16" s="22" t="n"/>
      <c r="L16" s="21" t="n"/>
      <c r="M16" s="21" t="n"/>
      <c r="N16" s="21" t="n"/>
      <c r="O16" s="27">
        <f>IF(B16="","",IFERROR(IF(VLOOKUP(B16,Lists!$A$2:$B$12,2,FALSE)="","",HYPERLINK(VLOOKUP(B16,Lists!$A$2:$B$12,2,FALSE),"How long valid?")),""))</f>
        <v/>
      </c>
      <c r="P16" s="21" t="n"/>
    </row>
    <row r="17">
      <c r="A17" s="21" t="n"/>
      <c r="B17" s="21" t="n"/>
      <c r="C17" s="22" t="n"/>
      <c r="D17" s="22" t="n"/>
      <c r="E17" s="23" t="n"/>
      <c r="F17" s="24">
        <f>IF(ISNUMBER(D17),D17-IF(ISNUMBER(E17),E17,30),"")</f>
        <v/>
      </c>
      <c r="G17" s="25">
        <f>IF(D17="","",IF(ISNUMBER(D17),D17-TODAY(),"Check date"))</f>
        <v/>
      </c>
      <c r="H17" s="26">
        <f>IF(G17="","",IF(ISNUMBER(G17),IF(G17&lt;0,"Expired",IF(G17&lt;=30,"Due ≤30 days",IF(G17&lt;=90,"Due ≤90 days","OK"))),"Check date"))</f>
        <v/>
      </c>
      <c r="I17" s="21" t="n"/>
      <c r="J17" s="21" t="n"/>
      <c r="K17" s="22" t="n"/>
      <c r="L17" s="21" t="n"/>
      <c r="M17" s="21" t="n"/>
      <c r="N17" s="21" t="n"/>
      <c r="O17" s="27">
        <f>IF(B17="","",IFERROR(IF(VLOOKUP(B17,Lists!$A$2:$B$12,2,FALSE)="","",HYPERLINK(VLOOKUP(B17,Lists!$A$2:$B$12,2,FALSE),"How long valid?")),""))</f>
        <v/>
      </c>
      <c r="P17" s="21" t="n"/>
    </row>
    <row r="18">
      <c r="A18" s="21" t="n"/>
      <c r="B18" s="21" t="n"/>
      <c r="C18" s="22" t="n"/>
      <c r="D18" s="22" t="n"/>
      <c r="E18" s="23" t="n"/>
      <c r="F18" s="24">
        <f>IF(ISNUMBER(D18),D18-IF(ISNUMBER(E18),E18,30),"")</f>
        <v/>
      </c>
      <c r="G18" s="25">
        <f>IF(D18="","",IF(ISNUMBER(D18),D18-TODAY(),"Check date"))</f>
        <v/>
      </c>
      <c r="H18" s="26">
        <f>IF(G18="","",IF(ISNUMBER(G18),IF(G18&lt;0,"Expired",IF(G18&lt;=30,"Due ≤30 days",IF(G18&lt;=90,"Due ≤90 days","OK"))),"Check date"))</f>
        <v/>
      </c>
      <c r="I18" s="21" t="n"/>
      <c r="J18" s="21" t="n"/>
      <c r="K18" s="22" t="n"/>
      <c r="L18" s="21" t="n"/>
      <c r="M18" s="21" t="n"/>
      <c r="N18" s="21" t="n"/>
      <c r="O18" s="27">
        <f>IF(B18="","",IFERROR(IF(VLOOKUP(B18,Lists!$A$2:$B$12,2,FALSE)="","",HYPERLINK(VLOOKUP(B18,Lists!$A$2:$B$12,2,FALSE),"How long valid?")),""))</f>
        <v/>
      </c>
      <c r="P18" s="21" t="n"/>
    </row>
    <row r="19">
      <c r="A19" s="21" t="n"/>
      <c r="B19" s="21" t="n"/>
      <c r="C19" s="22" t="n"/>
      <c r="D19" s="22" t="n"/>
      <c r="E19" s="23" t="n"/>
      <c r="F19" s="24">
        <f>IF(ISNUMBER(D19),D19-IF(ISNUMBER(E19),E19,30),"")</f>
        <v/>
      </c>
      <c r="G19" s="25">
        <f>IF(D19="","",IF(ISNUMBER(D19),D19-TODAY(),"Check date"))</f>
        <v/>
      </c>
      <c r="H19" s="26">
        <f>IF(G19="","",IF(ISNUMBER(G19),IF(G19&lt;0,"Expired",IF(G19&lt;=30,"Due ≤30 days",IF(G19&lt;=90,"Due ≤90 days","OK"))),"Check date"))</f>
        <v/>
      </c>
      <c r="I19" s="21" t="n"/>
      <c r="J19" s="21" t="n"/>
      <c r="K19" s="22" t="n"/>
      <c r="L19" s="21" t="n"/>
      <c r="M19" s="21" t="n"/>
      <c r="N19" s="21" t="n"/>
      <c r="O19" s="27">
        <f>IF(B19="","",IFERROR(IF(VLOOKUP(B19,Lists!$A$2:$B$12,2,FALSE)="","",HYPERLINK(VLOOKUP(B19,Lists!$A$2:$B$12,2,FALSE),"How long valid?")),""))</f>
        <v/>
      </c>
      <c r="P19" s="21" t="n"/>
    </row>
    <row r="20">
      <c r="A20" s="21" t="n"/>
      <c r="B20" s="21" t="n"/>
      <c r="C20" s="22" t="n"/>
      <c r="D20" s="22" t="n"/>
      <c r="E20" s="23" t="n"/>
      <c r="F20" s="24">
        <f>IF(ISNUMBER(D20),D20-IF(ISNUMBER(E20),E20,30),"")</f>
        <v/>
      </c>
      <c r="G20" s="25">
        <f>IF(D20="","",IF(ISNUMBER(D20),D20-TODAY(),"Check date"))</f>
        <v/>
      </c>
      <c r="H20" s="26">
        <f>IF(G20="","",IF(ISNUMBER(G20),IF(G20&lt;0,"Expired",IF(G20&lt;=30,"Due ≤30 days",IF(G20&lt;=90,"Due ≤90 days","OK"))),"Check date"))</f>
        <v/>
      </c>
      <c r="I20" s="21" t="n"/>
      <c r="J20" s="21" t="n"/>
      <c r="K20" s="22" t="n"/>
      <c r="L20" s="21" t="n"/>
      <c r="M20" s="21" t="n"/>
      <c r="N20" s="21" t="n"/>
      <c r="O20" s="27">
        <f>IF(B20="","",IFERROR(IF(VLOOKUP(B20,Lists!$A$2:$B$12,2,FALSE)="","",HYPERLINK(VLOOKUP(B20,Lists!$A$2:$B$12,2,FALSE),"How long valid?")),""))</f>
        <v/>
      </c>
      <c r="P20" s="21" t="n"/>
    </row>
    <row r="21">
      <c r="A21" s="21" t="n"/>
      <c r="B21" s="21" t="n"/>
      <c r="C21" s="22" t="n"/>
      <c r="D21" s="22" t="n"/>
      <c r="E21" s="23" t="n"/>
      <c r="F21" s="24">
        <f>IF(ISNUMBER(D21),D21-IF(ISNUMBER(E21),E21,30),"")</f>
        <v/>
      </c>
      <c r="G21" s="25">
        <f>IF(D21="","",IF(ISNUMBER(D21),D21-TODAY(),"Check date"))</f>
        <v/>
      </c>
      <c r="H21" s="26">
        <f>IF(G21="","",IF(ISNUMBER(G21),IF(G21&lt;0,"Expired",IF(G21&lt;=30,"Due ≤30 days",IF(G21&lt;=90,"Due ≤90 days","OK"))),"Check date"))</f>
        <v/>
      </c>
      <c r="I21" s="21" t="n"/>
      <c r="J21" s="21" t="n"/>
      <c r="K21" s="22" t="n"/>
      <c r="L21" s="21" t="n"/>
      <c r="M21" s="21" t="n"/>
      <c r="N21" s="21" t="n"/>
      <c r="O21" s="27">
        <f>IF(B21="","",IFERROR(IF(VLOOKUP(B21,Lists!$A$2:$B$12,2,FALSE)="","",HYPERLINK(VLOOKUP(B21,Lists!$A$2:$B$12,2,FALSE),"How long valid?")),""))</f>
        <v/>
      </c>
      <c r="P21" s="21" t="n"/>
    </row>
    <row r="22">
      <c r="A22" s="21" t="n"/>
      <c r="B22" s="21" t="n"/>
      <c r="C22" s="22" t="n"/>
      <c r="D22" s="22" t="n"/>
      <c r="E22" s="23" t="n"/>
      <c r="F22" s="24">
        <f>IF(ISNUMBER(D22),D22-IF(ISNUMBER(E22),E22,30),"")</f>
        <v/>
      </c>
      <c r="G22" s="25">
        <f>IF(D22="","",IF(ISNUMBER(D22),D22-TODAY(),"Check date"))</f>
        <v/>
      </c>
      <c r="H22" s="26">
        <f>IF(G22="","",IF(ISNUMBER(G22),IF(G22&lt;0,"Expired",IF(G22&lt;=30,"Due ≤30 days",IF(G22&lt;=90,"Due ≤90 days","OK"))),"Check date"))</f>
        <v/>
      </c>
      <c r="I22" s="21" t="n"/>
      <c r="J22" s="21" t="n"/>
      <c r="K22" s="22" t="n"/>
      <c r="L22" s="21" t="n"/>
      <c r="M22" s="21" t="n"/>
      <c r="N22" s="21" t="n"/>
      <c r="O22" s="27">
        <f>IF(B22="","",IFERROR(IF(VLOOKUP(B22,Lists!$A$2:$B$12,2,FALSE)="","",HYPERLINK(VLOOKUP(B22,Lists!$A$2:$B$12,2,FALSE),"How long valid?")),""))</f>
        <v/>
      </c>
      <c r="P22" s="21" t="n"/>
    </row>
    <row r="23">
      <c r="A23" s="21" t="n"/>
      <c r="B23" s="21" t="n"/>
      <c r="C23" s="22" t="n"/>
      <c r="D23" s="22" t="n"/>
      <c r="E23" s="23" t="n"/>
      <c r="F23" s="24">
        <f>IF(ISNUMBER(D23),D23-IF(ISNUMBER(E23),E23,30),"")</f>
        <v/>
      </c>
      <c r="G23" s="25">
        <f>IF(D23="","",IF(ISNUMBER(D23),D23-TODAY(),"Check date"))</f>
        <v/>
      </c>
      <c r="H23" s="26">
        <f>IF(G23="","",IF(ISNUMBER(G23),IF(G23&lt;0,"Expired",IF(G23&lt;=30,"Due ≤30 days",IF(G23&lt;=90,"Due ≤90 days","OK"))),"Check date"))</f>
        <v/>
      </c>
      <c r="I23" s="21" t="n"/>
      <c r="J23" s="21" t="n"/>
      <c r="K23" s="22" t="n"/>
      <c r="L23" s="21" t="n"/>
      <c r="M23" s="21" t="n"/>
      <c r="N23" s="21" t="n"/>
      <c r="O23" s="27">
        <f>IF(B23="","",IFERROR(IF(VLOOKUP(B23,Lists!$A$2:$B$12,2,FALSE)="","",HYPERLINK(VLOOKUP(B23,Lists!$A$2:$B$12,2,FALSE),"How long valid?")),""))</f>
        <v/>
      </c>
      <c r="P23" s="21" t="n"/>
    </row>
    <row r="24">
      <c r="A24" s="21" t="n"/>
      <c r="B24" s="21" t="n"/>
      <c r="C24" s="22" t="n"/>
      <c r="D24" s="22" t="n"/>
      <c r="E24" s="23" t="n"/>
      <c r="F24" s="24">
        <f>IF(ISNUMBER(D24),D24-IF(ISNUMBER(E24),E24,30),"")</f>
        <v/>
      </c>
      <c r="G24" s="25">
        <f>IF(D24="","",IF(ISNUMBER(D24),D24-TODAY(),"Check date"))</f>
        <v/>
      </c>
      <c r="H24" s="26">
        <f>IF(G24="","",IF(ISNUMBER(G24),IF(G24&lt;0,"Expired",IF(G24&lt;=30,"Due ≤30 days",IF(G24&lt;=90,"Due ≤90 days","OK"))),"Check date"))</f>
        <v/>
      </c>
      <c r="I24" s="21" t="n"/>
      <c r="J24" s="21" t="n"/>
      <c r="K24" s="22" t="n"/>
      <c r="L24" s="21" t="n"/>
      <c r="M24" s="21" t="n"/>
      <c r="N24" s="21" t="n"/>
      <c r="O24" s="27">
        <f>IF(B24="","",IFERROR(IF(VLOOKUP(B24,Lists!$A$2:$B$12,2,FALSE)="","",HYPERLINK(VLOOKUP(B24,Lists!$A$2:$B$12,2,FALSE),"How long valid?")),""))</f>
        <v/>
      </c>
      <c r="P24" s="21" t="n"/>
    </row>
    <row r="25">
      <c r="A25" s="21" t="n"/>
      <c r="B25" s="21" t="n"/>
      <c r="C25" s="22" t="n"/>
      <c r="D25" s="22" t="n"/>
      <c r="E25" s="23" t="n"/>
      <c r="F25" s="24">
        <f>IF(ISNUMBER(D25),D25-IF(ISNUMBER(E25),E25,30),"")</f>
        <v/>
      </c>
      <c r="G25" s="25">
        <f>IF(D25="","",IF(ISNUMBER(D25),D25-TODAY(),"Check date"))</f>
        <v/>
      </c>
      <c r="H25" s="26">
        <f>IF(G25="","",IF(ISNUMBER(G25),IF(G25&lt;0,"Expired",IF(G25&lt;=30,"Due ≤30 days",IF(G25&lt;=90,"Due ≤90 days","OK"))),"Check date"))</f>
        <v/>
      </c>
      <c r="I25" s="21" t="n"/>
      <c r="J25" s="21" t="n"/>
      <c r="K25" s="22" t="n"/>
      <c r="L25" s="21" t="n"/>
      <c r="M25" s="21" t="n"/>
      <c r="N25" s="21" t="n"/>
      <c r="O25" s="27">
        <f>IF(B25="","",IFERROR(IF(VLOOKUP(B25,Lists!$A$2:$B$12,2,FALSE)="","",HYPERLINK(VLOOKUP(B25,Lists!$A$2:$B$12,2,FALSE),"How long valid?")),""))</f>
        <v/>
      </c>
      <c r="P25" s="21" t="n"/>
    </row>
    <row r="26">
      <c r="A26" s="21" t="n"/>
      <c r="B26" s="21" t="n"/>
      <c r="C26" s="22" t="n"/>
      <c r="D26" s="22" t="n"/>
      <c r="E26" s="23" t="n"/>
      <c r="F26" s="24">
        <f>IF(ISNUMBER(D26),D26-IF(ISNUMBER(E26),E26,30),"")</f>
        <v/>
      </c>
      <c r="G26" s="25">
        <f>IF(D26="","",IF(ISNUMBER(D26),D26-TODAY(),"Check date"))</f>
        <v/>
      </c>
      <c r="H26" s="26">
        <f>IF(G26="","",IF(ISNUMBER(G26),IF(G26&lt;0,"Expired",IF(G26&lt;=30,"Due ≤30 days",IF(G26&lt;=90,"Due ≤90 days","OK"))),"Check date"))</f>
        <v/>
      </c>
      <c r="I26" s="21" t="n"/>
      <c r="J26" s="21" t="n"/>
      <c r="K26" s="22" t="n"/>
      <c r="L26" s="21" t="n"/>
      <c r="M26" s="21" t="n"/>
      <c r="N26" s="21" t="n"/>
      <c r="O26" s="27">
        <f>IF(B26="","",IFERROR(IF(VLOOKUP(B26,Lists!$A$2:$B$12,2,FALSE)="","",HYPERLINK(VLOOKUP(B26,Lists!$A$2:$B$12,2,FALSE),"How long valid?")),""))</f>
        <v/>
      </c>
      <c r="P26" s="21" t="n"/>
    </row>
    <row r="27">
      <c r="A27" s="21" t="n"/>
      <c r="B27" s="21" t="n"/>
      <c r="C27" s="22" t="n"/>
      <c r="D27" s="22" t="n"/>
      <c r="E27" s="23" t="n"/>
      <c r="F27" s="24">
        <f>IF(ISNUMBER(D27),D27-IF(ISNUMBER(E27),E27,30),"")</f>
        <v/>
      </c>
      <c r="G27" s="25">
        <f>IF(D27="","",IF(ISNUMBER(D27),D27-TODAY(),"Check date"))</f>
        <v/>
      </c>
      <c r="H27" s="26">
        <f>IF(G27="","",IF(ISNUMBER(G27),IF(G27&lt;0,"Expired",IF(G27&lt;=30,"Due ≤30 days",IF(G27&lt;=90,"Due ≤90 days","OK"))),"Check date"))</f>
        <v/>
      </c>
      <c r="I27" s="21" t="n"/>
      <c r="J27" s="21" t="n"/>
      <c r="K27" s="22" t="n"/>
      <c r="L27" s="21" t="n"/>
      <c r="M27" s="21" t="n"/>
      <c r="N27" s="21" t="n"/>
      <c r="O27" s="27">
        <f>IF(B27="","",IFERROR(IF(VLOOKUP(B27,Lists!$A$2:$B$12,2,FALSE)="","",HYPERLINK(VLOOKUP(B27,Lists!$A$2:$B$12,2,FALSE),"How long valid?")),""))</f>
        <v/>
      </c>
      <c r="P27" s="21" t="n"/>
    </row>
    <row r="28">
      <c r="A28" s="21" t="n"/>
      <c r="B28" s="21" t="n"/>
      <c r="C28" s="22" t="n"/>
      <c r="D28" s="22" t="n"/>
      <c r="E28" s="23" t="n"/>
      <c r="F28" s="24">
        <f>IF(ISNUMBER(D28),D28-IF(ISNUMBER(E28),E28,30),"")</f>
        <v/>
      </c>
      <c r="G28" s="25">
        <f>IF(D28="","",IF(ISNUMBER(D28),D28-TODAY(),"Check date"))</f>
        <v/>
      </c>
      <c r="H28" s="26">
        <f>IF(G28="","",IF(ISNUMBER(G28),IF(G28&lt;0,"Expired",IF(G28&lt;=30,"Due ≤30 days",IF(G28&lt;=90,"Due ≤90 days","OK"))),"Check date"))</f>
        <v/>
      </c>
      <c r="I28" s="21" t="n"/>
      <c r="J28" s="21" t="n"/>
      <c r="K28" s="22" t="n"/>
      <c r="L28" s="21" t="n"/>
      <c r="M28" s="21" t="n"/>
      <c r="N28" s="21" t="n"/>
      <c r="O28" s="27">
        <f>IF(B28="","",IFERROR(IF(VLOOKUP(B28,Lists!$A$2:$B$12,2,FALSE)="","",HYPERLINK(VLOOKUP(B28,Lists!$A$2:$B$12,2,FALSE),"How long valid?")),""))</f>
        <v/>
      </c>
      <c r="P28" s="21" t="n"/>
    </row>
    <row r="29">
      <c r="A29" s="21" t="n"/>
      <c r="B29" s="21" t="n"/>
      <c r="C29" s="22" t="n"/>
      <c r="D29" s="22" t="n"/>
      <c r="E29" s="23" t="n"/>
      <c r="F29" s="24">
        <f>IF(ISNUMBER(D29),D29-IF(ISNUMBER(E29),E29,30),"")</f>
        <v/>
      </c>
      <c r="G29" s="25">
        <f>IF(D29="","",IF(ISNUMBER(D29),D29-TODAY(),"Check date"))</f>
        <v/>
      </c>
      <c r="H29" s="26">
        <f>IF(G29="","",IF(ISNUMBER(G29),IF(G29&lt;0,"Expired",IF(G29&lt;=30,"Due ≤30 days",IF(G29&lt;=90,"Due ≤90 days","OK"))),"Check date"))</f>
        <v/>
      </c>
      <c r="I29" s="21" t="n"/>
      <c r="J29" s="21" t="n"/>
      <c r="K29" s="22" t="n"/>
      <c r="L29" s="21" t="n"/>
      <c r="M29" s="21" t="n"/>
      <c r="N29" s="21" t="n"/>
      <c r="O29" s="27">
        <f>IF(B29="","",IFERROR(IF(VLOOKUP(B29,Lists!$A$2:$B$12,2,FALSE)="","",HYPERLINK(VLOOKUP(B29,Lists!$A$2:$B$12,2,FALSE),"How long valid?")),""))</f>
        <v/>
      </c>
      <c r="P29" s="21" t="n"/>
    </row>
    <row r="30">
      <c r="A30" s="21" t="n"/>
      <c r="B30" s="21" t="n"/>
      <c r="C30" s="22" t="n"/>
      <c r="D30" s="22" t="n"/>
      <c r="E30" s="23" t="n"/>
      <c r="F30" s="24">
        <f>IF(ISNUMBER(D30),D30-IF(ISNUMBER(E30),E30,30),"")</f>
        <v/>
      </c>
      <c r="G30" s="25">
        <f>IF(D30="","",IF(ISNUMBER(D30),D30-TODAY(),"Check date"))</f>
        <v/>
      </c>
      <c r="H30" s="26">
        <f>IF(G30="","",IF(ISNUMBER(G30),IF(G30&lt;0,"Expired",IF(G30&lt;=30,"Due ≤30 days",IF(G30&lt;=90,"Due ≤90 days","OK"))),"Check date"))</f>
        <v/>
      </c>
      <c r="I30" s="21" t="n"/>
      <c r="J30" s="21" t="n"/>
      <c r="K30" s="22" t="n"/>
      <c r="L30" s="21" t="n"/>
      <c r="M30" s="21" t="n"/>
      <c r="N30" s="21" t="n"/>
      <c r="O30" s="27">
        <f>IF(B30="","",IFERROR(IF(VLOOKUP(B30,Lists!$A$2:$B$12,2,FALSE)="","",HYPERLINK(VLOOKUP(B30,Lists!$A$2:$B$12,2,FALSE),"How long valid?")),""))</f>
        <v/>
      </c>
      <c r="P30" s="21" t="n"/>
    </row>
    <row r="31">
      <c r="A31" s="21" t="n"/>
      <c r="B31" s="21" t="n"/>
      <c r="C31" s="22" t="n"/>
      <c r="D31" s="22" t="n"/>
      <c r="E31" s="23" t="n"/>
      <c r="F31" s="24">
        <f>IF(ISNUMBER(D31),D31-IF(ISNUMBER(E31),E31,30),"")</f>
        <v/>
      </c>
      <c r="G31" s="25">
        <f>IF(D31="","",IF(ISNUMBER(D31),D31-TODAY(),"Check date"))</f>
        <v/>
      </c>
      <c r="H31" s="26">
        <f>IF(G31="","",IF(ISNUMBER(G31),IF(G31&lt;0,"Expired",IF(G31&lt;=30,"Due ≤30 days",IF(G31&lt;=90,"Due ≤90 days","OK"))),"Check date"))</f>
        <v/>
      </c>
      <c r="I31" s="21" t="n"/>
      <c r="J31" s="21" t="n"/>
      <c r="K31" s="22" t="n"/>
      <c r="L31" s="21" t="n"/>
      <c r="M31" s="21" t="n"/>
      <c r="N31" s="21" t="n"/>
      <c r="O31" s="27">
        <f>IF(B31="","",IFERROR(IF(VLOOKUP(B31,Lists!$A$2:$B$12,2,FALSE)="","",HYPERLINK(VLOOKUP(B31,Lists!$A$2:$B$12,2,FALSE),"How long valid?")),""))</f>
        <v/>
      </c>
      <c r="P31" s="21" t="n"/>
    </row>
    <row r="32">
      <c r="A32" s="21" t="n"/>
      <c r="B32" s="21" t="n"/>
      <c r="C32" s="22" t="n"/>
      <c r="D32" s="22" t="n"/>
      <c r="E32" s="23" t="n"/>
      <c r="F32" s="24">
        <f>IF(ISNUMBER(D32),D32-IF(ISNUMBER(E32),E32,30),"")</f>
        <v/>
      </c>
      <c r="G32" s="25">
        <f>IF(D32="","",IF(ISNUMBER(D32),D32-TODAY(),"Check date"))</f>
        <v/>
      </c>
      <c r="H32" s="26">
        <f>IF(G32="","",IF(ISNUMBER(G32),IF(G32&lt;0,"Expired",IF(G32&lt;=30,"Due ≤30 days",IF(G32&lt;=90,"Due ≤90 days","OK"))),"Check date"))</f>
        <v/>
      </c>
      <c r="I32" s="21" t="n"/>
      <c r="J32" s="21" t="n"/>
      <c r="K32" s="22" t="n"/>
      <c r="L32" s="21" t="n"/>
      <c r="M32" s="21" t="n"/>
      <c r="N32" s="21" t="n"/>
      <c r="O32" s="27">
        <f>IF(B32="","",IFERROR(IF(VLOOKUP(B32,Lists!$A$2:$B$12,2,FALSE)="","",HYPERLINK(VLOOKUP(B32,Lists!$A$2:$B$12,2,FALSE),"How long valid?")),""))</f>
        <v/>
      </c>
      <c r="P32" s="21" t="n"/>
    </row>
    <row r="33">
      <c r="A33" s="21" t="n"/>
      <c r="B33" s="21" t="n"/>
      <c r="C33" s="22" t="n"/>
      <c r="D33" s="22" t="n"/>
      <c r="E33" s="23" t="n"/>
      <c r="F33" s="24">
        <f>IF(ISNUMBER(D33),D33-IF(ISNUMBER(E33),E33,30),"")</f>
        <v/>
      </c>
      <c r="G33" s="25">
        <f>IF(D33="","",IF(ISNUMBER(D33),D33-TODAY(),"Check date"))</f>
        <v/>
      </c>
      <c r="H33" s="26">
        <f>IF(G33="","",IF(ISNUMBER(G33),IF(G33&lt;0,"Expired",IF(G33&lt;=30,"Due ≤30 days",IF(G33&lt;=90,"Due ≤90 days","OK"))),"Check date"))</f>
        <v/>
      </c>
      <c r="I33" s="21" t="n"/>
      <c r="J33" s="21" t="n"/>
      <c r="K33" s="22" t="n"/>
      <c r="L33" s="21" t="n"/>
      <c r="M33" s="21" t="n"/>
      <c r="N33" s="21" t="n"/>
      <c r="O33" s="27">
        <f>IF(B33="","",IFERROR(IF(VLOOKUP(B33,Lists!$A$2:$B$12,2,FALSE)="","",HYPERLINK(VLOOKUP(B33,Lists!$A$2:$B$12,2,FALSE),"How long valid?")),""))</f>
        <v/>
      </c>
      <c r="P33" s="21" t="n"/>
    </row>
    <row r="34">
      <c r="A34" s="21" t="n"/>
      <c r="B34" s="21" t="n"/>
      <c r="C34" s="22" t="n"/>
      <c r="D34" s="22" t="n"/>
      <c r="E34" s="23" t="n"/>
      <c r="F34" s="24">
        <f>IF(ISNUMBER(D34),D34-IF(ISNUMBER(E34),E34,30),"")</f>
        <v/>
      </c>
      <c r="G34" s="25">
        <f>IF(D34="","",IF(ISNUMBER(D34),D34-TODAY(),"Check date"))</f>
        <v/>
      </c>
      <c r="H34" s="26">
        <f>IF(G34="","",IF(ISNUMBER(G34),IF(G34&lt;0,"Expired",IF(G34&lt;=30,"Due ≤30 days",IF(G34&lt;=90,"Due ≤90 days","OK"))),"Check date"))</f>
        <v/>
      </c>
      <c r="I34" s="21" t="n"/>
      <c r="J34" s="21" t="n"/>
      <c r="K34" s="22" t="n"/>
      <c r="L34" s="21" t="n"/>
      <c r="M34" s="21" t="n"/>
      <c r="N34" s="21" t="n"/>
      <c r="O34" s="27">
        <f>IF(B34="","",IFERROR(IF(VLOOKUP(B34,Lists!$A$2:$B$12,2,FALSE)="","",HYPERLINK(VLOOKUP(B34,Lists!$A$2:$B$12,2,FALSE),"How long valid?")),""))</f>
        <v/>
      </c>
      <c r="P34" s="21" t="n"/>
    </row>
    <row r="35">
      <c r="A35" s="21" t="n"/>
      <c r="B35" s="21" t="n"/>
      <c r="C35" s="22" t="n"/>
      <c r="D35" s="22" t="n"/>
      <c r="E35" s="23" t="n"/>
      <c r="F35" s="24">
        <f>IF(ISNUMBER(D35),D35-IF(ISNUMBER(E35),E35,30),"")</f>
        <v/>
      </c>
      <c r="G35" s="25">
        <f>IF(D35="","",IF(ISNUMBER(D35),D35-TODAY(),"Check date"))</f>
        <v/>
      </c>
      <c r="H35" s="26">
        <f>IF(G35="","",IF(ISNUMBER(G35),IF(G35&lt;0,"Expired",IF(G35&lt;=30,"Due ≤30 days",IF(G35&lt;=90,"Due ≤90 days","OK"))),"Check date"))</f>
        <v/>
      </c>
      <c r="I35" s="21" t="n"/>
      <c r="J35" s="21" t="n"/>
      <c r="K35" s="22" t="n"/>
      <c r="L35" s="21" t="n"/>
      <c r="M35" s="21" t="n"/>
      <c r="N35" s="21" t="n"/>
      <c r="O35" s="27">
        <f>IF(B35="","",IFERROR(IF(VLOOKUP(B35,Lists!$A$2:$B$12,2,FALSE)="","",HYPERLINK(VLOOKUP(B35,Lists!$A$2:$B$12,2,FALSE),"How long valid?")),""))</f>
        <v/>
      </c>
      <c r="P35" s="21" t="n"/>
    </row>
    <row r="36">
      <c r="A36" s="21" t="n"/>
      <c r="B36" s="21" t="n"/>
      <c r="C36" s="22" t="n"/>
      <c r="D36" s="22" t="n"/>
      <c r="E36" s="23" t="n"/>
      <c r="F36" s="24">
        <f>IF(ISNUMBER(D36),D36-IF(ISNUMBER(E36),E36,30),"")</f>
        <v/>
      </c>
      <c r="G36" s="25">
        <f>IF(D36="","",IF(ISNUMBER(D36),D36-TODAY(),"Check date"))</f>
        <v/>
      </c>
      <c r="H36" s="26">
        <f>IF(G36="","",IF(ISNUMBER(G36),IF(G36&lt;0,"Expired",IF(G36&lt;=30,"Due ≤30 days",IF(G36&lt;=90,"Due ≤90 days","OK"))),"Check date"))</f>
        <v/>
      </c>
      <c r="I36" s="21" t="n"/>
      <c r="J36" s="21" t="n"/>
      <c r="K36" s="22" t="n"/>
      <c r="L36" s="21" t="n"/>
      <c r="M36" s="21" t="n"/>
      <c r="N36" s="21" t="n"/>
      <c r="O36" s="27">
        <f>IF(B36="","",IFERROR(IF(VLOOKUP(B36,Lists!$A$2:$B$12,2,FALSE)="","",HYPERLINK(VLOOKUP(B36,Lists!$A$2:$B$12,2,FALSE),"How long valid?")),""))</f>
        <v/>
      </c>
      <c r="P36" s="21" t="n"/>
    </row>
    <row r="37">
      <c r="A37" s="21" t="n"/>
      <c r="B37" s="21" t="n"/>
      <c r="C37" s="22" t="n"/>
      <c r="D37" s="22" t="n"/>
      <c r="E37" s="23" t="n"/>
      <c r="F37" s="24">
        <f>IF(ISNUMBER(D37),D37-IF(ISNUMBER(E37),E37,30),"")</f>
        <v/>
      </c>
      <c r="G37" s="25">
        <f>IF(D37="","",IF(ISNUMBER(D37),D37-TODAY(),"Check date"))</f>
        <v/>
      </c>
      <c r="H37" s="26">
        <f>IF(G37="","",IF(ISNUMBER(G37),IF(G37&lt;0,"Expired",IF(G37&lt;=30,"Due ≤30 days",IF(G37&lt;=90,"Due ≤90 days","OK"))),"Check date"))</f>
        <v/>
      </c>
      <c r="I37" s="21" t="n"/>
      <c r="J37" s="21" t="n"/>
      <c r="K37" s="22" t="n"/>
      <c r="L37" s="21" t="n"/>
      <c r="M37" s="21" t="n"/>
      <c r="N37" s="21" t="n"/>
      <c r="O37" s="27">
        <f>IF(B37="","",IFERROR(IF(VLOOKUP(B37,Lists!$A$2:$B$12,2,FALSE)="","",HYPERLINK(VLOOKUP(B37,Lists!$A$2:$B$12,2,FALSE),"How long valid?")),""))</f>
        <v/>
      </c>
      <c r="P37" s="21" t="n"/>
    </row>
    <row r="38">
      <c r="A38" s="21" t="n"/>
      <c r="B38" s="21" t="n"/>
      <c r="C38" s="22" t="n"/>
      <c r="D38" s="22" t="n"/>
      <c r="E38" s="23" t="n"/>
      <c r="F38" s="24">
        <f>IF(ISNUMBER(D38),D38-IF(ISNUMBER(E38),E38,30),"")</f>
        <v/>
      </c>
      <c r="G38" s="25">
        <f>IF(D38="","",IF(ISNUMBER(D38),D38-TODAY(),"Check date"))</f>
        <v/>
      </c>
      <c r="H38" s="26">
        <f>IF(G38="","",IF(ISNUMBER(G38),IF(G38&lt;0,"Expired",IF(G38&lt;=30,"Due ≤30 days",IF(G38&lt;=90,"Due ≤90 days","OK"))),"Check date"))</f>
        <v/>
      </c>
      <c r="I38" s="21" t="n"/>
      <c r="J38" s="21" t="n"/>
      <c r="K38" s="22" t="n"/>
      <c r="L38" s="21" t="n"/>
      <c r="M38" s="21" t="n"/>
      <c r="N38" s="21" t="n"/>
      <c r="O38" s="27">
        <f>IF(B38="","",IFERROR(IF(VLOOKUP(B38,Lists!$A$2:$B$12,2,FALSE)="","",HYPERLINK(VLOOKUP(B38,Lists!$A$2:$B$12,2,FALSE),"How long valid?")),""))</f>
        <v/>
      </c>
      <c r="P38" s="21" t="n"/>
    </row>
    <row r="39">
      <c r="A39" s="21" t="n"/>
      <c r="B39" s="21" t="n"/>
      <c r="C39" s="22" t="n"/>
      <c r="D39" s="22" t="n"/>
      <c r="E39" s="23" t="n"/>
      <c r="F39" s="24">
        <f>IF(ISNUMBER(D39),D39-IF(ISNUMBER(E39),E39,30),"")</f>
        <v/>
      </c>
      <c r="G39" s="25">
        <f>IF(D39="","",IF(ISNUMBER(D39),D39-TODAY(),"Check date"))</f>
        <v/>
      </c>
      <c r="H39" s="26">
        <f>IF(G39="","",IF(ISNUMBER(G39),IF(G39&lt;0,"Expired",IF(G39&lt;=30,"Due ≤30 days",IF(G39&lt;=90,"Due ≤90 days","OK"))),"Check date"))</f>
        <v/>
      </c>
      <c r="I39" s="21" t="n"/>
      <c r="J39" s="21" t="n"/>
      <c r="K39" s="22" t="n"/>
      <c r="L39" s="21" t="n"/>
      <c r="M39" s="21" t="n"/>
      <c r="N39" s="21" t="n"/>
      <c r="O39" s="27">
        <f>IF(B39="","",IFERROR(IF(VLOOKUP(B39,Lists!$A$2:$B$12,2,FALSE)="","",HYPERLINK(VLOOKUP(B39,Lists!$A$2:$B$12,2,FALSE),"How long valid?")),""))</f>
        <v/>
      </c>
      <c r="P39" s="21" t="n"/>
    </row>
    <row r="40">
      <c r="A40" s="21" t="n"/>
      <c r="B40" s="21" t="n"/>
      <c r="C40" s="22" t="n"/>
      <c r="D40" s="22" t="n"/>
      <c r="E40" s="23" t="n"/>
      <c r="F40" s="24">
        <f>IF(ISNUMBER(D40),D40-IF(ISNUMBER(E40),E40,30),"")</f>
        <v/>
      </c>
      <c r="G40" s="25">
        <f>IF(D40="","",IF(ISNUMBER(D40),D40-TODAY(),"Check date"))</f>
        <v/>
      </c>
      <c r="H40" s="26">
        <f>IF(G40="","",IF(ISNUMBER(G40),IF(G40&lt;0,"Expired",IF(G40&lt;=30,"Due ≤30 days",IF(G40&lt;=90,"Due ≤90 days","OK"))),"Check date"))</f>
        <v/>
      </c>
      <c r="I40" s="21" t="n"/>
      <c r="J40" s="21" t="n"/>
      <c r="K40" s="22" t="n"/>
      <c r="L40" s="21" t="n"/>
      <c r="M40" s="21" t="n"/>
      <c r="N40" s="21" t="n"/>
      <c r="O40" s="27">
        <f>IF(B40="","",IFERROR(IF(VLOOKUP(B40,Lists!$A$2:$B$12,2,FALSE)="","",HYPERLINK(VLOOKUP(B40,Lists!$A$2:$B$12,2,FALSE),"How long valid?")),""))</f>
        <v/>
      </c>
      <c r="P40" s="21" t="n"/>
    </row>
    <row r="41">
      <c r="A41" s="21" t="n"/>
      <c r="B41" s="21" t="n"/>
      <c r="C41" s="22" t="n"/>
      <c r="D41" s="22" t="n"/>
      <c r="E41" s="23" t="n"/>
      <c r="F41" s="24">
        <f>IF(ISNUMBER(D41),D41-IF(ISNUMBER(E41),E41,30),"")</f>
        <v/>
      </c>
      <c r="G41" s="25">
        <f>IF(D41="","",IF(ISNUMBER(D41),D41-TODAY(),"Check date"))</f>
        <v/>
      </c>
      <c r="H41" s="26">
        <f>IF(G41="","",IF(ISNUMBER(G41),IF(G41&lt;0,"Expired",IF(G41&lt;=30,"Due ≤30 days",IF(G41&lt;=90,"Due ≤90 days","OK"))),"Check date"))</f>
        <v/>
      </c>
      <c r="I41" s="21" t="n"/>
      <c r="J41" s="21" t="n"/>
      <c r="K41" s="22" t="n"/>
      <c r="L41" s="21" t="n"/>
      <c r="M41" s="21" t="n"/>
      <c r="N41" s="21" t="n"/>
      <c r="O41" s="27">
        <f>IF(B41="","",IFERROR(IF(VLOOKUP(B41,Lists!$A$2:$B$12,2,FALSE)="","",HYPERLINK(VLOOKUP(B41,Lists!$A$2:$B$12,2,FALSE),"How long valid?")),""))</f>
        <v/>
      </c>
      <c r="P41" s="21" t="n"/>
    </row>
    <row r="42">
      <c r="A42" s="21" t="n"/>
      <c r="B42" s="21" t="n"/>
      <c r="C42" s="22" t="n"/>
      <c r="D42" s="22" t="n"/>
      <c r="E42" s="23" t="n"/>
      <c r="F42" s="24">
        <f>IF(ISNUMBER(D42),D42-IF(ISNUMBER(E42),E42,30),"")</f>
        <v/>
      </c>
      <c r="G42" s="25">
        <f>IF(D42="","",IF(ISNUMBER(D42),D42-TODAY(),"Check date"))</f>
        <v/>
      </c>
      <c r="H42" s="26">
        <f>IF(G42="","",IF(ISNUMBER(G42),IF(G42&lt;0,"Expired",IF(G42&lt;=30,"Due ≤30 days",IF(G42&lt;=90,"Due ≤90 days","OK"))),"Check date"))</f>
        <v/>
      </c>
      <c r="I42" s="21" t="n"/>
      <c r="J42" s="21" t="n"/>
      <c r="K42" s="22" t="n"/>
      <c r="L42" s="21" t="n"/>
      <c r="M42" s="21" t="n"/>
      <c r="N42" s="21" t="n"/>
      <c r="O42" s="27">
        <f>IF(B42="","",IFERROR(IF(VLOOKUP(B42,Lists!$A$2:$B$12,2,FALSE)="","",HYPERLINK(VLOOKUP(B42,Lists!$A$2:$B$12,2,FALSE),"How long valid?")),""))</f>
        <v/>
      </c>
      <c r="P42" s="21" t="n"/>
    </row>
    <row r="43">
      <c r="A43" s="21" t="n"/>
      <c r="B43" s="21" t="n"/>
      <c r="C43" s="22" t="n"/>
      <c r="D43" s="22" t="n"/>
      <c r="E43" s="23" t="n"/>
      <c r="F43" s="24">
        <f>IF(ISNUMBER(D43),D43-IF(ISNUMBER(E43),E43,30),"")</f>
        <v/>
      </c>
      <c r="G43" s="25">
        <f>IF(D43="","",IF(ISNUMBER(D43),D43-TODAY(),"Check date"))</f>
        <v/>
      </c>
      <c r="H43" s="26">
        <f>IF(G43="","",IF(ISNUMBER(G43),IF(G43&lt;0,"Expired",IF(G43&lt;=30,"Due ≤30 days",IF(G43&lt;=90,"Due ≤90 days","OK"))),"Check date"))</f>
        <v/>
      </c>
      <c r="I43" s="21" t="n"/>
      <c r="J43" s="21" t="n"/>
      <c r="K43" s="22" t="n"/>
      <c r="L43" s="21" t="n"/>
      <c r="M43" s="21" t="n"/>
      <c r="N43" s="21" t="n"/>
      <c r="O43" s="27">
        <f>IF(B43="","",IFERROR(IF(VLOOKUP(B43,Lists!$A$2:$B$12,2,FALSE)="","",HYPERLINK(VLOOKUP(B43,Lists!$A$2:$B$12,2,FALSE),"How long valid?")),""))</f>
        <v/>
      </c>
      <c r="P43" s="21" t="n"/>
    </row>
    <row r="44">
      <c r="A44" s="21" t="n"/>
      <c r="B44" s="21" t="n"/>
      <c r="C44" s="22" t="n"/>
      <c r="D44" s="22" t="n"/>
      <c r="E44" s="23" t="n"/>
      <c r="F44" s="24">
        <f>IF(ISNUMBER(D44),D44-IF(ISNUMBER(E44),E44,30),"")</f>
        <v/>
      </c>
      <c r="G44" s="25">
        <f>IF(D44="","",IF(ISNUMBER(D44),D44-TODAY(),"Check date"))</f>
        <v/>
      </c>
      <c r="H44" s="26">
        <f>IF(G44="","",IF(ISNUMBER(G44),IF(G44&lt;0,"Expired",IF(G44&lt;=30,"Due ≤30 days",IF(G44&lt;=90,"Due ≤90 days","OK"))),"Check date"))</f>
        <v/>
      </c>
      <c r="I44" s="21" t="n"/>
      <c r="J44" s="21" t="n"/>
      <c r="K44" s="22" t="n"/>
      <c r="L44" s="21" t="n"/>
      <c r="M44" s="21" t="n"/>
      <c r="N44" s="21" t="n"/>
      <c r="O44" s="27">
        <f>IF(B44="","",IFERROR(IF(VLOOKUP(B44,Lists!$A$2:$B$12,2,FALSE)="","",HYPERLINK(VLOOKUP(B44,Lists!$A$2:$B$12,2,FALSE),"How long valid?")),""))</f>
        <v/>
      </c>
      <c r="P44" s="21" t="n"/>
    </row>
    <row r="45">
      <c r="A45" s="21" t="n"/>
      <c r="B45" s="21" t="n"/>
      <c r="C45" s="22" t="n"/>
      <c r="D45" s="22" t="n"/>
      <c r="E45" s="23" t="n"/>
      <c r="F45" s="24">
        <f>IF(ISNUMBER(D45),D45-IF(ISNUMBER(E45),E45,30),"")</f>
        <v/>
      </c>
      <c r="G45" s="25">
        <f>IF(D45="","",IF(ISNUMBER(D45),D45-TODAY(),"Check date"))</f>
        <v/>
      </c>
      <c r="H45" s="26">
        <f>IF(G45="","",IF(ISNUMBER(G45),IF(G45&lt;0,"Expired",IF(G45&lt;=30,"Due ≤30 days",IF(G45&lt;=90,"Due ≤90 days","OK"))),"Check date"))</f>
        <v/>
      </c>
      <c r="I45" s="21" t="n"/>
      <c r="J45" s="21" t="n"/>
      <c r="K45" s="22" t="n"/>
      <c r="L45" s="21" t="n"/>
      <c r="M45" s="21" t="n"/>
      <c r="N45" s="21" t="n"/>
      <c r="O45" s="27">
        <f>IF(B45="","",IFERROR(IF(VLOOKUP(B45,Lists!$A$2:$B$12,2,FALSE)="","",HYPERLINK(VLOOKUP(B45,Lists!$A$2:$B$12,2,FALSE),"How long valid?")),""))</f>
        <v/>
      </c>
      <c r="P45" s="21" t="n"/>
    </row>
    <row r="46">
      <c r="A46" s="21" t="n"/>
      <c r="B46" s="21" t="n"/>
      <c r="C46" s="22" t="n"/>
      <c r="D46" s="22" t="n"/>
      <c r="E46" s="23" t="n"/>
      <c r="F46" s="24">
        <f>IF(ISNUMBER(D46),D46-IF(ISNUMBER(E46),E46,30),"")</f>
        <v/>
      </c>
      <c r="G46" s="25">
        <f>IF(D46="","",IF(ISNUMBER(D46),D46-TODAY(),"Check date"))</f>
        <v/>
      </c>
      <c r="H46" s="26">
        <f>IF(G46="","",IF(ISNUMBER(G46),IF(G46&lt;0,"Expired",IF(G46&lt;=30,"Due ≤30 days",IF(G46&lt;=90,"Due ≤90 days","OK"))),"Check date"))</f>
        <v/>
      </c>
      <c r="I46" s="21" t="n"/>
      <c r="J46" s="21" t="n"/>
      <c r="K46" s="22" t="n"/>
      <c r="L46" s="21" t="n"/>
      <c r="M46" s="21" t="n"/>
      <c r="N46" s="21" t="n"/>
      <c r="O46" s="27">
        <f>IF(B46="","",IFERROR(IF(VLOOKUP(B46,Lists!$A$2:$B$12,2,FALSE)="","",HYPERLINK(VLOOKUP(B46,Lists!$A$2:$B$12,2,FALSE),"How long valid?")),""))</f>
        <v/>
      </c>
      <c r="P46" s="21" t="n"/>
    </row>
    <row r="47">
      <c r="A47" s="21" t="n"/>
      <c r="B47" s="21" t="n"/>
      <c r="C47" s="22" t="n"/>
      <c r="D47" s="22" t="n"/>
      <c r="E47" s="23" t="n"/>
      <c r="F47" s="24">
        <f>IF(ISNUMBER(D47),D47-IF(ISNUMBER(E47),E47,30),"")</f>
        <v/>
      </c>
      <c r="G47" s="25">
        <f>IF(D47="","",IF(ISNUMBER(D47),D47-TODAY(),"Check date"))</f>
        <v/>
      </c>
      <c r="H47" s="26">
        <f>IF(G47="","",IF(ISNUMBER(G47),IF(G47&lt;0,"Expired",IF(G47&lt;=30,"Due ≤30 days",IF(G47&lt;=90,"Due ≤90 days","OK"))),"Check date"))</f>
        <v/>
      </c>
      <c r="I47" s="21" t="n"/>
      <c r="J47" s="21" t="n"/>
      <c r="K47" s="22" t="n"/>
      <c r="L47" s="21" t="n"/>
      <c r="M47" s="21" t="n"/>
      <c r="N47" s="21" t="n"/>
      <c r="O47" s="27">
        <f>IF(B47="","",IFERROR(IF(VLOOKUP(B47,Lists!$A$2:$B$12,2,FALSE)="","",HYPERLINK(VLOOKUP(B47,Lists!$A$2:$B$12,2,FALSE),"How long valid?")),""))</f>
        <v/>
      </c>
      <c r="P47" s="21" t="n"/>
    </row>
    <row r="48">
      <c r="A48" s="21" t="n"/>
      <c r="B48" s="21" t="n"/>
      <c r="C48" s="22" t="n"/>
      <c r="D48" s="22" t="n"/>
      <c r="E48" s="23" t="n"/>
      <c r="F48" s="24">
        <f>IF(ISNUMBER(D48),D48-IF(ISNUMBER(E48),E48,30),"")</f>
        <v/>
      </c>
      <c r="G48" s="25">
        <f>IF(D48="","",IF(ISNUMBER(D48),D48-TODAY(),"Check date"))</f>
        <v/>
      </c>
      <c r="H48" s="26">
        <f>IF(G48="","",IF(ISNUMBER(G48),IF(G48&lt;0,"Expired",IF(G48&lt;=30,"Due ≤30 days",IF(G48&lt;=90,"Due ≤90 days","OK"))),"Check date"))</f>
        <v/>
      </c>
      <c r="I48" s="21" t="n"/>
      <c r="J48" s="21" t="n"/>
      <c r="K48" s="22" t="n"/>
      <c r="L48" s="21" t="n"/>
      <c r="M48" s="21" t="n"/>
      <c r="N48" s="21" t="n"/>
      <c r="O48" s="27">
        <f>IF(B48="","",IFERROR(IF(VLOOKUP(B48,Lists!$A$2:$B$12,2,FALSE)="","",HYPERLINK(VLOOKUP(B48,Lists!$A$2:$B$12,2,FALSE),"How long valid?")),""))</f>
        <v/>
      </c>
      <c r="P48" s="21" t="n"/>
    </row>
    <row r="49">
      <c r="A49" s="21" t="n"/>
      <c r="B49" s="21" t="n"/>
      <c r="C49" s="22" t="n"/>
      <c r="D49" s="22" t="n"/>
      <c r="E49" s="23" t="n"/>
      <c r="F49" s="24">
        <f>IF(ISNUMBER(D49),D49-IF(ISNUMBER(E49),E49,30),"")</f>
        <v/>
      </c>
      <c r="G49" s="25">
        <f>IF(D49="","",IF(ISNUMBER(D49),D49-TODAY(),"Check date"))</f>
        <v/>
      </c>
      <c r="H49" s="26">
        <f>IF(G49="","",IF(ISNUMBER(G49),IF(G49&lt;0,"Expired",IF(G49&lt;=30,"Due ≤30 days",IF(G49&lt;=90,"Due ≤90 days","OK"))),"Check date"))</f>
        <v/>
      </c>
      <c r="I49" s="21" t="n"/>
      <c r="J49" s="21" t="n"/>
      <c r="K49" s="22" t="n"/>
      <c r="L49" s="21" t="n"/>
      <c r="M49" s="21" t="n"/>
      <c r="N49" s="21" t="n"/>
      <c r="O49" s="27">
        <f>IF(B49="","",IFERROR(IF(VLOOKUP(B49,Lists!$A$2:$B$12,2,FALSE)="","",HYPERLINK(VLOOKUP(B49,Lists!$A$2:$B$12,2,FALSE),"How long valid?")),""))</f>
        <v/>
      </c>
      <c r="P49" s="21" t="n"/>
    </row>
    <row r="50">
      <c r="A50" s="21" t="n"/>
      <c r="B50" s="21" t="n"/>
      <c r="C50" s="22" t="n"/>
      <c r="D50" s="22" t="n"/>
      <c r="E50" s="23" t="n"/>
      <c r="F50" s="24">
        <f>IF(ISNUMBER(D50),D50-IF(ISNUMBER(E50),E50,30),"")</f>
        <v/>
      </c>
      <c r="G50" s="25">
        <f>IF(D50="","",IF(ISNUMBER(D50),D50-TODAY(),"Check date"))</f>
        <v/>
      </c>
      <c r="H50" s="26">
        <f>IF(G50="","",IF(ISNUMBER(G50),IF(G50&lt;0,"Expired",IF(G50&lt;=30,"Due ≤30 days",IF(G50&lt;=90,"Due ≤90 days","OK"))),"Check date"))</f>
        <v/>
      </c>
      <c r="I50" s="21" t="n"/>
      <c r="J50" s="21" t="n"/>
      <c r="K50" s="22" t="n"/>
      <c r="L50" s="21" t="n"/>
      <c r="M50" s="21" t="n"/>
      <c r="N50" s="21" t="n"/>
      <c r="O50" s="27">
        <f>IF(B50="","",IFERROR(IF(VLOOKUP(B50,Lists!$A$2:$B$12,2,FALSE)="","",HYPERLINK(VLOOKUP(B50,Lists!$A$2:$B$12,2,FALSE),"How long valid?")),""))</f>
        <v/>
      </c>
      <c r="P50" s="21" t="n"/>
    </row>
    <row r="51">
      <c r="A51" s="21" t="n"/>
      <c r="B51" s="21" t="n"/>
      <c r="C51" s="22" t="n"/>
      <c r="D51" s="22" t="n"/>
      <c r="E51" s="23" t="n"/>
      <c r="F51" s="24">
        <f>IF(ISNUMBER(D51),D51-IF(ISNUMBER(E51),E51,30),"")</f>
        <v/>
      </c>
      <c r="G51" s="25">
        <f>IF(D51="","",IF(ISNUMBER(D51),D51-TODAY(),"Check date"))</f>
        <v/>
      </c>
      <c r="H51" s="26">
        <f>IF(G51="","",IF(ISNUMBER(G51),IF(G51&lt;0,"Expired",IF(G51&lt;=30,"Due ≤30 days",IF(G51&lt;=90,"Due ≤90 days","OK"))),"Check date"))</f>
        <v/>
      </c>
      <c r="I51" s="21" t="n"/>
      <c r="J51" s="21" t="n"/>
      <c r="K51" s="22" t="n"/>
      <c r="L51" s="21" t="n"/>
      <c r="M51" s="21" t="n"/>
      <c r="N51" s="21" t="n"/>
      <c r="O51" s="27">
        <f>IF(B51="","",IFERROR(IF(VLOOKUP(B51,Lists!$A$2:$B$12,2,FALSE)="","",HYPERLINK(VLOOKUP(B51,Lists!$A$2:$B$12,2,FALSE),"How long valid?")),""))</f>
        <v/>
      </c>
      <c r="P51" s="21" t="n"/>
    </row>
    <row r="52">
      <c r="A52" s="21" t="n"/>
      <c r="B52" s="21" t="n"/>
      <c r="C52" s="22" t="n"/>
      <c r="D52" s="22" t="n"/>
      <c r="E52" s="23" t="n"/>
      <c r="F52" s="24">
        <f>IF(ISNUMBER(D52),D52-IF(ISNUMBER(E52),E52,30),"")</f>
        <v/>
      </c>
      <c r="G52" s="25">
        <f>IF(D52="","",IF(ISNUMBER(D52),D52-TODAY(),"Check date"))</f>
        <v/>
      </c>
      <c r="H52" s="26">
        <f>IF(G52="","",IF(ISNUMBER(G52),IF(G52&lt;0,"Expired",IF(G52&lt;=30,"Due ≤30 days",IF(G52&lt;=90,"Due ≤90 days","OK"))),"Check date"))</f>
        <v/>
      </c>
      <c r="I52" s="21" t="n"/>
      <c r="J52" s="21" t="n"/>
      <c r="K52" s="22" t="n"/>
      <c r="L52" s="21" t="n"/>
      <c r="M52" s="21" t="n"/>
      <c r="N52" s="21" t="n"/>
      <c r="O52" s="27">
        <f>IF(B52="","",IFERROR(IF(VLOOKUP(B52,Lists!$A$2:$B$12,2,FALSE)="","",HYPERLINK(VLOOKUP(B52,Lists!$A$2:$B$12,2,FALSE),"How long valid?")),""))</f>
        <v/>
      </c>
      <c r="P52" s="21" t="n"/>
    </row>
    <row r="53">
      <c r="A53" s="21" t="n"/>
      <c r="B53" s="21" t="n"/>
      <c r="C53" s="22" t="n"/>
      <c r="D53" s="22" t="n"/>
      <c r="E53" s="23" t="n"/>
      <c r="F53" s="24">
        <f>IF(ISNUMBER(D53),D53-IF(ISNUMBER(E53),E53,30),"")</f>
        <v/>
      </c>
      <c r="G53" s="25">
        <f>IF(D53="","",IF(ISNUMBER(D53),D53-TODAY(),"Check date"))</f>
        <v/>
      </c>
      <c r="H53" s="26">
        <f>IF(G53="","",IF(ISNUMBER(G53),IF(G53&lt;0,"Expired",IF(G53&lt;=30,"Due ≤30 days",IF(G53&lt;=90,"Due ≤90 days","OK"))),"Check date"))</f>
        <v/>
      </c>
      <c r="I53" s="21" t="n"/>
      <c r="J53" s="21" t="n"/>
      <c r="K53" s="22" t="n"/>
      <c r="L53" s="21" t="n"/>
      <c r="M53" s="21" t="n"/>
      <c r="N53" s="21" t="n"/>
      <c r="O53" s="27">
        <f>IF(B53="","",IFERROR(IF(VLOOKUP(B53,Lists!$A$2:$B$12,2,FALSE)="","",HYPERLINK(VLOOKUP(B53,Lists!$A$2:$B$12,2,FALSE),"How long valid?")),""))</f>
        <v/>
      </c>
      <c r="P53" s="21" t="n"/>
    </row>
    <row r="54">
      <c r="A54" s="21" t="n"/>
      <c r="B54" s="21" t="n"/>
      <c r="C54" s="22" t="n"/>
      <c r="D54" s="22" t="n"/>
      <c r="E54" s="23" t="n"/>
      <c r="F54" s="24">
        <f>IF(ISNUMBER(D54),D54-IF(ISNUMBER(E54),E54,30),"")</f>
        <v/>
      </c>
      <c r="G54" s="25">
        <f>IF(D54="","",IF(ISNUMBER(D54),D54-TODAY(),"Check date"))</f>
        <v/>
      </c>
      <c r="H54" s="26">
        <f>IF(G54="","",IF(ISNUMBER(G54),IF(G54&lt;0,"Expired",IF(G54&lt;=30,"Due ≤30 days",IF(G54&lt;=90,"Due ≤90 days","OK"))),"Check date"))</f>
        <v/>
      </c>
      <c r="I54" s="21" t="n"/>
      <c r="J54" s="21" t="n"/>
      <c r="K54" s="22" t="n"/>
      <c r="L54" s="21" t="n"/>
      <c r="M54" s="21" t="n"/>
      <c r="N54" s="21" t="n"/>
      <c r="O54" s="27">
        <f>IF(B54="","",IFERROR(IF(VLOOKUP(B54,Lists!$A$2:$B$12,2,FALSE)="","",HYPERLINK(VLOOKUP(B54,Lists!$A$2:$B$12,2,FALSE),"How long valid?")),""))</f>
        <v/>
      </c>
      <c r="P54" s="21" t="n"/>
    </row>
    <row r="55">
      <c r="A55" s="21" t="n"/>
      <c r="B55" s="21" t="n"/>
      <c r="C55" s="22" t="n"/>
      <c r="D55" s="22" t="n"/>
      <c r="E55" s="23" t="n"/>
      <c r="F55" s="24">
        <f>IF(ISNUMBER(D55),D55-IF(ISNUMBER(E55),E55,30),"")</f>
        <v/>
      </c>
      <c r="G55" s="25">
        <f>IF(D55="","",IF(ISNUMBER(D55),D55-TODAY(),"Check date"))</f>
        <v/>
      </c>
      <c r="H55" s="26">
        <f>IF(G55="","",IF(ISNUMBER(G55),IF(G55&lt;0,"Expired",IF(G55&lt;=30,"Due ≤30 days",IF(G55&lt;=90,"Due ≤90 days","OK"))),"Check date"))</f>
        <v/>
      </c>
      <c r="I55" s="21" t="n"/>
      <c r="J55" s="21" t="n"/>
      <c r="K55" s="22" t="n"/>
      <c r="L55" s="21" t="n"/>
      <c r="M55" s="21" t="n"/>
      <c r="N55" s="21" t="n"/>
      <c r="O55" s="27">
        <f>IF(B55="","",IFERROR(IF(VLOOKUP(B55,Lists!$A$2:$B$12,2,FALSE)="","",HYPERLINK(VLOOKUP(B55,Lists!$A$2:$B$12,2,FALSE),"How long valid?")),""))</f>
        <v/>
      </c>
      <c r="P55" s="21" t="n"/>
    </row>
    <row r="56">
      <c r="A56" s="21" t="n"/>
      <c r="B56" s="21" t="n"/>
      <c r="C56" s="22" t="n"/>
      <c r="D56" s="22" t="n"/>
      <c r="E56" s="23" t="n"/>
      <c r="F56" s="24">
        <f>IF(ISNUMBER(D56),D56-IF(ISNUMBER(E56),E56,30),"")</f>
        <v/>
      </c>
      <c r="G56" s="25">
        <f>IF(D56="","",IF(ISNUMBER(D56),D56-TODAY(),"Check date"))</f>
        <v/>
      </c>
      <c r="H56" s="26">
        <f>IF(G56="","",IF(ISNUMBER(G56),IF(G56&lt;0,"Expired",IF(G56&lt;=30,"Due ≤30 days",IF(G56&lt;=90,"Due ≤90 days","OK"))),"Check date"))</f>
        <v/>
      </c>
      <c r="I56" s="21" t="n"/>
      <c r="J56" s="21" t="n"/>
      <c r="K56" s="22" t="n"/>
      <c r="L56" s="21" t="n"/>
      <c r="M56" s="21" t="n"/>
      <c r="N56" s="21" t="n"/>
      <c r="O56" s="27">
        <f>IF(B56="","",IFERROR(IF(VLOOKUP(B56,Lists!$A$2:$B$12,2,FALSE)="","",HYPERLINK(VLOOKUP(B56,Lists!$A$2:$B$12,2,FALSE),"How long valid?")),""))</f>
        <v/>
      </c>
      <c r="P56" s="21" t="n"/>
    </row>
    <row r="57">
      <c r="A57" s="21" t="n"/>
      <c r="B57" s="21" t="n"/>
      <c r="C57" s="22" t="n"/>
      <c r="D57" s="22" t="n"/>
      <c r="E57" s="23" t="n"/>
      <c r="F57" s="24">
        <f>IF(ISNUMBER(D57),D57-IF(ISNUMBER(E57),E57,30),"")</f>
        <v/>
      </c>
      <c r="G57" s="25">
        <f>IF(D57="","",IF(ISNUMBER(D57),D57-TODAY(),"Check date"))</f>
        <v/>
      </c>
      <c r="H57" s="26">
        <f>IF(G57="","",IF(ISNUMBER(G57),IF(G57&lt;0,"Expired",IF(G57&lt;=30,"Due ≤30 days",IF(G57&lt;=90,"Due ≤90 days","OK"))),"Check date"))</f>
        <v/>
      </c>
      <c r="I57" s="21" t="n"/>
      <c r="J57" s="21" t="n"/>
      <c r="K57" s="22" t="n"/>
      <c r="L57" s="21" t="n"/>
      <c r="M57" s="21" t="n"/>
      <c r="N57" s="21" t="n"/>
      <c r="O57" s="27">
        <f>IF(B57="","",IFERROR(IF(VLOOKUP(B57,Lists!$A$2:$B$12,2,FALSE)="","",HYPERLINK(VLOOKUP(B57,Lists!$A$2:$B$12,2,FALSE),"How long valid?")),""))</f>
        <v/>
      </c>
      <c r="P57" s="21" t="n"/>
    </row>
    <row r="58">
      <c r="A58" s="21" t="n"/>
      <c r="B58" s="21" t="n"/>
      <c r="C58" s="22" t="n"/>
      <c r="D58" s="22" t="n"/>
      <c r="E58" s="23" t="n"/>
      <c r="F58" s="24">
        <f>IF(ISNUMBER(D58),D58-IF(ISNUMBER(E58),E58,30),"")</f>
        <v/>
      </c>
      <c r="G58" s="25">
        <f>IF(D58="","",IF(ISNUMBER(D58),D58-TODAY(),"Check date"))</f>
        <v/>
      </c>
      <c r="H58" s="26">
        <f>IF(G58="","",IF(ISNUMBER(G58),IF(G58&lt;0,"Expired",IF(G58&lt;=30,"Due ≤30 days",IF(G58&lt;=90,"Due ≤90 days","OK"))),"Check date"))</f>
        <v/>
      </c>
      <c r="I58" s="21" t="n"/>
      <c r="J58" s="21" t="n"/>
      <c r="K58" s="22" t="n"/>
      <c r="L58" s="21" t="n"/>
      <c r="M58" s="21" t="n"/>
      <c r="N58" s="21" t="n"/>
      <c r="O58" s="27">
        <f>IF(B58="","",IFERROR(IF(VLOOKUP(B58,Lists!$A$2:$B$12,2,FALSE)="","",HYPERLINK(VLOOKUP(B58,Lists!$A$2:$B$12,2,FALSE),"How long valid?")),""))</f>
        <v/>
      </c>
      <c r="P58" s="21" t="n"/>
    </row>
    <row r="59">
      <c r="A59" s="21" t="n"/>
      <c r="B59" s="21" t="n"/>
      <c r="C59" s="22" t="n"/>
      <c r="D59" s="22" t="n"/>
      <c r="E59" s="23" t="n"/>
      <c r="F59" s="24">
        <f>IF(ISNUMBER(D59),D59-IF(ISNUMBER(E59),E59,30),"")</f>
        <v/>
      </c>
      <c r="G59" s="25">
        <f>IF(D59="","",IF(ISNUMBER(D59),D59-TODAY(),"Check date"))</f>
        <v/>
      </c>
      <c r="H59" s="26">
        <f>IF(G59="","",IF(ISNUMBER(G59),IF(G59&lt;0,"Expired",IF(G59&lt;=30,"Due ≤30 days",IF(G59&lt;=90,"Due ≤90 days","OK"))),"Check date"))</f>
        <v/>
      </c>
      <c r="I59" s="21" t="n"/>
      <c r="J59" s="21" t="n"/>
      <c r="K59" s="22" t="n"/>
      <c r="L59" s="21" t="n"/>
      <c r="M59" s="21" t="n"/>
      <c r="N59" s="21" t="n"/>
      <c r="O59" s="27">
        <f>IF(B59="","",IFERROR(IF(VLOOKUP(B59,Lists!$A$2:$B$12,2,FALSE)="","",HYPERLINK(VLOOKUP(B59,Lists!$A$2:$B$12,2,FALSE),"How long valid?")),""))</f>
        <v/>
      </c>
      <c r="P59" s="21" t="n"/>
    </row>
    <row r="60">
      <c r="A60" s="21" t="n"/>
      <c r="B60" s="21" t="n"/>
      <c r="C60" s="22" t="n"/>
      <c r="D60" s="22" t="n"/>
      <c r="E60" s="23" t="n"/>
      <c r="F60" s="24">
        <f>IF(ISNUMBER(D60),D60-IF(ISNUMBER(E60),E60,30),"")</f>
        <v/>
      </c>
      <c r="G60" s="25">
        <f>IF(D60="","",IF(ISNUMBER(D60),D60-TODAY(),"Check date"))</f>
        <v/>
      </c>
      <c r="H60" s="26">
        <f>IF(G60="","",IF(ISNUMBER(G60),IF(G60&lt;0,"Expired",IF(G60&lt;=30,"Due ≤30 days",IF(G60&lt;=90,"Due ≤90 days","OK"))),"Check date"))</f>
        <v/>
      </c>
      <c r="I60" s="21" t="n"/>
      <c r="J60" s="21" t="n"/>
      <c r="K60" s="22" t="n"/>
      <c r="L60" s="21" t="n"/>
      <c r="M60" s="21" t="n"/>
      <c r="N60" s="21" t="n"/>
      <c r="O60" s="27">
        <f>IF(B60="","",IFERROR(IF(VLOOKUP(B60,Lists!$A$2:$B$12,2,FALSE)="","",HYPERLINK(VLOOKUP(B60,Lists!$A$2:$B$12,2,FALSE),"How long valid?")),""))</f>
        <v/>
      </c>
      <c r="P60" s="21" t="n"/>
    </row>
    <row r="61">
      <c r="A61" s="21" t="n"/>
      <c r="B61" s="21" t="n"/>
      <c r="C61" s="22" t="n"/>
      <c r="D61" s="22" t="n"/>
      <c r="E61" s="23" t="n"/>
      <c r="F61" s="24">
        <f>IF(ISNUMBER(D61),D61-IF(ISNUMBER(E61),E61,30),"")</f>
        <v/>
      </c>
      <c r="G61" s="25">
        <f>IF(D61="","",IF(ISNUMBER(D61),D61-TODAY(),"Check date"))</f>
        <v/>
      </c>
      <c r="H61" s="26">
        <f>IF(G61="","",IF(ISNUMBER(G61),IF(G61&lt;0,"Expired",IF(G61&lt;=30,"Due ≤30 days",IF(G61&lt;=90,"Due ≤90 days","OK"))),"Check date"))</f>
        <v/>
      </c>
      <c r="I61" s="21" t="n"/>
      <c r="J61" s="21" t="n"/>
      <c r="K61" s="22" t="n"/>
      <c r="L61" s="21" t="n"/>
      <c r="M61" s="21" t="n"/>
      <c r="N61" s="21" t="n"/>
      <c r="O61" s="27">
        <f>IF(B61="","",IFERROR(IF(VLOOKUP(B61,Lists!$A$2:$B$12,2,FALSE)="","",HYPERLINK(VLOOKUP(B61,Lists!$A$2:$B$12,2,FALSE),"How long valid?")),""))</f>
        <v/>
      </c>
      <c r="P61" s="21" t="n"/>
    </row>
    <row r="62">
      <c r="A62" s="21" t="n"/>
      <c r="B62" s="21" t="n"/>
      <c r="C62" s="22" t="n"/>
      <c r="D62" s="22" t="n"/>
      <c r="E62" s="23" t="n"/>
      <c r="F62" s="24">
        <f>IF(ISNUMBER(D62),D62-IF(ISNUMBER(E62),E62,30),"")</f>
        <v/>
      </c>
      <c r="G62" s="25">
        <f>IF(D62="","",IF(ISNUMBER(D62),D62-TODAY(),"Check date"))</f>
        <v/>
      </c>
      <c r="H62" s="26">
        <f>IF(G62="","",IF(ISNUMBER(G62),IF(G62&lt;0,"Expired",IF(G62&lt;=30,"Due ≤30 days",IF(G62&lt;=90,"Due ≤90 days","OK"))),"Check date"))</f>
        <v/>
      </c>
      <c r="I62" s="21" t="n"/>
      <c r="J62" s="21" t="n"/>
      <c r="K62" s="22" t="n"/>
      <c r="L62" s="21" t="n"/>
      <c r="M62" s="21" t="n"/>
      <c r="N62" s="21" t="n"/>
      <c r="O62" s="27">
        <f>IF(B62="","",IFERROR(IF(VLOOKUP(B62,Lists!$A$2:$B$12,2,FALSE)="","",HYPERLINK(VLOOKUP(B62,Lists!$A$2:$B$12,2,FALSE),"How long valid?")),""))</f>
        <v/>
      </c>
      <c r="P62" s="21" t="n"/>
    </row>
    <row r="63">
      <c r="A63" s="21" t="n"/>
      <c r="B63" s="21" t="n"/>
      <c r="C63" s="22" t="n"/>
      <c r="D63" s="22" t="n"/>
      <c r="E63" s="23" t="n"/>
      <c r="F63" s="24">
        <f>IF(ISNUMBER(D63),D63-IF(ISNUMBER(E63),E63,30),"")</f>
        <v/>
      </c>
      <c r="G63" s="25">
        <f>IF(D63="","",IF(ISNUMBER(D63),D63-TODAY(),"Check date"))</f>
        <v/>
      </c>
      <c r="H63" s="26">
        <f>IF(G63="","",IF(ISNUMBER(G63),IF(G63&lt;0,"Expired",IF(G63&lt;=30,"Due ≤30 days",IF(G63&lt;=90,"Due ≤90 days","OK"))),"Check date"))</f>
        <v/>
      </c>
      <c r="I63" s="21" t="n"/>
      <c r="J63" s="21" t="n"/>
      <c r="K63" s="22" t="n"/>
      <c r="L63" s="21" t="n"/>
      <c r="M63" s="21" t="n"/>
      <c r="N63" s="21" t="n"/>
      <c r="O63" s="27">
        <f>IF(B63="","",IFERROR(IF(VLOOKUP(B63,Lists!$A$2:$B$12,2,FALSE)="","",HYPERLINK(VLOOKUP(B63,Lists!$A$2:$B$12,2,FALSE),"How long valid?")),""))</f>
        <v/>
      </c>
      <c r="P63" s="21" t="n"/>
    </row>
    <row r="64">
      <c r="A64" s="21" t="n"/>
      <c r="B64" s="21" t="n"/>
      <c r="C64" s="22" t="n"/>
      <c r="D64" s="22" t="n"/>
      <c r="E64" s="23" t="n"/>
      <c r="F64" s="24">
        <f>IF(ISNUMBER(D64),D64-IF(ISNUMBER(E64),E64,30),"")</f>
        <v/>
      </c>
      <c r="G64" s="25">
        <f>IF(D64="","",IF(ISNUMBER(D64),D64-TODAY(),"Check date"))</f>
        <v/>
      </c>
      <c r="H64" s="26">
        <f>IF(G64="","",IF(ISNUMBER(G64),IF(G64&lt;0,"Expired",IF(G64&lt;=30,"Due ≤30 days",IF(G64&lt;=90,"Due ≤90 days","OK"))),"Check date"))</f>
        <v/>
      </c>
      <c r="I64" s="21" t="n"/>
      <c r="J64" s="21" t="n"/>
      <c r="K64" s="22" t="n"/>
      <c r="L64" s="21" t="n"/>
      <c r="M64" s="21" t="n"/>
      <c r="N64" s="21" t="n"/>
      <c r="O64" s="27">
        <f>IF(B64="","",IFERROR(IF(VLOOKUP(B64,Lists!$A$2:$B$12,2,FALSE)="","",HYPERLINK(VLOOKUP(B64,Lists!$A$2:$B$12,2,FALSE),"How long valid?")),""))</f>
        <v/>
      </c>
      <c r="P64" s="21" t="n"/>
    </row>
    <row r="65">
      <c r="A65" s="21" t="n"/>
      <c r="B65" s="21" t="n"/>
      <c r="C65" s="22" t="n"/>
      <c r="D65" s="22" t="n"/>
      <c r="E65" s="23" t="n"/>
      <c r="F65" s="24">
        <f>IF(ISNUMBER(D65),D65-IF(ISNUMBER(E65),E65,30),"")</f>
        <v/>
      </c>
      <c r="G65" s="25">
        <f>IF(D65="","",IF(ISNUMBER(D65),D65-TODAY(),"Check date"))</f>
        <v/>
      </c>
      <c r="H65" s="26">
        <f>IF(G65="","",IF(ISNUMBER(G65),IF(G65&lt;0,"Expired",IF(G65&lt;=30,"Due ≤30 days",IF(G65&lt;=90,"Due ≤90 days","OK"))),"Check date"))</f>
        <v/>
      </c>
      <c r="I65" s="21" t="n"/>
      <c r="J65" s="21" t="n"/>
      <c r="K65" s="22" t="n"/>
      <c r="L65" s="21" t="n"/>
      <c r="M65" s="21" t="n"/>
      <c r="N65" s="21" t="n"/>
      <c r="O65" s="27">
        <f>IF(B65="","",IFERROR(IF(VLOOKUP(B65,Lists!$A$2:$B$12,2,FALSE)="","",HYPERLINK(VLOOKUP(B65,Lists!$A$2:$B$12,2,FALSE),"How long valid?")),""))</f>
        <v/>
      </c>
      <c r="P65" s="21" t="n"/>
    </row>
    <row r="66">
      <c r="A66" s="21" t="n"/>
      <c r="B66" s="21" t="n"/>
      <c r="C66" s="22" t="n"/>
      <c r="D66" s="22" t="n"/>
      <c r="E66" s="23" t="n"/>
      <c r="F66" s="24">
        <f>IF(ISNUMBER(D66),D66-IF(ISNUMBER(E66),E66,30),"")</f>
        <v/>
      </c>
      <c r="G66" s="25">
        <f>IF(D66="","",IF(ISNUMBER(D66),D66-TODAY(),"Check date"))</f>
        <v/>
      </c>
      <c r="H66" s="26">
        <f>IF(G66="","",IF(ISNUMBER(G66),IF(G66&lt;0,"Expired",IF(G66&lt;=30,"Due ≤30 days",IF(G66&lt;=90,"Due ≤90 days","OK"))),"Check date"))</f>
        <v/>
      </c>
      <c r="I66" s="21" t="n"/>
      <c r="J66" s="21" t="n"/>
      <c r="K66" s="22" t="n"/>
      <c r="L66" s="21" t="n"/>
      <c r="M66" s="21" t="n"/>
      <c r="N66" s="21" t="n"/>
      <c r="O66" s="27">
        <f>IF(B66="","",IFERROR(IF(VLOOKUP(B66,Lists!$A$2:$B$12,2,FALSE)="","",HYPERLINK(VLOOKUP(B66,Lists!$A$2:$B$12,2,FALSE),"How long valid?")),""))</f>
        <v/>
      </c>
      <c r="P66" s="21" t="n"/>
    </row>
    <row r="67">
      <c r="A67" s="21" t="n"/>
      <c r="B67" s="21" t="n"/>
      <c r="C67" s="22" t="n"/>
      <c r="D67" s="22" t="n"/>
      <c r="E67" s="23" t="n"/>
      <c r="F67" s="24">
        <f>IF(ISNUMBER(D67),D67-IF(ISNUMBER(E67),E67,30),"")</f>
        <v/>
      </c>
      <c r="G67" s="25">
        <f>IF(D67="","",IF(ISNUMBER(D67),D67-TODAY(),"Check date"))</f>
        <v/>
      </c>
      <c r="H67" s="26">
        <f>IF(G67="","",IF(ISNUMBER(G67),IF(G67&lt;0,"Expired",IF(G67&lt;=30,"Due ≤30 days",IF(G67&lt;=90,"Due ≤90 days","OK"))),"Check date"))</f>
        <v/>
      </c>
      <c r="I67" s="21" t="n"/>
      <c r="J67" s="21" t="n"/>
      <c r="K67" s="22" t="n"/>
      <c r="L67" s="21" t="n"/>
      <c r="M67" s="21" t="n"/>
      <c r="N67" s="21" t="n"/>
      <c r="O67" s="27">
        <f>IF(B67="","",IFERROR(IF(VLOOKUP(B67,Lists!$A$2:$B$12,2,FALSE)="","",HYPERLINK(VLOOKUP(B67,Lists!$A$2:$B$12,2,FALSE),"How long valid?")),""))</f>
        <v/>
      </c>
      <c r="P67" s="21" t="n"/>
    </row>
    <row r="68">
      <c r="A68" s="21" t="n"/>
      <c r="B68" s="21" t="n"/>
      <c r="C68" s="22" t="n"/>
      <c r="D68" s="22" t="n"/>
      <c r="E68" s="23" t="n"/>
      <c r="F68" s="24">
        <f>IF(ISNUMBER(D68),D68-IF(ISNUMBER(E68),E68,30),"")</f>
        <v/>
      </c>
      <c r="G68" s="25">
        <f>IF(D68="","",IF(ISNUMBER(D68),D68-TODAY(),"Check date"))</f>
        <v/>
      </c>
      <c r="H68" s="26">
        <f>IF(G68="","",IF(ISNUMBER(G68),IF(G68&lt;0,"Expired",IF(G68&lt;=30,"Due ≤30 days",IF(G68&lt;=90,"Due ≤90 days","OK"))),"Check date"))</f>
        <v/>
      </c>
      <c r="I68" s="21" t="n"/>
      <c r="J68" s="21" t="n"/>
      <c r="K68" s="22" t="n"/>
      <c r="L68" s="21" t="n"/>
      <c r="M68" s="21" t="n"/>
      <c r="N68" s="21" t="n"/>
      <c r="O68" s="27">
        <f>IF(B68="","",IFERROR(IF(VLOOKUP(B68,Lists!$A$2:$B$12,2,FALSE)="","",HYPERLINK(VLOOKUP(B68,Lists!$A$2:$B$12,2,FALSE),"How long valid?")),""))</f>
        <v/>
      </c>
      <c r="P68" s="21" t="n"/>
    </row>
    <row r="69">
      <c r="A69" s="21" t="n"/>
      <c r="B69" s="21" t="n"/>
      <c r="C69" s="22" t="n"/>
      <c r="D69" s="22" t="n"/>
      <c r="E69" s="23" t="n"/>
      <c r="F69" s="24">
        <f>IF(ISNUMBER(D69),D69-IF(ISNUMBER(E69),E69,30),"")</f>
        <v/>
      </c>
      <c r="G69" s="25">
        <f>IF(D69="","",IF(ISNUMBER(D69),D69-TODAY(),"Check date"))</f>
        <v/>
      </c>
      <c r="H69" s="26">
        <f>IF(G69="","",IF(ISNUMBER(G69),IF(G69&lt;0,"Expired",IF(G69&lt;=30,"Due ≤30 days",IF(G69&lt;=90,"Due ≤90 days","OK"))),"Check date"))</f>
        <v/>
      </c>
      <c r="I69" s="21" t="n"/>
      <c r="J69" s="21" t="n"/>
      <c r="K69" s="22" t="n"/>
      <c r="L69" s="21" t="n"/>
      <c r="M69" s="21" t="n"/>
      <c r="N69" s="21" t="n"/>
      <c r="O69" s="27">
        <f>IF(B69="","",IFERROR(IF(VLOOKUP(B69,Lists!$A$2:$B$12,2,FALSE)="","",HYPERLINK(VLOOKUP(B69,Lists!$A$2:$B$12,2,FALSE),"How long valid?")),""))</f>
        <v/>
      </c>
      <c r="P69" s="21" t="n"/>
    </row>
    <row r="70">
      <c r="A70" s="21" t="n"/>
      <c r="B70" s="21" t="n"/>
      <c r="C70" s="22" t="n"/>
      <c r="D70" s="22" t="n"/>
      <c r="E70" s="23" t="n"/>
      <c r="F70" s="24">
        <f>IF(ISNUMBER(D70),D70-IF(ISNUMBER(E70),E70,30),"")</f>
        <v/>
      </c>
      <c r="G70" s="25">
        <f>IF(D70="","",IF(ISNUMBER(D70),D70-TODAY(),"Check date"))</f>
        <v/>
      </c>
      <c r="H70" s="26">
        <f>IF(G70="","",IF(ISNUMBER(G70),IF(G70&lt;0,"Expired",IF(G70&lt;=30,"Due ≤30 days",IF(G70&lt;=90,"Due ≤90 days","OK"))),"Check date"))</f>
        <v/>
      </c>
      <c r="I70" s="21" t="n"/>
      <c r="J70" s="21" t="n"/>
      <c r="K70" s="22" t="n"/>
      <c r="L70" s="21" t="n"/>
      <c r="M70" s="21" t="n"/>
      <c r="N70" s="21" t="n"/>
      <c r="O70" s="27">
        <f>IF(B70="","",IFERROR(IF(VLOOKUP(B70,Lists!$A$2:$B$12,2,FALSE)="","",HYPERLINK(VLOOKUP(B70,Lists!$A$2:$B$12,2,FALSE),"How long valid?")),""))</f>
        <v/>
      </c>
      <c r="P70" s="21" t="n"/>
    </row>
    <row r="71">
      <c r="A71" s="21" t="n"/>
      <c r="B71" s="21" t="n"/>
      <c r="C71" s="22" t="n"/>
      <c r="D71" s="22" t="n"/>
      <c r="E71" s="23" t="n"/>
      <c r="F71" s="24">
        <f>IF(ISNUMBER(D71),D71-IF(ISNUMBER(E71),E71,30),"")</f>
        <v/>
      </c>
      <c r="G71" s="25">
        <f>IF(D71="","",IF(ISNUMBER(D71),D71-TODAY(),"Check date"))</f>
        <v/>
      </c>
      <c r="H71" s="26">
        <f>IF(G71="","",IF(ISNUMBER(G71),IF(G71&lt;0,"Expired",IF(G71&lt;=30,"Due ≤30 days",IF(G71&lt;=90,"Due ≤90 days","OK"))),"Check date"))</f>
        <v/>
      </c>
      <c r="I71" s="21" t="n"/>
      <c r="J71" s="21" t="n"/>
      <c r="K71" s="22" t="n"/>
      <c r="L71" s="21" t="n"/>
      <c r="M71" s="21" t="n"/>
      <c r="N71" s="21" t="n"/>
      <c r="O71" s="27">
        <f>IF(B71="","",IFERROR(IF(VLOOKUP(B71,Lists!$A$2:$B$12,2,FALSE)="","",HYPERLINK(VLOOKUP(B71,Lists!$A$2:$B$12,2,FALSE),"How long valid?")),""))</f>
        <v/>
      </c>
      <c r="P71" s="21" t="n"/>
    </row>
    <row r="72">
      <c r="A72" s="21" t="n"/>
      <c r="B72" s="21" t="n"/>
      <c r="C72" s="22" t="n"/>
      <c r="D72" s="22" t="n"/>
      <c r="E72" s="23" t="n"/>
      <c r="F72" s="24">
        <f>IF(ISNUMBER(D72),D72-IF(ISNUMBER(E72),E72,30),"")</f>
        <v/>
      </c>
      <c r="G72" s="25">
        <f>IF(D72="","",IF(ISNUMBER(D72),D72-TODAY(),"Check date"))</f>
        <v/>
      </c>
      <c r="H72" s="26">
        <f>IF(G72="","",IF(ISNUMBER(G72),IF(G72&lt;0,"Expired",IF(G72&lt;=30,"Due ≤30 days",IF(G72&lt;=90,"Due ≤90 days","OK"))),"Check date"))</f>
        <v/>
      </c>
      <c r="I72" s="21" t="n"/>
      <c r="J72" s="21" t="n"/>
      <c r="K72" s="22" t="n"/>
      <c r="L72" s="21" t="n"/>
      <c r="M72" s="21" t="n"/>
      <c r="N72" s="21" t="n"/>
      <c r="O72" s="27">
        <f>IF(B72="","",IFERROR(IF(VLOOKUP(B72,Lists!$A$2:$B$12,2,FALSE)="","",HYPERLINK(VLOOKUP(B72,Lists!$A$2:$B$12,2,FALSE),"How long valid?")),""))</f>
        <v/>
      </c>
      <c r="P72" s="21" t="n"/>
    </row>
    <row r="73">
      <c r="A73" s="21" t="n"/>
      <c r="B73" s="21" t="n"/>
      <c r="C73" s="22" t="n"/>
      <c r="D73" s="22" t="n"/>
      <c r="E73" s="23" t="n"/>
      <c r="F73" s="24">
        <f>IF(ISNUMBER(D73),D73-IF(ISNUMBER(E73),E73,30),"")</f>
        <v/>
      </c>
      <c r="G73" s="25">
        <f>IF(D73="","",IF(ISNUMBER(D73),D73-TODAY(),"Check date"))</f>
        <v/>
      </c>
      <c r="H73" s="26">
        <f>IF(G73="","",IF(ISNUMBER(G73),IF(G73&lt;0,"Expired",IF(G73&lt;=30,"Due ≤30 days",IF(G73&lt;=90,"Due ≤90 days","OK"))),"Check date"))</f>
        <v/>
      </c>
      <c r="I73" s="21" t="n"/>
      <c r="J73" s="21" t="n"/>
      <c r="K73" s="22" t="n"/>
      <c r="L73" s="21" t="n"/>
      <c r="M73" s="21" t="n"/>
      <c r="N73" s="21" t="n"/>
      <c r="O73" s="27">
        <f>IF(B73="","",IFERROR(IF(VLOOKUP(B73,Lists!$A$2:$B$12,2,FALSE)="","",HYPERLINK(VLOOKUP(B73,Lists!$A$2:$B$12,2,FALSE),"How long valid?")),""))</f>
        <v/>
      </c>
      <c r="P73" s="21" t="n"/>
    </row>
    <row r="74">
      <c r="A74" s="21" t="n"/>
      <c r="B74" s="21" t="n"/>
      <c r="C74" s="22" t="n"/>
      <c r="D74" s="22" t="n"/>
      <c r="E74" s="23" t="n"/>
      <c r="F74" s="24">
        <f>IF(ISNUMBER(D74),D74-IF(ISNUMBER(E74),E74,30),"")</f>
        <v/>
      </c>
      <c r="G74" s="25">
        <f>IF(D74="","",IF(ISNUMBER(D74),D74-TODAY(),"Check date"))</f>
        <v/>
      </c>
      <c r="H74" s="26">
        <f>IF(G74="","",IF(ISNUMBER(G74),IF(G74&lt;0,"Expired",IF(G74&lt;=30,"Due ≤30 days",IF(G74&lt;=90,"Due ≤90 days","OK"))),"Check date"))</f>
        <v/>
      </c>
      <c r="I74" s="21" t="n"/>
      <c r="J74" s="21" t="n"/>
      <c r="K74" s="22" t="n"/>
      <c r="L74" s="21" t="n"/>
      <c r="M74" s="21" t="n"/>
      <c r="N74" s="21" t="n"/>
      <c r="O74" s="27">
        <f>IF(B74="","",IFERROR(IF(VLOOKUP(B74,Lists!$A$2:$B$12,2,FALSE)="","",HYPERLINK(VLOOKUP(B74,Lists!$A$2:$B$12,2,FALSE),"How long valid?")),""))</f>
        <v/>
      </c>
      <c r="P74" s="21" t="n"/>
    </row>
    <row r="75">
      <c r="A75" s="21" t="n"/>
      <c r="B75" s="21" t="n"/>
      <c r="C75" s="22" t="n"/>
      <c r="D75" s="22" t="n"/>
      <c r="E75" s="23" t="n"/>
      <c r="F75" s="24">
        <f>IF(ISNUMBER(D75),D75-IF(ISNUMBER(E75),E75,30),"")</f>
        <v/>
      </c>
      <c r="G75" s="25">
        <f>IF(D75="","",IF(ISNUMBER(D75),D75-TODAY(),"Check date"))</f>
        <v/>
      </c>
      <c r="H75" s="26">
        <f>IF(G75="","",IF(ISNUMBER(G75),IF(G75&lt;0,"Expired",IF(G75&lt;=30,"Due ≤30 days",IF(G75&lt;=90,"Due ≤90 days","OK"))),"Check date"))</f>
        <v/>
      </c>
      <c r="I75" s="21" t="n"/>
      <c r="J75" s="21" t="n"/>
      <c r="K75" s="22" t="n"/>
      <c r="L75" s="21" t="n"/>
      <c r="M75" s="21" t="n"/>
      <c r="N75" s="21" t="n"/>
      <c r="O75" s="27">
        <f>IF(B75="","",IFERROR(IF(VLOOKUP(B75,Lists!$A$2:$B$12,2,FALSE)="","",HYPERLINK(VLOOKUP(B75,Lists!$A$2:$B$12,2,FALSE),"How long valid?")),""))</f>
        <v/>
      </c>
      <c r="P75" s="21" t="n"/>
    </row>
    <row r="76">
      <c r="A76" s="21" t="n"/>
      <c r="B76" s="21" t="n"/>
      <c r="C76" s="22" t="n"/>
      <c r="D76" s="22" t="n"/>
      <c r="E76" s="23" t="n"/>
      <c r="F76" s="24">
        <f>IF(ISNUMBER(D76),D76-IF(ISNUMBER(E76),E76,30),"")</f>
        <v/>
      </c>
      <c r="G76" s="25">
        <f>IF(D76="","",IF(ISNUMBER(D76),D76-TODAY(),"Check date"))</f>
        <v/>
      </c>
      <c r="H76" s="26">
        <f>IF(G76="","",IF(ISNUMBER(G76),IF(G76&lt;0,"Expired",IF(G76&lt;=30,"Due ≤30 days",IF(G76&lt;=90,"Due ≤90 days","OK"))),"Check date"))</f>
        <v/>
      </c>
      <c r="I76" s="21" t="n"/>
      <c r="J76" s="21" t="n"/>
      <c r="K76" s="22" t="n"/>
      <c r="L76" s="21" t="n"/>
      <c r="M76" s="21" t="n"/>
      <c r="N76" s="21" t="n"/>
      <c r="O76" s="27">
        <f>IF(B76="","",IFERROR(IF(VLOOKUP(B76,Lists!$A$2:$B$12,2,FALSE)="","",HYPERLINK(VLOOKUP(B76,Lists!$A$2:$B$12,2,FALSE),"How long valid?")),""))</f>
        <v/>
      </c>
      <c r="P76" s="21" t="n"/>
    </row>
    <row r="77">
      <c r="A77" s="21" t="n"/>
      <c r="B77" s="21" t="n"/>
      <c r="C77" s="22" t="n"/>
      <c r="D77" s="22" t="n"/>
      <c r="E77" s="23" t="n"/>
      <c r="F77" s="24">
        <f>IF(ISNUMBER(D77),D77-IF(ISNUMBER(E77),E77,30),"")</f>
        <v/>
      </c>
      <c r="G77" s="25">
        <f>IF(D77="","",IF(ISNUMBER(D77),D77-TODAY(),"Check date"))</f>
        <v/>
      </c>
      <c r="H77" s="26">
        <f>IF(G77="","",IF(ISNUMBER(G77),IF(G77&lt;0,"Expired",IF(G77&lt;=30,"Due ≤30 days",IF(G77&lt;=90,"Due ≤90 days","OK"))),"Check date"))</f>
        <v/>
      </c>
      <c r="I77" s="21" t="n"/>
      <c r="J77" s="21" t="n"/>
      <c r="K77" s="22" t="n"/>
      <c r="L77" s="21" t="n"/>
      <c r="M77" s="21" t="n"/>
      <c r="N77" s="21" t="n"/>
      <c r="O77" s="27">
        <f>IF(B77="","",IFERROR(IF(VLOOKUP(B77,Lists!$A$2:$B$12,2,FALSE)="","",HYPERLINK(VLOOKUP(B77,Lists!$A$2:$B$12,2,FALSE),"How long valid?")),""))</f>
        <v/>
      </c>
      <c r="P77" s="21" t="n"/>
    </row>
    <row r="78">
      <c r="A78" s="21" t="n"/>
      <c r="B78" s="21" t="n"/>
      <c r="C78" s="22" t="n"/>
      <c r="D78" s="22" t="n"/>
      <c r="E78" s="23" t="n"/>
      <c r="F78" s="24">
        <f>IF(ISNUMBER(D78),D78-IF(ISNUMBER(E78),E78,30),"")</f>
        <v/>
      </c>
      <c r="G78" s="25">
        <f>IF(D78="","",IF(ISNUMBER(D78),D78-TODAY(),"Check date"))</f>
        <v/>
      </c>
      <c r="H78" s="26">
        <f>IF(G78="","",IF(ISNUMBER(G78),IF(G78&lt;0,"Expired",IF(G78&lt;=30,"Due ≤30 days",IF(G78&lt;=90,"Due ≤90 days","OK"))),"Check date"))</f>
        <v/>
      </c>
      <c r="I78" s="21" t="n"/>
      <c r="J78" s="21" t="n"/>
      <c r="K78" s="22" t="n"/>
      <c r="L78" s="21" t="n"/>
      <c r="M78" s="21" t="n"/>
      <c r="N78" s="21" t="n"/>
      <c r="O78" s="27">
        <f>IF(B78="","",IFERROR(IF(VLOOKUP(B78,Lists!$A$2:$B$12,2,FALSE)="","",HYPERLINK(VLOOKUP(B78,Lists!$A$2:$B$12,2,FALSE),"How long valid?")),""))</f>
        <v/>
      </c>
      <c r="P78" s="21" t="n"/>
    </row>
    <row r="79">
      <c r="A79" s="21" t="n"/>
      <c r="B79" s="21" t="n"/>
      <c r="C79" s="22" t="n"/>
      <c r="D79" s="22" t="n"/>
      <c r="E79" s="23" t="n"/>
      <c r="F79" s="24">
        <f>IF(ISNUMBER(D79),D79-IF(ISNUMBER(E79),E79,30),"")</f>
        <v/>
      </c>
      <c r="G79" s="25">
        <f>IF(D79="","",IF(ISNUMBER(D79),D79-TODAY(),"Check date"))</f>
        <v/>
      </c>
      <c r="H79" s="26">
        <f>IF(G79="","",IF(ISNUMBER(G79),IF(G79&lt;0,"Expired",IF(G79&lt;=30,"Due ≤30 days",IF(G79&lt;=90,"Due ≤90 days","OK"))),"Check date"))</f>
        <v/>
      </c>
      <c r="I79" s="21" t="n"/>
      <c r="J79" s="21" t="n"/>
      <c r="K79" s="22" t="n"/>
      <c r="L79" s="21" t="n"/>
      <c r="M79" s="21" t="n"/>
      <c r="N79" s="21" t="n"/>
      <c r="O79" s="27">
        <f>IF(B79="","",IFERROR(IF(VLOOKUP(B79,Lists!$A$2:$B$12,2,FALSE)="","",HYPERLINK(VLOOKUP(B79,Lists!$A$2:$B$12,2,FALSE),"How long valid?")),""))</f>
        <v/>
      </c>
      <c r="P79" s="21" t="n"/>
    </row>
    <row r="80">
      <c r="A80" s="21" t="n"/>
      <c r="B80" s="21" t="n"/>
      <c r="C80" s="22" t="n"/>
      <c r="D80" s="22" t="n"/>
      <c r="E80" s="23" t="n"/>
      <c r="F80" s="24">
        <f>IF(ISNUMBER(D80),D80-IF(ISNUMBER(E80),E80,30),"")</f>
        <v/>
      </c>
      <c r="G80" s="25">
        <f>IF(D80="","",IF(ISNUMBER(D80),D80-TODAY(),"Check date"))</f>
        <v/>
      </c>
      <c r="H80" s="26">
        <f>IF(G80="","",IF(ISNUMBER(G80),IF(G80&lt;0,"Expired",IF(G80&lt;=30,"Due ≤30 days",IF(G80&lt;=90,"Due ≤90 days","OK"))),"Check date"))</f>
        <v/>
      </c>
      <c r="I80" s="21" t="n"/>
      <c r="J80" s="21" t="n"/>
      <c r="K80" s="22" t="n"/>
      <c r="L80" s="21" t="n"/>
      <c r="M80" s="21" t="n"/>
      <c r="N80" s="21" t="n"/>
      <c r="O80" s="27">
        <f>IF(B80="","",IFERROR(IF(VLOOKUP(B80,Lists!$A$2:$B$12,2,FALSE)="","",HYPERLINK(VLOOKUP(B80,Lists!$A$2:$B$12,2,FALSE),"How long valid?")),""))</f>
        <v/>
      </c>
      <c r="P80" s="21" t="n"/>
    </row>
    <row r="81">
      <c r="A81" s="21" t="n"/>
      <c r="B81" s="21" t="n"/>
      <c r="C81" s="22" t="n"/>
      <c r="D81" s="22" t="n"/>
      <c r="E81" s="23" t="n"/>
      <c r="F81" s="24">
        <f>IF(ISNUMBER(D81),D81-IF(ISNUMBER(E81),E81,30),"")</f>
        <v/>
      </c>
      <c r="G81" s="25">
        <f>IF(D81="","",IF(ISNUMBER(D81),D81-TODAY(),"Check date"))</f>
        <v/>
      </c>
      <c r="H81" s="26">
        <f>IF(G81="","",IF(ISNUMBER(G81),IF(G81&lt;0,"Expired",IF(G81&lt;=30,"Due ≤30 days",IF(G81&lt;=90,"Due ≤90 days","OK"))),"Check date"))</f>
        <v/>
      </c>
      <c r="I81" s="21" t="n"/>
      <c r="J81" s="21" t="n"/>
      <c r="K81" s="22" t="n"/>
      <c r="L81" s="21" t="n"/>
      <c r="M81" s="21" t="n"/>
      <c r="N81" s="21" t="n"/>
      <c r="O81" s="27">
        <f>IF(B81="","",IFERROR(IF(VLOOKUP(B81,Lists!$A$2:$B$12,2,FALSE)="","",HYPERLINK(VLOOKUP(B81,Lists!$A$2:$B$12,2,FALSE),"How long valid?")),""))</f>
        <v/>
      </c>
      <c r="P81" s="21" t="n"/>
    </row>
    <row r="82">
      <c r="A82" s="21" t="n"/>
      <c r="B82" s="21" t="n"/>
      <c r="C82" s="22" t="n"/>
      <c r="D82" s="22" t="n"/>
      <c r="E82" s="23" t="n"/>
      <c r="F82" s="24">
        <f>IF(ISNUMBER(D82),D82-IF(ISNUMBER(E82),E82,30),"")</f>
        <v/>
      </c>
      <c r="G82" s="25">
        <f>IF(D82="","",IF(ISNUMBER(D82),D82-TODAY(),"Check date"))</f>
        <v/>
      </c>
      <c r="H82" s="26">
        <f>IF(G82="","",IF(ISNUMBER(G82),IF(G82&lt;0,"Expired",IF(G82&lt;=30,"Due ≤30 days",IF(G82&lt;=90,"Due ≤90 days","OK"))),"Check date"))</f>
        <v/>
      </c>
      <c r="I82" s="21" t="n"/>
      <c r="J82" s="21" t="n"/>
      <c r="K82" s="22" t="n"/>
      <c r="L82" s="21" t="n"/>
      <c r="M82" s="21" t="n"/>
      <c r="N82" s="21" t="n"/>
      <c r="O82" s="27">
        <f>IF(B82="","",IFERROR(IF(VLOOKUP(B82,Lists!$A$2:$B$12,2,FALSE)="","",HYPERLINK(VLOOKUP(B82,Lists!$A$2:$B$12,2,FALSE),"How long valid?")),""))</f>
        <v/>
      </c>
      <c r="P82" s="21" t="n"/>
    </row>
    <row r="83">
      <c r="A83" s="21" t="n"/>
      <c r="B83" s="21" t="n"/>
      <c r="C83" s="22" t="n"/>
      <c r="D83" s="22" t="n"/>
      <c r="E83" s="23" t="n"/>
      <c r="F83" s="24">
        <f>IF(ISNUMBER(D83),D83-IF(ISNUMBER(E83),E83,30),"")</f>
        <v/>
      </c>
      <c r="G83" s="25">
        <f>IF(D83="","",IF(ISNUMBER(D83),D83-TODAY(),"Check date"))</f>
        <v/>
      </c>
      <c r="H83" s="26">
        <f>IF(G83="","",IF(ISNUMBER(G83),IF(G83&lt;0,"Expired",IF(G83&lt;=30,"Due ≤30 days",IF(G83&lt;=90,"Due ≤90 days","OK"))),"Check date"))</f>
        <v/>
      </c>
      <c r="I83" s="21" t="n"/>
      <c r="J83" s="21" t="n"/>
      <c r="K83" s="22" t="n"/>
      <c r="L83" s="21" t="n"/>
      <c r="M83" s="21" t="n"/>
      <c r="N83" s="21" t="n"/>
      <c r="O83" s="27">
        <f>IF(B83="","",IFERROR(IF(VLOOKUP(B83,Lists!$A$2:$B$12,2,FALSE)="","",HYPERLINK(VLOOKUP(B83,Lists!$A$2:$B$12,2,FALSE),"How long valid?")),""))</f>
        <v/>
      </c>
      <c r="P83" s="21" t="n"/>
    </row>
    <row r="84">
      <c r="A84" s="21" t="n"/>
      <c r="B84" s="21" t="n"/>
      <c r="C84" s="22" t="n"/>
      <c r="D84" s="22" t="n"/>
      <c r="E84" s="23" t="n"/>
      <c r="F84" s="24">
        <f>IF(ISNUMBER(D84),D84-IF(ISNUMBER(E84),E84,30),"")</f>
        <v/>
      </c>
      <c r="G84" s="25">
        <f>IF(D84="","",IF(ISNUMBER(D84),D84-TODAY(),"Check date"))</f>
        <v/>
      </c>
      <c r="H84" s="26">
        <f>IF(G84="","",IF(ISNUMBER(G84),IF(G84&lt;0,"Expired",IF(G84&lt;=30,"Due ≤30 days",IF(G84&lt;=90,"Due ≤90 days","OK"))),"Check date"))</f>
        <v/>
      </c>
      <c r="I84" s="21" t="n"/>
      <c r="J84" s="21" t="n"/>
      <c r="K84" s="22" t="n"/>
      <c r="L84" s="21" t="n"/>
      <c r="M84" s="21" t="n"/>
      <c r="N84" s="21" t="n"/>
      <c r="O84" s="27">
        <f>IF(B84="","",IFERROR(IF(VLOOKUP(B84,Lists!$A$2:$B$12,2,FALSE)="","",HYPERLINK(VLOOKUP(B84,Lists!$A$2:$B$12,2,FALSE),"How long valid?")),""))</f>
        <v/>
      </c>
      <c r="P84" s="21" t="n"/>
    </row>
    <row r="85">
      <c r="A85" s="21" t="n"/>
      <c r="B85" s="21" t="n"/>
      <c r="C85" s="22" t="n"/>
      <c r="D85" s="22" t="n"/>
      <c r="E85" s="23" t="n"/>
      <c r="F85" s="24">
        <f>IF(ISNUMBER(D85),D85-IF(ISNUMBER(E85),E85,30),"")</f>
        <v/>
      </c>
      <c r="G85" s="25">
        <f>IF(D85="","",IF(ISNUMBER(D85),D85-TODAY(),"Check date"))</f>
        <v/>
      </c>
      <c r="H85" s="26">
        <f>IF(G85="","",IF(ISNUMBER(G85),IF(G85&lt;0,"Expired",IF(G85&lt;=30,"Due ≤30 days",IF(G85&lt;=90,"Due ≤90 days","OK"))),"Check date"))</f>
        <v/>
      </c>
      <c r="I85" s="21" t="n"/>
      <c r="J85" s="21" t="n"/>
      <c r="K85" s="22" t="n"/>
      <c r="L85" s="21" t="n"/>
      <c r="M85" s="21" t="n"/>
      <c r="N85" s="21" t="n"/>
      <c r="O85" s="27">
        <f>IF(B85="","",IFERROR(IF(VLOOKUP(B85,Lists!$A$2:$B$12,2,FALSE)="","",HYPERLINK(VLOOKUP(B85,Lists!$A$2:$B$12,2,FALSE),"How long valid?")),""))</f>
        <v/>
      </c>
      <c r="P85" s="21" t="n"/>
    </row>
    <row r="86">
      <c r="A86" s="21" t="n"/>
      <c r="B86" s="21" t="n"/>
      <c r="C86" s="22" t="n"/>
      <c r="D86" s="22" t="n"/>
      <c r="E86" s="23" t="n"/>
      <c r="F86" s="24">
        <f>IF(ISNUMBER(D86),D86-IF(ISNUMBER(E86),E86,30),"")</f>
        <v/>
      </c>
      <c r="G86" s="25">
        <f>IF(D86="","",IF(ISNUMBER(D86),D86-TODAY(),"Check date"))</f>
        <v/>
      </c>
      <c r="H86" s="26">
        <f>IF(G86="","",IF(ISNUMBER(G86),IF(G86&lt;0,"Expired",IF(G86&lt;=30,"Due ≤30 days",IF(G86&lt;=90,"Due ≤90 days","OK"))),"Check date"))</f>
        <v/>
      </c>
      <c r="I86" s="21" t="n"/>
      <c r="J86" s="21" t="n"/>
      <c r="K86" s="22" t="n"/>
      <c r="L86" s="21" t="n"/>
      <c r="M86" s="21" t="n"/>
      <c r="N86" s="21" t="n"/>
      <c r="O86" s="27">
        <f>IF(B86="","",IFERROR(IF(VLOOKUP(B86,Lists!$A$2:$B$12,2,FALSE)="","",HYPERLINK(VLOOKUP(B86,Lists!$A$2:$B$12,2,FALSE),"How long valid?")),""))</f>
        <v/>
      </c>
      <c r="P86" s="21" t="n"/>
    </row>
    <row r="87">
      <c r="A87" s="21" t="n"/>
      <c r="B87" s="21" t="n"/>
      <c r="C87" s="22" t="n"/>
      <c r="D87" s="22" t="n"/>
      <c r="E87" s="23" t="n"/>
      <c r="F87" s="24">
        <f>IF(ISNUMBER(D87),D87-IF(ISNUMBER(E87),E87,30),"")</f>
        <v/>
      </c>
      <c r="G87" s="25">
        <f>IF(D87="","",IF(ISNUMBER(D87),D87-TODAY(),"Check date"))</f>
        <v/>
      </c>
      <c r="H87" s="26">
        <f>IF(G87="","",IF(ISNUMBER(G87),IF(G87&lt;0,"Expired",IF(G87&lt;=30,"Due ≤30 days",IF(G87&lt;=90,"Due ≤90 days","OK"))),"Check date"))</f>
        <v/>
      </c>
      <c r="I87" s="21" t="n"/>
      <c r="J87" s="21" t="n"/>
      <c r="K87" s="22" t="n"/>
      <c r="L87" s="21" t="n"/>
      <c r="M87" s="21" t="n"/>
      <c r="N87" s="21" t="n"/>
      <c r="O87" s="27">
        <f>IF(B87="","",IFERROR(IF(VLOOKUP(B87,Lists!$A$2:$B$12,2,FALSE)="","",HYPERLINK(VLOOKUP(B87,Lists!$A$2:$B$12,2,FALSE),"How long valid?")),""))</f>
        <v/>
      </c>
      <c r="P87" s="21" t="n"/>
    </row>
    <row r="88">
      <c r="A88" s="21" t="n"/>
      <c r="B88" s="21" t="n"/>
      <c r="C88" s="22" t="n"/>
      <c r="D88" s="22" t="n"/>
      <c r="E88" s="23" t="n"/>
      <c r="F88" s="24">
        <f>IF(ISNUMBER(D88),D88-IF(ISNUMBER(E88),E88,30),"")</f>
        <v/>
      </c>
      <c r="G88" s="25">
        <f>IF(D88="","",IF(ISNUMBER(D88),D88-TODAY(),"Check date"))</f>
        <v/>
      </c>
      <c r="H88" s="26">
        <f>IF(G88="","",IF(ISNUMBER(G88),IF(G88&lt;0,"Expired",IF(G88&lt;=30,"Due ≤30 days",IF(G88&lt;=90,"Due ≤90 days","OK"))),"Check date"))</f>
        <v/>
      </c>
      <c r="I88" s="21" t="n"/>
      <c r="J88" s="21" t="n"/>
      <c r="K88" s="22" t="n"/>
      <c r="L88" s="21" t="n"/>
      <c r="M88" s="21" t="n"/>
      <c r="N88" s="21" t="n"/>
      <c r="O88" s="27">
        <f>IF(B88="","",IFERROR(IF(VLOOKUP(B88,Lists!$A$2:$B$12,2,FALSE)="","",HYPERLINK(VLOOKUP(B88,Lists!$A$2:$B$12,2,FALSE),"How long valid?")),""))</f>
        <v/>
      </c>
      <c r="P88" s="21" t="n"/>
    </row>
    <row r="89">
      <c r="A89" s="21" t="n"/>
      <c r="B89" s="21" t="n"/>
      <c r="C89" s="22" t="n"/>
      <c r="D89" s="22" t="n"/>
      <c r="E89" s="23" t="n"/>
      <c r="F89" s="24">
        <f>IF(ISNUMBER(D89),D89-IF(ISNUMBER(E89),E89,30),"")</f>
        <v/>
      </c>
      <c r="G89" s="25">
        <f>IF(D89="","",IF(ISNUMBER(D89),D89-TODAY(),"Check date"))</f>
        <v/>
      </c>
      <c r="H89" s="26">
        <f>IF(G89="","",IF(ISNUMBER(G89),IF(G89&lt;0,"Expired",IF(G89&lt;=30,"Due ≤30 days",IF(G89&lt;=90,"Due ≤90 days","OK"))),"Check date"))</f>
        <v/>
      </c>
      <c r="I89" s="21" t="n"/>
      <c r="J89" s="21" t="n"/>
      <c r="K89" s="22" t="n"/>
      <c r="L89" s="21" t="n"/>
      <c r="M89" s="21" t="n"/>
      <c r="N89" s="21" t="n"/>
      <c r="O89" s="27">
        <f>IF(B89="","",IFERROR(IF(VLOOKUP(B89,Lists!$A$2:$B$12,2,FALSE)="","",HYPERLINK(VLOOKUP(B89,Lists!$A$2:$B$12,2,FALSE),"How long valid?")),""))</f>
        <v/>
      </c>
      <c r="P89" s="21" t="n"/>
    </row>
    <row r="90">
      <c r="A90" s="21" t="n"/>
      <c r="B90" s="21" t="n"/>
      <c r="C90" s="22" t="n"/>
      <c r="D90" s="22" t="n"/>
      <c r="E90" s="23" t="n"/>
      <c r="F90" s="24">
        <f>IF(ISNUMBER(D90),D90-IF(ISNUMBER(E90),E90,30),"")</f>
        <v/>
      </c>
      <c r="G90" s="25">
        <f>IF(D90="","",IF(ISNUMBER(D90),D90-TODAY(),"Check date"))</f>
        <v/>
      </c>
      <c r="H90" s="26">
        <f>IF(G90="","",IF(ISNUMBER(G90),IF(G90&lt;0,"Expired",IF(G90&lt;=30,"Due ≤30 days",IF(G90&lt;=90,"Due ≤90 days","OK"))),"Check date"))</f>
        <v/>
      </c>
      <c r="I90" s="21" t="n"/>
      <c r="J90" s="21" t="n"/>
      <c r="K90" s="22" t="n"/>
      <c r="L90" s="21" t="n"/>
      <c r="M90" s="21" t="n"/>
      <c r="N90" s="21" t="n"/>
      <c r="O90" s="27">
        <f>IF(B90="","",IFERROR(IF(VLOOKUP(B90,Lists!$A$2:$B$12,2,FALSE)="","",HYPERLINK(VLOOKUP(B90,Lists!$A$2:$B$12,2,FALSE),"How long valid?")),""))</f>
        <v/>
      </c>
      <c r="P90" s="21" t="n"/>
    </row>
    <row r="91">
      <c r="A91" s="21" t="n"/>
      <c r="B91" s="21" t="n"/>
      <c r="C91" s="22" t="n"/>
      <c r="D91" s="22" t="n"/>
      <c r="E91" s="23" t="n"/>
      <c r="F91" s="24">
        <f>IF(ISNUMBER(D91),D91-IF(ISNUMBER(E91),E91,30),"")</f>
        <v/>
      </c>
      <c r="G91" s="25">
        <f>IF(D91="","",IF(ISNUMBER(D91),D91-TODAY(),"Check date"))</f>
        <v/>
      </c>
      <c r="H91" s="26">
        <f>IF(G91="","",IF(ISNUMBER(G91),IF(G91&lt;0,"Expired",IF(G91&lt;=30,"Due ≤30 days",IF(G91&lt;=90,"Due ≤90 days","OK"))),"Check date"))</f>
        <v/>
      </c>
      <c r="I91" s="21" t="n"/>
      <c r="J91" s="21" t="n"/>
      <c r="K91" s="22" t="n"/>
      <c r="L91" s="21" t="n"/>
      <c r="M91" s="21" t="n"/>
      <c r="N91" s="21" t="n"/>
      <c r="O91" s="27">
        <f>IF(B91="","",IFERROR(IF(VLOOKUP(B91,Lists!$A$2:$B$12,2,FALSE)="","",HYPERLINK(VLOOKUP(B91,Lists!$A$2:$B$12,2,FALSE),"How long valid?")),""))</f>
        <v/>
      </c>
      <c r="P91" s="21" t="n"/>
    </row>
    <row r="92">
      <c r="A92" s="21" t="n"/>
      <c r="B92" s="21" t="n"/>
      <c r="C92" s="22" t="n"/>
      <c r="D92" s="22" t="n"/>
      <c r="E92" s="23" t="n"/>
      <c r="F92" s="24">
        <f>IF(ISNUMBER(D92),D92-IF(ISNUMBER(E92),E92,30),"")</f>
        <v/>
      </c>
      <c r="G92" s="25">
        <f>IF(D92="","",IF(ISNUMBER(D92),D92-TODAY(),"Check date"))</f>
        <v/>
      </c>
      <c r="H92" s="26">
        <f>IF(G92="","",IF(ISNUMBER(G92),IF(G92&lt;0,"Expired",IF(G92&lt;=30,"Due ≤30 days",IF(G92&lt;=90,"Due ≤90 days","OK"))),"Check date"))</f>
        <v/>
      </c>
      <c r="I92" s="21" t="n"/>
      <c r="J92" s="21" t="n"/>
      <c r="K92" s="22" t="n"/>
      <c r="L92" s="21" t="n"/>
      <c r="M92" s="21" t="n"/>
      <c r="N92" s="21" t="n"/>
      <c r="O92" s="27">
        <f>IF(B92="","",IFERROR(IF(VLOOKUP(B92,Lists!$A$2:$B$12,2,FALSE)="","",HYPERLINK(VLOOKUP(B92,Lists!$A$2:$B$12,2,FALSE),"How long valid?")),""))</f>
        <v/>
      </c>
      <c r="P92" s="21" t="n"/>
    </row>
    <row r="93">
      <c r="A93" s="21" t="n"/>
      <c r="B93" s="21" t="n"/>
      <c r="C93" s="22" t="n"/>
      <c r="D93" s="22" t="n"/>
      <c r="E93" s="23" t="n"/>
      <c r="F93" s="24">
        <f>IF(ISNUMBER(D93),D93-IF(ISNUMBER(E93),E93,30),"")</f>
        <v/>
      </c>
      <c r="G93" s="25">
        <f>IF(D93="","",IF(ISNUMBER(D93),D93-TODAY(),"Check date"))</f>
        <v/>
      </c>
      <c r="H93" s="26">
        <f>IF(G93="","",IF(ISNUMBER(G93),IF(G93&lt;0,"Expired",IF(G93&lt;=30,"Due ≤30 days",IF(G93&lt;=90,"Due ≤90 days","OK"))),"Check date"))</f>
        <v/>
      </c>
      <c r="I93" s="21" t="n"/>
      <c r="J93" s="21" t="n"/>
      <c r="K93" s="22" t="n"/>
      <c r="L93" s="21" t="n"/>
      <c r="M93" s="21" t="n"/>
      <c r="N93" s="21" t="n"/>
      <c r="O93" s="27">
        <f>IF(B93="","",IFERROR(IF(VLOOKUP(B93,Lists!$A$2:$B$12,2,FALSE)="","",HYPERLINK(VLOOKUP(B93,Lists!$A$2:$B$12,2,FALSE),"How long valid?")),""))</f>
        <v/>
      </c>
      <c r="P93" s="21" t="n"/>
    </row>
    <row r="94">
      <c r="A94" s="21" t="n"/>
      <c r="B94" s="21" t="n"/>
      <c r="C94" s="22" t="n"/>
      <c r="D94" s="22" t="n"/>
      <c r="E94" s="23" t="n"/>
      <c r="F94" s="24">
        <f>IF(ISNUMBER(D94),D94-IF(ISNUMBER(E94),E94,30),"")</f>
        <v/>
      </c>
      <c r="G94" s="25">
        <f>IF(D94="","",IF(ISNUMBER(D94),D94-TODAY(),"Check date"))</f>
        <v/>
      </c>
      <c r="H94" s="26">
        <f>IF(G94="","",IF(ISNUMBER(G94),IF(G94&lt;0,"Expired",IF(G94&lt;=30,"Due ≤30 days",IF(G94&lt;=90,"Due ≤90 days","OK"))),"Check date"))</f>
        <v/>
      </c>
      <c r="I94" s="21" t="n"/>
      <c r="J94" s="21" t="n"/>
      <c r="K94" s="22" t="n"/>
      <c r="L94" s="21" t="n"/>
      <c r="M94" s="21" t="n"/>
      <c r="N94" s="21" t="n"/>
      <c r="O94" s="27">
        <f>IF(B94="","",IFERROR(IF(VLOOKUP(B94,Lists!$A$2:$B$12,2,FALSE)="","",HYPERLINK(VLOOKUP(B94,Lists!$A$2:$B$12,2,FALSE),"How long valid?")),""))</f>
        <v/>
      </c>
      <c r="P94" s="21" t="n"/>
    </row>
    <row r="95">
      <c r="A95" s="21" t="n"/>
      <c r="B95" s="21" t="n"/>
      <c r="C95" s="22" t="n"/>
      <c r="D95" s="22" t="n"/>
      <c r="E95" s="23" t="n"/>
      <c r="F95" s="24">
        <f>IF(ISNUMBER(D95),D95-IF(ISNUMBER(E95),E95,30),"")</f>
        <v/>
      </c>
      <c r="G95" s="25">
        <f>IF(D95="","",IF(ISNUMBER(D95),D95-TODAY(),"Check date"))</f>
        <v/>
      </c>
      <c r="H95" s="26">
        <f>IF(G95="","",IF(ISNUMBER(G95),IF(G95&lt;0,"Expired",IF(G95&lt;=30,"Due ≤30 days",IF(G95&lt;=90,"Due ≤90 days","OK"))),"Check date"))</f>
        <v/>
      </c>
      <c r="I95" s="21" t="n"/>
      <c r="J95" s="21" t="n"/>
      <c r="K95" s="22" t="n"/>
      <c r="L95" s="21" t="n"/>
      <c r="M95" s="21" t="n"/>
      <c r="N95" s="21" t="n"/>
      <c r="O95" s="27">
        <f>IF(B95="","",IFERROR(IF(VLOOKUP(B95,Lists!$A$2:$B$12,2,FALSE)="","",HYPERLINK(VLOOKUP(B95,Lists!$A$2:$B$12,2,FALSE),"How long valid?")),""))</f>
        <v/>
      </c>
      <c r="P95" s="21" t="n"/>
    </row>
    <row r="96">
      <c r="A96" s="21" t="n"/>
      <c r="B96" s="21" t="n"/>
      <c r="C96" s="22" t="n"/>
      <c r="D96" s="22" t="n"/>
      <c r="E96" s="23" t="n"/>
      <c r="F96" s="24">
        <f>IF(ISNUMBER(D96),D96-IF(ISNUMBER(E96),E96,30),"")</f>
        <v/>
      </c>
      <c r="G96" s="25">
        <f>IF(D96="","",IF(ISNUMBER(D96),D96-TODAY(),"Check date"))</f>
        <v/>
      </c>
      <c r="H96" s="26">
        <f>IF(G96="","",IF(ISNUMBER(G96),IF(G96&lt;0,"Expired",IF(G96&lt;=30,"Due ≤30 days",IF(G96&lt;=90,"Due ≤90 days","OK"))),"Check date"))</f>
        <v/>
      </c>
      <c r="I96" s="21" t="n"/>
      <c r="J96" s="21" t="n"/>
      <c r="K96" s="22" t="n"/>
      <c r="L96" s="21" t="n"/>
      <c r="M96" s="21" t="n"/>
      <c r="N96" s="21" t="n"/>
      <c r="O96" s="27">
        <f>IF(B96="","",IFERROR(IF(VLOOKUP(B96,Lists!$A$2:$B$12,2,FALSE)="","",HYPERLINK(VLOOKUP(B96,Lists!$A$2:$B$12,2,FALSE),"How long valid?")),""))</f>
        <v/>
      </c>
      <c r="P96" s="21" t="n"/>
    </row>
    <row r="97">
      <c r="A97" s="21" t="n"/>
      <c r="B97" s="21" t="n"/>
      <c r="C97" s="22" t="n"/>
      <c r="D97" s="22" t="n"/>
      <c r="E97" s="23" t="n"/>
      <c r="F97" s="24">
        <f>IF(ISNUMBER(D97),D97-IF(ISNUMBER(E97),E97,30),"")</f>
        <v/>
      </c>
      <c r="G97" s="25">
        <f>IF(D97="","",IF(ISNUMBER(D97),D97-TODAY(),"Check date"))</f>
        <v/>
      </c>
      <c r="H97" s="26">
        <f>IF(G97="","",IF(ISNUMBER(G97),IF(G97&lt;0,"Expired",IF(G97&lt;=30,"Due ≤30 days",IF(G97&lt;=90,"Due ≤90 days","OK"))),"Check date"))</f>
        <v/>
      </c>
      <c r="I97" s="21" t="n"/>
      <c r="J97" s="21" t="n"/>
      <c r="K97" s="22" t="n"/>
      <c r="L97" s="21" t="n"/>
      <c r="M97" s="21" t="n"/>
      <c r="N97" s="21" t="n"/>
      <c r="O97" s="27">
        <f>IF(B97="","",IFERROR(IF(VLOOKUP(B97,Lists!$A$2:$B$12,2,FALSE)="","",HYPERLINK(VLOOKUP(B97,Lists!$A$2:$B$12,2,FALSE),"How long valid?")),""))</f>
        <v/>
      </c>
      <c r="P97" s="21" t="n"/>
    </row>
    <row r="98">
      <c r="A98" s="21" t="n"/>
      <c r="B98" s="21" t="n"/>
      <c r="C98" s="22" t="n"/>
      <c r="D98" s="22" t="n"/>
      <c r="E98" s="23" t="n"/>
      <c r="F98" s="24">
        <f>IF(ISNUMBER(D98),D98-IF(ISNUMBER(E98),E98,30),"")</f>
        <v/>
      </c>
      <c r="G98" s="25">
        <f>IF(D98="","",IF(ISNUMBER(D98),D98-TODAY(),"Check date"))</f>
        <v/>
      </c>
      <c r="H98" s="26">
        <f>IF(G98="","",IF(ISNUMBER(G98),IF(G98&lt;0,"Expired",IF(G98&lt;=30,"Due ≤30 days",IF(G98&lt;=90,"Due ≤90 days","OK"))),"Check date"))</f>
        <v/>
      </c>
      <c r="I98" s="21" t="n"/>
      <c r="J98" s="21" t="n"/>
      <c r="K98" s="22" t="n"/>
      <c r="L98" s="21" t="n"/>
      <c r="M98" s="21" t="n"/>
      <c r="N98" s="21" t="n"/>
      <c r="O98" s="27">
        <f>IF(B98="","",IFERROR(IF(VLOOKUP(B98,Lists!$A$2:$B$12,2,FALSE)="","",HYPERLINK(VLOOKUP(B98,Lists!$A$2:$B$12,2,FALSE),"How long valid?")),""))</f>
        <v/>
      </c>
      <c r="P98" s="21" t="n"/>
    </row>
    <row r="99">
      <c r="A99" s="21" t="n"/>
      <c r="B99" s="21" t="n"/>
      <c r="C99" s="22" t="n"/>
      <c r="D99" s="22" t="n"/>
      <c r="E99" s="23" t="n"/>
      <c r="F99" s="24">
        <f>IF(ISNUMBER(D99),D99-IF(ISNUMBER(E99),E99,30),"")</f>
        <v/>
      </c>
      <c r="G99" s="25">
        <f>IF(D99="","",IF(ISNUMBER(D99),D99-TODAY(),"Check date"))</f>
        <v/>
      </c>
      <c r="H99" s="26">
        <f>IF(G99="","",IF(ISNUMBER(G99),IF(G99&lt;0,"Expired",IF(G99&lt;=30,"Due ≤30 days",IF(G99&lt;=90,"Due ≤90 days","OK"))),"Check date"))</f>
        <v/>
      </c>
      <c r="I99" s="21" t="n"/>
      <c r="J99" s="21" t="n"/>
      <c r="K99" s="22" t="n"/>
      <c r="L99" s="21" t="n"/>
      <c r="M99" s="21" t="n"/>
      <c r="N99" s="21" t="n"/>
      <c r="O99" s="27">
        <f>IF(B99="","",IFERROR(IF(VLOOKUP(B99,Lists!$A$2:$B$12,2,FALSE)="","",HYPERLINK(VLOOKUP(B99,Lists!$A$2:$B$12,2,FALSE),"How long valid?")),""))</f>
        <v/>
      </c>
      <c r="P99" s="21" t="n"/>
    </row>
    <row r="100">
      <c r="A100" s="21" t="n"/>
      <c r="B100" s="21" t="n"/>
      <c r="C100" s="22" t="n"/>
      <c r="D100" s="22" t="n"/>
      <c r="E100" s="23" t="n"/>
      <c r="F100" s="24">
        <f>IF(ISNUMBER(D100),D100-IF(ISNUMBER(E100),E100,30),"")</f>
        <v/>
      </c>
      <c r="G100" s="25">
        <f>IF(D100="","",IF(ISNUMBER(D100),D100-TODAY(),"Check date"))</f>
        <v/>
      </c>
      <c r="H100" s="26">
        <f>IF(G100="","",IF(ISNUMBER(G100),IF(G100&lt;0,"Expired",IF(G100&lt;=30,"Due ≤30 days",IF(G100&lt;=90,"Due ≤90 days","OK"))),"Check date"))</f>
        <v/>
      </c>
      <c r="I100" s="21" t="n"/>
      <c r="J100" s="21" t="n"/>
      <c r="K100" s="22" t="n"/>
      <c r="L100" s="21" t="n"/>
      <c r="M100" s="21" t="n"/>
      <c r="N100" s="21" t="n"/>
      <c r="O100" s="27">
        <f>IF(B100="","",IFERROR(IF(VLOOKUP(B100,Lists!$A$2:$B$12,2,FALSE)="","",HYPERLINK(VLOOKUP(B100,Lists!$A$2:$B$12,2,FALSE),"How long valid?")),""))</f>
        <v/>
      </c>
      <c r="P100" s="21" t="n"/>
    </row>
    <row r="101">
      <c r="A101" s="21" t="n"/>
      <c r="B101" s="21" t="n"/>
      <c r="C101" s="22" t="n"/>
      <c r="D101" s="22" t="n"/>
      <c r="E101" s="23" t="n"/>
      <c r="F101" s="24">
        <f>IF(ISNUMBER(D101),D101-IF(ISNUMBER(E101),E101,30),"")</f>
        <v/>
      </c>
      <c r="G101" s="25">
        <f>IF(D101="","",IF(ISNUMBER(D101),D101-TODAY(),"Check date"))</f>
        <v/>
      </c>
      <c r="H101" s="26">
        <f>IF(G101="","",IF(ISNUMBER(G101),IF(G101&lt;0,"Expired",IF(G101&lt;=30,"Due ≤30 days",IF(G101&lt;=90,"Due ≤90 days","OK"))),"Check date"))</f>
        <v/>
      </c>
      <c r="I101" s="21" t="n"/>
      <c r="J101" s="21" t="n"/>
      <c r="K101" s="22" t="n"/>
      <c r="L101" s="21" t="n"/>
      <c r="M101" s="21" t="n"/>
      <c r="N101" s="21" t="n"/>
      <c r="O101" s="27">
        <f>IF(B101="","",IFERROR(IF(VLOOKUP(B101,Lists!$A$2:$B$12,2,FALSE)="","",HYPERLINK(VLOOKUP(B101,Lists!$A$2:$B$12,2,FALSE),"How long valid?")),""))</f>
        <v/>
      </c>
      <c r="P101" s="21" t="n"/>
    </row>
    <row r="102">
      <c r="A102" s="21" t="n"/>
      <c r="B102" s="21" t="n"/>
      <c r="C102" s="22" t="n"/>
      <c r="D102" s="22" t="n"/>
      <c r="E102" s="23" t="n"/>
      <c r="F102" s="24">
        <f>IF(ISNUMBER(D102),D102-IF(ISNUMBER(E102),E102,30),"")</f>
        <v/>
      </c>
      <c r="G102" s="25">
        <f>IF(D102="","",IF(ISNUMBER(D102),D102-TODAY(),"Check date"))</f>
        <v/>
      </c>
      <c r="H102" s="26">
        <f>IF(G102="","",IF(ISNUMBER(G102),IF(G102&lt;0,"Expired",IF(G102&lt;=30,"Due ≤30 days",IF(G102&lt;=90,"Due ≤90 days","OK"))),"Check date"))</f>
        <v/>
      </c>
      <c r="I102" s="21" t="n"/>
      <c r="J102" s="21" t="n"/>
      <c r="K102" s="22" t="n"/>
      <c r="L102" s="21" t="n"/>
      <c r="M102" s="21" t="n"/>
      <c r="N102" s="21" t="n"/>
      <c r="O102" s="27">
        <f>IF(B102="","",IFERROR(IF(VLOOKUP(B102,Lists!$A$2:$B$12,2,FALSE)="","",HYPERLINK(VLOOKUP(B102,Lists!$A$2:$B$12,2,FALSE),"How long valid?")),""))</f>
        <v/>
      </c>
      <c r="P102" s="21" t="n"/>
    </row>
    <row r="103">
      <c r="A103" s="21" t="n"/>
      <c r="B103" s="21" t="n"/>
      <c r="C103" s="22" t="n"/>
      <c r="D103" s="22" t="n"/>
      <c r="E103" s="23" t="n"/>
      <c r="F103" s="24">
        <f>IF(ISNUMBER(D103),D103-IF(ISNUMBER(E103),E103,30),"")</f>
        <v/>
      </c>
      <c r="G103" s="25">
        <f>IF(D103="","",IF(ISNUMBER(D103),D103-TODAY(),"Check date"))</f>
        <v/>
      </c>
      <c r="H103" s="26">
        <f>IF(G103="","",IF(ISNUMBER(G103),IF(G103&lt;0,"Expired",IF(G103&lt;=30,"Due ≤30 days",IF(G103&lt;=90,"Due ≤90 days","OK"))),"Check date"))</f>
        <v/>
      </c>
      <c r="I103" s="21" t="n"/>
      <c r="J103" s="21" t="n"/>
      <c r="K103" s="22" t="n"/>
      <c r="L103" s="21" t="n"/>
      <c r="M103" s="21" t="n"/>
      <c r="N103" s="21" t="n"/>
      <c r="O103" s="27">
        <f>IF(B103="","",IFERROR(IF(VLOOKUP(B103,Lists!$A$2:$B$12,2,FALSE)="","",HYPERLINK(VLOOKUP(B103,Lists!$A$2:$B$12,2,FALSE),"How long valid?")),""))</f>
        <v/>
      </c>
      <c r="P103" s="21" t="n"/>
    </row>
    <row r="104">
      <c r="A104" s="21" t="n"/>
      <c r="B104" s="21" t="n"/>
      <c r="C104" s="22" t="n"/>
      <c r="D104" s="22" t="n"/>
      <c r="E104" s="23" t="n"/>
      <c r="F104" s="24">
        <f>IF(ISNUMBER(D104),D104-IF(ISNUMBER(E104),E104,30),"")</f>
        <v/>
      </c>
      <c r="G104" s="25">
        <f>IF(D104="","",IF(ISNUMBER(D104),D104-TODAY(),"Check date"))</f>
        <v/>
      </c>
      <c r="H104" s="26">
        <f>IF(G104="","",IF(ISNUMBER(G104),IF(G104&lt;0,"Expired",IF(G104&lt;=30,"Due ≤30 days",IF(G104&lt;=90,"Due ≤90 days","OK"))),"Check date"))</f>
        <v/>
      </c>
      <c r="I104" s="21" t="n"/>
      <c r="J104" s="21" t="n"/>
      <c r="K104" s="22" t="n"/>
      <c r="L104" s="21" t="n"/>
      <c r="M104" s="21" t="n"/>
      <c r="N104" s="21" t="n"/>
      <c r="O104" s="27">
        <f>IF(B104="","",IFERROR(IF(VLOOKUP(B104,Lists!$A$2:$B$12,2,FALSE)="","",HYPERLINK(VLOOKUP(B104,Lists!$A$2:$B$12,2,FALSE),"How long valid?")),""))</f>
        <v/>
      </c>
      <c r="P104" s="21" t="n"/>
    </row>
    <row r="105">
      <c r="A105" s="21" t="n"/>
      <c r="B105" s="21" t="n"/>
      <c r="C105" s="22" t="n"/>
      <c r="D105" s="22" t="n"/>
      <c r="E105" s="23" t="n"/>
      <c r="F105" s="24">
        <f>IF(ISNUMBER(D105),D105-IF(ISNUMBER(E105),E105,30),"")</f>
        <v/>
      </c>
      <c r="G105" s="25">
        <f>IF(D105="","",IF(ISNUMBER(D105),D105-TODAY(),"Check date"))</f>
        <v/>
      </c>
      <c r="H105" s="26">
        <f>IF(G105="","",IF(ISNUMBER(G105),IF(G105&lt;0,"Expired",IF(G105&lt;=30,"Due ≤30 days",IF(G105&lt;=90,"Due ≤90 days","OK"))),"Check date"))</f>
        <v/>
      </c>
      <c r="I105" s="21" t="n"/>
      <c r="J105" s="21" t="n"/>
      <c r="K105" s="22" t="n"/>
      <c r="L105" s="21" t="n"/>
      <c r="M105" s="21" t="n"/>
      <c r="N105" s="21" t="n"/>
      <c r="O105" s="27">
        <f>IF(B105="","",IFERROR(IF(VLOOKUP(B105,Lists!$A$2:$B$12,2,FALSE)="","",HYPERLINK(VLOOKUP(B105,Lists!$A$2:$B$12,2,FALSE),"How long valid?")),""))</f>
        <v/>
      </c>
      <c r="P105" s="21" t="n"/>
    </row>
    <row r="106">
      <c r="A106" s="21" t="n"/>
      <c r="B106" s="21" t="n"/>
      <c r="C106" s="22" t="n"/>
      <c r="D106" s="22" t="n"/>
      <c r="E106" s="23" t="n"/>
      <c r="F106" s="24">
        <f>IF(ISNUMBER(D106),D106-IF(ISNUMBER(E106),E106,30),"")</f>
        <v/>
      </c>
      <c r="G106" s="25">
        <f>IF(D106="","",IF(ISNUMBER(D106),D106-TODAY(),"Check date"))</f>
        <v/>
      </c>
      <c r="H106" s="26">
        <f>IF(G106="","",IF(ISNUMBER(G106),IF(G106&lt;0,"Expired",IF(G106&lt;=30,"Due ≤30 days",IF(G106&lt;=90,"Due ≤90 days","OK"))),"Check date"))</f>
        <v/>
      </c>
      <c r="I106" s="21" t="n"/>
      <c r="J106" s="21" t="n"/>
      <c r="K106" s="22" t="n"/>
      <c r="L106" s="21" t="n"/>
      <c r="M106" s="21" t="n"/>
      <c r="N106" s="21" t="n"/>
      <c r="O106" s="27">
        <f>IF(B106="","",IFERROR(IF(VLOOKUP(B106,Lists!$A$2:$B$12,2,FALSE)="","",HYPERLINK(VLOOKUP(B106,Lists!$A$2:$B$12,2,FALSE),"How long valid?")),""))</f>
        <v/>
      </c>
      <c r="P106" s="21" t="n"/>
    </row>
    <row r="107">
      <c r="A107" s="21" t="n"/>
      <c r="B107" s="21" t="n"/>
      <c r="C107" s="22" t="n"/>
      <c r="D107" s="22" t="n"/>
      <c r="E107" s="23" t="n"/>
      <c r="F107" s="24">
        <f>IF(ISNUMBER(D107),D107-IF(ISNUMBER(E107),E107,30),"")</f>
        <v/>
      </c>
      <c r="G107" s="25">
        <f>IF(D107="","",IF(ISNUMBER(D107),D107-TODAY(),"Check date"))</f>
        <v/>
      </c>
      <c r="H107" s="26">
        <f>IF(G107="","",IF(ISNUMBER(G107),IF(G107&lt;0,"Expired",IF(G107&lt;=30,"Due ≤30 days",IF(G107&lt;=90,"Due ≤90 days","OK"))),"Check date"))</f>
        <v/>
      </c>
      <c r="I107" s="21" t="n"/>
      <c r="J107" s="21" t="n"/>
      <c r="K107" s="22" t="n"/>
      <c r="L107" s="21" t="n"/>
      <c r="M107" s="21" t="n"/>
      <c r="N107" s="21" t="n"/>
      <c r="O107" s="27">
        <f>IF(B107="","",IFERROR(IF(VLOOKUP(B107,Lists!$A$2:$B$12,2,FALSE)="","",HYPERLINK(VLOOKUP(B107,Lists!$A$2:$B$12,2,FALSE),"How long valid?")),""))</f>
        <v/>
      </c>
      <c r="P107" s="21" t="n"/>
    </row>
    <row r="108">
      <c r="A108" s="21" t="n"/>
      <c r="B108" s="21" t="n"/>
      <c r="C108" s="22" t="n"/>
      <c r="D108" s="22" t="n"/>
      <c r="E108" s="23" t="n"/>
      <c r="F108" s="24">
        <f>IF(ISNUMBER(D108),D108-IF(ISNUMBER(E108),E108,30),"")</f>
        <v/>
      </c>
      <c r="G108" s="25">
        <f>IF(D108="","",IF(ISNUMBER(D108),D108-TODAY(),"Check date"))</f>
        <v/>
      </c>
      <c r="H108" s="26">
        <f>IF(G108="","",IF(ISNUMBER(G108),IF(G108&lt;0,"Expired",IF(G108&lt;=30,"Due ≤30 days",IF(G108&lt;=90,"Due ≤90 days","OK"))),"Check date"))</f>
        <v/>
      </c>
      <c r="I108" s="21" t="n"/>
      <c r="J108" s="21" t="n"/>
      <c r="K108" s="22" t="n"/>
      <c r="L108" s="21" t="n"/>
      <c r="M108" s="21" t="n"/>
      <c r="N108" s="21" t="n"/>
      <c r="O108" s="27">
        <f>IF(B108="","",IFERROR(IF(VLOOKUP(B108,Lists!$A$2:$B$12,2,FALSE)="","",HYPERLINK(VLOOKUP(B108,Lists!$A$2:$B$12,2,FALSE),"How long valid?")),""))</f>
        <v/>
      </c>
      <c r="P108" s="21" t="n"/>
    </row>
    <row r="109">
      <c r="A109" s="21" t="n"/>
      <c r="B109" s="21" t="n"/>
      <c r="C109" s="22" t="n"/>
      <c r="D109" s="22" t="n"/>
      <c r="E109" s="23" t="n"/>
      <c r="F109" s="24">
        <f>IF(ISNUMBER(D109),D109-IF(ISNUMBER(E109),E109,30),"")</f>
        <v/>
      </c>
      <c r="G109" s="25">
        <f>IF(D109="","",IF(ISNUMBER(D109),D109-TODAY(),"Check date"))</f>
        <v/>
      </c>
      <c r="H109" s="26">
        <f>IF(G109="","",IF(ISNUMBER(G109),IF(G109&lt;0,"Expired",IF(G109&lt;=30,"Due ≤30 days",IF(G109&lt;=90,"Due ≤90 days","OK"))),"Check date"))</f>
        <v/>
      </c>
      <c r="I109" s="21" t="n"/>
      <c r="J109" s="21" t="n"/>
      <c r="K109" s="22" t="n"/>
      <c r="L109" s="21" t="n"/>
      <c r="M109" s="21" t="n"/>
      <c r="N109" s="21" t="n"/>
      <c r="O109" s="27">
        <f>IF(B109="","",IFERROR(IF(VLOOKUP(B109,Lists!$A$2:$B$12,2,FALSE)="","",HYPERLINK(VLOOKUP(B109,Lists!$A$2:$B$12,2,FALSE),"How long valid?")),""))</f>
        <v/>
      </c>
      <c r="P109" s="21" t="n"/>
    </row>
    <row r="110">
      <c r="A110" s="21" t="n"/>
      <c r="B110" s="21" t="n"/>
      <c r="C110" s="22" t="n"/>
      <c r="D110" s="22" t="n"/>
      <c r="E110" s="23" t="n"/>
      <c r="F110" s="24">
        <f>IF(ISNUMBER(D110),D110-IF(ISNUMBER(E110),E110,30),"")</f>
        <v/>
      </c>
      <c r="G110" s="25">
        <f>IF(D110="","",IF(ISNUMBER(D110),D110-TODAY(),"Check date"))</f>
        <v/>
      </c>
      <c r="H110" s="26">
        <f>IF(G110="","",IF(ISNUMBER(G110),IF(G110&lt;0,"Expired",IF(G110&lt;=30,"Due ≤30 days",IF(G110&lt;=90,"Due ≤90 days","OK"))),"Check date"))</f>
        <v/>
      </c>
      <c r="I110" s="21" t="n"/>
      <c r="J110" s="21" t="n"/>
      <c r="K110" s="22" t="n"/>
      <c r="L110" s="21" t="n"/>
      <c r="M110" s="21" t="n"/>
      <c r="N110" s="21" t="n"/>
      <c r="O110" s="27">
        <f>IF(B110="","",IFERROR(IF(VLOOKUP(B110,Lists!$A$2:$B$12,2,FALSE)="","",HYPERLINK(VLOOKUP(B110,Lists!$A$2:$B$12,2,FALSE),"How long valid?")),""))</f>
        <v/>
      </c>
      <c r="P110" s="21" t="n"/>
    </row>
    <row r="111">
      <c r="A111" s="21" t="n"/>
      <c r="B111" s="21" t="n"/>
      <c r="C111" s="22" t="n"/>
      <c r="D111" s="22" t="n"/>
      <c r="E111" s="23" t="n"/>
      <c r="F111" s="24">
        <f>IF(ISNUMBER(D111),D111-IF(ISNUMBER(E111),E111,30),"")</f>
        <v/>
      </c>
      <c r="G111" s="25">
        <f>IF(D111="","",IF(ISNUMBER(D111),D111-TODAY(),"Check date"))</f>
        <v/>
      </c>
      <c r="H111" s="26">
        <f>IF(G111="","",IF(ISNUMBER(G111),IF(G111&lt;0,"Expired",IF(G111&lt;=30,"Due ≤30 days",IF(G111&lt;=90,"Due ≤90 days","OK"))),"Check date"))</f>
        <v/>
      </c>
      <c r="I111" s="21" t="n"/>
      <c r="J111" s="21" t="n"/>
      <c r="K111" s="22" t="n"/>
      <c r="L111" s="21" t="n"/>
      <c r="M111" s="21" t="n"/>
      <c r="N111" s="21" t="n"/>
      <c r="O111" s="27">
        <f>IF(B111="","",IFERROR(IF(VLOOKUP(B111,Lists!$A$2:$B$12,2,FALSE)="","",HYPERLINK(VLOOKUP(B111,Lists!$A$2:$B$12,2,FALSE),"How long valid?")),""))</f>
        <v/>
      </c>
      <c r="P111" s="21" t="n"/>
    </row>
    <row r="112">
      <c r="A112" s="21" t="n"/>
      <c r="B112" s="21" t="n"/>
      <c r="C112" s="22" t="n"/>
      <c r="D112" s="22" t="n"/>
      <c r="E112" s="23" t="n"/>
      <c r="F112" s="24">
        <f>IF(ISNUMBER(D112),D112-IF(ISNUMBER(E112),E112,30),"")</f>
        <v/>
      </c>
      <c r="G112" s="25">
        <f>IF(D112="","",IF(ISNUMBER(D112),D112-TODAY(),"Check date"))</f>
        <v/>
      </c>
      <c r="H112" s="26">
        <f>IF(G112="","",IF(ISNUMBER(G112),IF(G112&lt;0,"Expired",IF(G112&lt;=30,"Due ≤30 days",IF(G112&lt;=90,"Due ≤90 days","OK"))),"Check date"))</f>
        <v/>
      </c>
      <c r="I112" s="21" t="n"/>
      <c r="J112" s="21" t="n"/>
      <c r="K112" s="22" t="n"/>
      <c r="L112" s="21" t="n"/>
      <c r="M112" s="21" t="n"/>
      <c r="N112" s="21" t="n"/>
      <c r="O112" s="27">
        <f>IF(B112="","",IFERROR(IF(VLOOKUP(B112,Lists!$A$2:$B$12,2,FALSE)="","",HYPERLINK(VLOOKUP(B112,Lists!$A$2:$B$12,2,FALSE),"How long valid?")),""))</f>
        <v/>
      </c>
      <c r="P112" s="21" t="n"/>
    </row>
    <row r="113">
      <c r="A113" s="21" t="n"/>
      <c r="B113" s="21" t="n"/>
      <c r="C113" s="22" t="n"/>
      <c r="D113" s="22" t="n"/>
      <c r="E113" s="23" t="n"/>
      <c r="F113" s="24">
        <f>IF(ISNUMBER(D113),D113-IF(ISNUMBER(E113),E113,30),"")</f>
        <v/>
      </c>
      <c r="G113" s="25">
        <f>IF(D113="","",IF(ISNUMBER(D113),D113-TODAY(),"Check date"))</f>
        <v/>
      </c>
      <c r="H113" s="26">
        <f>IF(G113="","",IF(ISNUMBER(G113),IF(G113&lt;0,"Expired",IF(G113&lt;=30,"Due ≤30 days",IF(G113&lt;=90,"Due ≤90 days","OK"))),"Check date"))</f>
        <v/>
      </c>
      <c r="I113" s="21" t="n"/>
      <c r="J113" s="21" t="n"/>
      <c r="K113" s="22" t="n"/>
      <c r="L113" s="21" t="n"/>
      <c r="M113" s="21" t="n"/>
      <c r="N113" s="21" t="n"/>
      <c r="O113" s="27">
        <f>IF(B113="","",IFERROR(IF(VLOOKUP(B113,Lists!$A$2:$B$12,2,FALSE)="","",HYPERLINK(VLOOKUP(B113,Lists!$A$2:$B$12,2,FALSE),"How long valid?")),""))</f>
        <v/>
      </c>
      <c r="P113" s="21" t="n"/>
    </row>
    <row r="114">
      <c r="A114" s="21" t="n"/>
      <c r="B114" s="21" t="n"/>
      <c r="C114" s="22" t="n"/>
      <c r="D114" s="22" t="n"/>
      <c r="E114" s="23" t="n"/>
      <c r="F114" s="24">
        <f>IF(ISNUMBER(D114),D114-IF(ISNUMBER(E114),E114,30),"")</f>
        <v/>
      </c>
      <c r="G114" s="25">
        <f>IF(D114="","",IF(ISNUMBER(D114),D114-TODAY(),"Check date"))</f>
        <v/>
      </c>
      <c r="H114" s="26">
        <f>IF(G114="","",IF(ISNUMBER(G114),IF(G114&lt;0,"Expired",IF(G114&lt;=30,"Due ≤30 days",IF(G114&lt;=90,"Due ≤90 days","OK"))),"Check date"))</f>
        <v/>
      </c>
      <c r="I114" s="21" t="n"/>
      <c r="J114" s="21" t="n"/>
      <c r="K114" s="22" t="n"/>
      <c r="L114" s="21" t="n"/>
      <c r="M114" s="21" t="n"/>
      <c r="N114" s="21" t="n"/>
      <c r="O114" s="27">
        <f>IF(B114="","",IFERROR(IF(VLOOKUP(B114,Lists!$A$2:$B$12,2,FALSE)="","",HYPERLINK(VLOOKUP(B114,Lists!$A$2:$B$12,2,FALSE),"How long valid?")),""))</f>
        <v/>
      </c>
      <c r="P114" s="21" t="n"/>
    </row>
    <row r="115">
      <c r="A115" s="21" t="n"/>
      <c r="B115" s="21" t="n"/>
      <c r="C115" s="22" t="n"/>
      <c r="D115" s="22" t="n"/>
      <c r="E115" s="23" t="n"/>
      <c r="F115" s="24">
        <f>IF(ISNUMBER(D115),D115-IF(ISNUMBER(E115),E115,30),"")</f>
        <v/>
      </c>
      <c r="G115" s="25">
        <f>IF(D115="","",IF(ISNUMBER(D115),D115-TODAY(),"Check date"))</f>
        <v/>
      </c>
      <c r="H115" s="26">
        <f>IF(G115="","",IF(ISNUMBER(G115),IF(G115&lt;0,"Expired",IF(G115&lt;=30,"Due ≤30 days",IF(G115&lt;=90,"Due ≤90 days","OK"))),"Check date"))</f>
        <v/>
      </c>
      <c r="I115" s="21" t="n"/>
      <c r="J115" s="21" t="n"/>
      <c r="K115" s="22" t="n"/>
      <c r="L115" s="21" t="n"/>
      <c r="M115" s="21" t="n"/>
      <c r="N115" s="21" t="n"/>
      <c r="O115" s="27">
        <f>IF(B115="","",IFERROR(IF(VLOOKUP(B115,Lists!$A$2:$B$12,2,FALSE)="","",HYPERLINK(VLOOKUP(B115,Lists!$A$2:$B$12,2,FALSE),"How long valid?")),""))</f>
        <v/>
      </c>
      <c r="P115" s="21" t="n"/>
    </row>
    <row r="116">
      <c r="A116" s="21" t="n"/>
      <c r="B116" s="21" t="n"/>
      <c r="C116" s="22" t="n"/>
      <c r="D116" s="22" t="n"/>
      <c r="E116" s="23" t="n"/>
      <c r="F116" s="24">
        <f>IF(ISNUMBER(D116),D116-IF(ISNUMBER(E116),E116,30),"")</f>
        <v/>
      </c>
      <c r="G116" s="25">
        <f>IF(D116="","",IF(ISNUMBER(D116),D116-TODAY(),"Check date"))</f>
        <v/>
      </c>
      <c r="H116" s="26">
        <f>IF(G116="","",IF(ISNUMBER(G116),IF(G116&lt;0,"Expired",IF(G116&lt;=30,"Due ≤30 days",IF(G116&lt;=90,"Due ≤90 days","OK"))),"Check date"))</f>
        <v/>
      </c>
      <c r="I116" s="21" t="n"/>
      <c r="J116" s="21" t="n"/>
      <c r="K116" s="22" t="n"/>
      <c r="L116" s="21" t="n"/>
      <c r="M116" s="21" t="n"/>
      <c r="N116" s="21" t="n"/>
      <c r="O116" s="27">
        <f>IF(B116="","",IFERROR(IF(VLOOKUP(B116,Lists!$A$2:$B$12,2,FALSE)="","",HYPERLINK(VLOOKUP(B116,Lists!$A$2:$B$12,2,FALSE),"How long valid?")),""))</f>
        <v/>
      </c>
      <c r="P116" s="21" t="n"/>
    </row>
    <row r="117">
      <c r="A117" s="21" t="n"/>
      <c r="B117" s="21" t="n"/>
      <c r="C117" s="22" t="n"/>
      <c r="D117" s="22" t="n"/>
      <c r="E117" s="23" t="n"/>
      <c r="F117" s="24">
        <f>IF(ISNUMBER(D117),D117-IF(ISNUMBER(E117),E117,30),"")</f>
        <v/>
      </c>
      <c r="G117" s="25">
        <f>IF(D117="","",IF(ISNUMBER(D117),D117-TODAY(),"Check date"))</f>
        <v/>
      </c>
      <c r="H117" s="26">
        <f>IF(G117="","",IF(ISNUMBER(G117),IF(G117&lt;0,"Expired",IF(G117&lt;=30,"Due ≤30 days",IF(G117&lt;=90,"Due ≤90 days","OK"))),"Check date"))</f>
        <v/>
      </c>
      <c r="I117" s="21" t="n"/>
      <c r="J117" s="21" t="n"/>
      <c r="K117" s="22" t="n"/>
      <c r="L117" s="21" t="n"/>
      <c r="M117" s="21" t="n"/>
      <c r="N117" s="21" t="n"/>
      <c r="O117" s="27">
        <f>IF(B117="","",IFERROR(IF(VLOOKUP(B117,Lists!$A$2:$B$12,2,FALSE)="","",HYPERLINK(VLOOKUP(B117,Lists!$A$2:$B$12,2,FALSE),"How long valid?")),""))</f>
        <v/>
      </c>
      <c r="P117" s="21" t="n"/>
    </row>
    <row r="118">
      <c r="A118" s="21" t="n"/>
      <c r="B118" s="21" t="n"/>
      <c r="C118" s="22" t="n"/>
      <c r="D118" s="22" t="n"/>
      <c r="E118" s="23" t="n"/>
      <c r="F118" s="24">
        <f>IF(ISNUMBER(D118),D118-IF(ISNUMBER(E118),E118,30),"")</f>
        <v/>
      </c>
      <c r="G118" s="25">
        <f>IF(D118="","",IF(ISNUMBER(D118),D118-TODAY(),"Check date"))</f>
        <v/>
      </c>
      <c r="H118" s="26">
        <f>IF(G118="","",IF(ISNUMBER(G118),IF(G118&lt;0,"Expired",IF(G118&lt;=30,"Due ≤30 days",IF(G118&lt;=90,"Due ≤90 days","OK"))),"Check date"))</f>
        <v/>
      </c>
      <c r="I118" s="21" t="n"/>
      <c r="J118" s="21" t="n"/>
      <c r="K118" s="22" t="n"/>
      <c r="L118" s="21" t="n"/>
      <c r="M118" s="21" t="n"/>
      <c r="N118" s="21" t="n"/>
      <c r="O118" s="27">
        <f>IF(B118="","",IFERROR(IF(VLOOKUP(B118,Lists!$A$2:$B$12,2,FALSE)="","",HYPERLINK(VLOOKUP(B118,Lists!$A$2:$B$12,2,FALSE),"How long valid?")),""))</f>
        <v/>
      </c>
      <c r="P118" s="21" t="n"/>
    </row>
    <row r="119">
      <c r="A119" s="21" t="n"/>
      <c r="B119" s="21" t="n"/>
      <c r="C119" s="22" t="n"/>
      <c r="D119" s="22" t="n"/>
      <c r="E119" s="23" t="n"/>
      <c r="F119" s="24">
        <f>IF(ISNUMBER(D119),D119-IF(ISNUMBER(E119),E119,30),"")</f>
        <v/>
      </c>
      <c r="G119" s="25">
        <f>IF(D119="","",IF(ISNUMBER(D119),D119-TODAY(),"Check date"))</f>
        <v/>
      </c>
      <c r="H119" s="26">
        <f>IF(G119="","",IF(ISNUMBER(G119),IF(G119&lt;0,"Expired",IF(G119&lt;=30,"Due ≤30 days",IF(G119&lt;=90,"Due ≤90 days","OK"))),"Check date"))</f>
        <v/>
      </c>
      <c r="I119" s="21" t="n"/>
      <c r="J119" s="21" t="n"/>
      <c r="K119" s="22" t="n"/>
      <c r="L119" s="21" t="n"/>
      <c r="M119" s="21" t="n"/>
      <c r="N119" s="21" t="n"/>
      <c r="O119" s="27">
        <f>IF(B119="","",IFERROR(IF(VLOOKUP(B119,Lists!$A$2:$B$12,2,FALSE)="","",HYPERLINK(VLOOKUP(B119,Lists!$A$2:$B$12,2,FALSE),"How long valid?")),""))</f>
        <v/>
      </c>
      <c r="P119" s="21" t="n"/>
    </row>
    <row r="120">
      <c r="A120" s="21" t="n"/>
      <c r="B120" s="21" t="n"/>
      <c r="C120" s="22" t="n"/>
      <c r="D120" s="22" t="n"/>
      <c r="E120" s="23" t="n"/>
      <c r="F120" s="24">
        <f>IF(ISNUMBER(D120),D120-IF(ISNUMBER(E120),E120,30),"")</f>
        <v/>
      </c>
      <c r="G120" s="25">
        <f>IF(D120="","",IF(ISNUMBER(D120),D120-TODAY(),"Check date"))</f>
        <v/>
      </c>
      <c r="H120" s="26">
        <f>IF(G120="","",IF(ISNUMBER(G120),IF(G120&lt;0,"Expired",IF(G120&lt;=30,"Due ≤30 days",IF(G120&lt;=90,"Due ≤90 days","OK"))),"Check date"))</f>
        <v/>
      </c>
      <c r="I120" s="21" t="n"/>
      <c r="J120" s="21" t="n"/>
      <c r="K120" s="22" t="n"/>
      <c r="L120" s="21" t="n"/>
      <c r="M120" s="21" t="n"/>
      <c r="N120" s="21" t="n"/>
      <c r="O120" s="27">
        <f>IF(B120="","",IFERROR(IF(VLOOKUP(B120,Lists!$A$2:$B$12,2,FALSE)="","",HYPERLINK(VLOOKUP(B120,Lists!$A$2:$B$12,2,FALSE),"How long valid?")),""))</f>
        <v/>
      </c>
      <c r="P120" s="21" t="n"/>
    </row>
    <row r="121">
      <c r="A121" s="21" t="n"/>
      <c r="B121" s="21" t="n"/>
      <c r="C121" s="22" t="n"/>
      <c r="D121" s="22" t="n"/>
      <c r="E121" s="23" t="n"/>
      <c r="F121" s="24">
        <f>IF(ISNUMBER(D121),D121-IF(ISNUMBER(E121),E121,30),"")</f>
        <v/>
      </c>
      <c r="G121" s="25">
        <f>IF(D121="","",IF(ISNUMBER(D121),D121-TODAY(),"Check date"))</f>
        <v/>
      </c>
      <c r="H121" s="26">
        <f>IF(G121="","",IF(ISNUMBER(G121),IF(G121&lt;0,"Expired",IF(G121&lt;=30,"Due ≤30 days",IF(G121&lt;=90,"Due ≤90 days","OK"))),"Check date"))</f>
        <v/>
      </c>
      <c r="I121" s="21" t="n"/>
      <c r="J121" s="21" t="n"/>
      <c r="K121" s="22" t="n"/>
      <c r="L121" s="21" t="n"/>
      <c r="M121" s="21" t="n"/>
      <c r="N121" s="21" t="n"/>
      <c r="O121" s="27">
        <f>IF(B121="","",IFERROR(IF(VLOOKUP(B121,Lists!$A$2:$B$12,2,FALSE)="","",HYPERLINK(VLOOKUP(B121,Lists!$A$2:$B$12,2,FALSE),"How long valid?")),""))</f>
        <v/>
      </c>
      <c r="P121" s="21" t="n"/>
    </row>
    <row r="122">
      <c r="A122" s="21" t="n"/>
      <c r="B122" s="21" t="n"/>
      <c r="C122" s="22" t="n"/>
      <c r="D122" s="22" t="n"/>
      <c r="E122" s="23" t="n"/>
      <c r="F122" s="24">
        <f>IF(ISNUMBER(D122),D122-IF(ISNUMBER(E122),E122,30),"")</f>
        <v/>
      </c>
      <c r="G122" s="25">
        <f>IF(D122="","",IF(ISNUMBER(D122),D122-TODAY(),"Check date"))</f>
        <v/>
      </c>
      <c r="H122" s="26">
        <f>IF(G122="","",IF(ISNUMBER(G122),IF(G122&lt;0,"Expired",IF(G122&lt;=30,"Due ≤30 days",IF(G122&lt;=90,"Due ≤90 days","OK"))),"Check date"))</f>
        <v/>
      </c>
      <c r="I122" s="21" t="n"/>
      <c r="J122" s="21" t="n"/>
      <c r="K122" s="22" t="n"/>
      <c r="L122" s="21" t="n"/>
      <c r="M122" s="21" t="n"/>
      <c r="N122" s="21" t="n"/>
      <c r="O122" s="27">
        <f>IF(B122="","",IFERROR(IF(VLOOKUP(B122,Lists!$A$2:$B$12,2,FALSE)="","",HYPERLINK(VLOOKUP(B122,Lists!$A$2:$B$12,2,FALSE),"How long valid?")),""))</f>
        <v/>
      </c>
      <c r="P122" s="21" t="n"/>
    </row>
    <row r="123">
      <c r="A123" s="21" t="n"/>
      <c r="B123" s="21" t="n"/>
      <c r="C123" s="22" t="n"/>
      <c r="D123" s="22" t="n"/>
      <c r="E123" s="23" t="n"/>
      <c r="F123" s="24">
        <f>IF(ISNUMBER(D123),D123-IF(ISNUMBER(E123),E123,30),"")</f>
        <v/>
      </c>
      <c r="G123" s="25">
        <f>IF(D123="","",IF(ISNUMBER(D123),D123-TODAY(),"Check date"))</f>
        <v/>
      </c>
      <c r="H123" s="26">
        <f>IF(G123="","",IF(ISNUMBER(G123),IF(G123&lt;0,"Expired",IF(G123&lt;=30,"Due ≤30 days",IF(G123&lt;=90,"Due ≤90 days","OK"))),"Check date"))</f>
        <v/>
      </c>
      <c r="I123" s="21" t="n"/>
      <c r="J123" s="21" t="n"/>
      <c r="K123" s="22" t="n"/>
      <c r="L123" s="21" t="n"/>
      <c r="M123" s="21" t="n"/>
      <c r="N123" s="21" t="n"/>
      <c r="O123" s="27">
        <f>IF(B123="","",IFERROR(IF(VLOOKUP(B123,Lists!$A$2:$B$12,2,FALSE)="","",HYPERLINK(VLOOKUP(B123,Lists!$A$2:$B$12,2,FALSE),"How long valid?")),""))</f>
        <v/>
      </c>
      <c r="P123" s="21" t="n"/>
    </row>
    <row r="124">
      <c r="A124" s="21" t="n"/>
      <c r="B124" s="21" t="n"/>
      <c r="C124" s="22" t="n"/>
      <c r="D124" s="22" t="n"/>
      <c r="E124" s="23" t="n"/>
      <c r="F124" s="24">
        <f>IF(ISNUMBER(D124),D124-IF(ISNUMBER(E124),E124,30),"")</f>
        <v/>
      </c>
      <c r="G124" s="25">
        <f>IF(D124="","",IF(ISNUMBER(D124),D124-TODAY(),"Check date"))</f>
        <v/>
      </c>
      <c r="H124" s="26">
        <f>IF(G124="","",IF(ISNUMBER(G124),IF(G124&lt;0,"Expired",IF(G124&lt;=30,"Due ≤30 days",IF(G124&lt;=90,"Due ≤90 days","OK"))),"Check date"))</f>
        <v/>
      </c>
      <c r="I124" s="21" t="n"/>
      <c r="J124" s="21" t="n"/>
      <c r="K124" s="22" t="n"/>
      <c r="L124" s="21" t="n"/>
      <c r="M124" s="21" t="n"/>
      <c r="N124" s="21" t="n"/>
      <c r="O124" s="27">
        <f>IF(B124="","",IFERROR(IF(VLOOKUP(B124,Lists!$A$2:$B$12,2,FALSE)="","",HYPERLINK(VLOOKUP(B124,Lists!$A$2:$B$12,2,FALSE),"How long valid?")),""))</f>
        <v/>
      </c>
      <c r="P124" s="21" t="n"/>
    </row>
    <row r="125">
      <c r="A125" s="21" t="n"/>
      <c r="B125" s="21" t="n"/>
      <c r="C125" s="22" t="n"/>
      <c r="D125" s="22" t="n"/>
      <c r="E125" s="23" t="n"/>
      <c r="F125" s="24">
        <f>IF(ISNUMBER(D125),D125-IF(ISNUMBER(E125),E125,30),"")</f>
        <v/>
      </c>
      <c r="G125" s="25">
        <f>IF(D125="","",IF(ISNUMBER(D125),D125-TODAY(),"Check date"))</f>
        <v/>
      </c>
      <c r="H125" s="26">
        <f>IF(G125="","",IF(ISNUMBER(G125),IF(G125&lt;0,"Expired",IF(G125&lt;=30,"Due ≤30 days",IF(G125&lt;=90,"Due ≤90 days","OK"))),"Check date"))</f>
        <v/>
      </c>
      <c r="I125" s="21" t="n"/>
      <c r="J125" s="21" t="n"/>
      <c r="K125" s="22" t="n"/>
      <c r="L125" s="21" t="n"/>
      <c r="M125" s="21" t="n"/>
      <c r="N125" s="21" t="n"/>
      <c r="O125" s="27">
        <f>IF(B125="","",IFERROR(IF(VLOOKUP(B125,Lists!$A$2:$B$12,2,FALSE)="","",HYPERLINK(VLOOKUP(B125,Lists!$A$2:$B$12,2,FALSE),"How long valid?")),""))</f>
        <v/>
      </c>
      <c r="P125" s="21" t="n"/>
    </row>
    <row r="126">
      <c r="A126" s="21" t="n"/>
      <c r="B126" s="21" t="n"/>
      <c r="C126" s="22" t="n"/>
      <c r="D126" s="22" t="n"/>
      <c r="E126" s="23" t="n"/>
      <c r="F126" s="24">
        <f>IF(ISNUMBER(D126),D126-IF(ISNUMBER(E126),E126,30),"")</f>
        <v/>
      </c>
      <c r="G126" s="25">
        <f>IF(D126="","",IF(ISNUMBER(D126),D126-TODAY(),"Check date"))</f>
        <v/>
      </c>
      <c r="H126" s="26">
        <f>IF(G126="","",IF(ISNUMBER(G126),IF(G126&lt;0,"Expired",IF(G126&lt;=30,"Due ≤30 days",IF(G126&lt;=90,"Due ≤90 days","OK"))),"Check date"))</f>
        <v/>
      </c>
      <c r="I126" s="21" t="n"/>
      <c r="J126" s="21" t="n"/>
      <c r="K126" s="22" t="n"/>
      <c r="L126" s="21" t="n"/>
      <c r="M126" s="21" t="n"/>
      <c r="N126" s="21" t="n"/>
      <c r="O126" s="27">
        <f>IF(B126="","",IFERROR(IF(VLOOKUP(B126,Lists!$A$2:$B$12,2,FALSE)="","",HYPERLINK(VLOOKUP(B126,Lists!$A$2:$B$12,2,FALSE),"How long valid?")),""))</f>
        <v/>
      </c>
      <c r="P126" s="21" t="n"/>
    </row>
    <row r="127">
      <c r="A127" s="21" t="n"/>
      <c r="B127" s="21" t="n"/>
      <c r="C127" s="22" t="n"/>
      <c r="D127" s="22" t="n"/>
      <c r="E127" s="23" t="n"/>
      <c r="F127" s="24">
        <f>IF(ISNUMBER(D127),D127-IF(ISNUMBER(E127),E127,30),"")</f>
        <v/>
      </c>
      <c r="G127" s="25">
        <f>IF(D127="","",IF(ISNUMBER(D127),D127-TODAY(),"Check date"))</f>
        <v/>
      </c>
      <c r="H127" s="26">
        <f>IF(G127="","",IF(ISNUMBER(G127),IF(G127&lt;0,"Expired",IF(G127&lt;=30,"Due ≤30 days",IF(G127&lt;=90,"Due ≤90 days","OK"))),"Check date"))</f>
        <v/>
      </c>
      <c r="I127" s="21" t="n"/>
      <c r="J127" s="21" t="n"/>
      <c r="K127" s="22" t="n"/>
      <c r="L127" s="21" t="n"/>
      <c r="M127" s="21" t="n"/>
      <c r="N127" s="21" t="n"/>
      <c r="O127" s="27">
        <f>IF(B127="","",IFERROR(IF(VLOOKUP(B127,Lists!$A$2:$B$12,2,FALSE)="","",HYPERLINK(VLOOKUP(B127,Lists!$A$2:$B$12,2,FALSE),"How long valid?")),""))</f>
        <v/>
      </c>
      <c r="P127" s="21" t="n"/>
    </row>
    <row r="128">
      <c r="A128" s="21" t="n"/>
      <c r="B128" s="21" t="n"/>
      <c r="C128" s="22" t="n"/>
      <c r="D128" s="22" t="n"/>
      <c r="E128" s="23" t="n"/>
      <c r="F128" s="24">
        <f>IF(ISNUMBER(D128),D128-IF(ISNUMBER(E128),E128,30),"")</f>
        <v/>
      </c>
      <c r="G128" s="25">
        <f>IF(D128="","",IF(ISNUMBER(D128),D128-TODAY(),"Check date"))</f>
        <v/>
      </c>
      <c r="H128" s="26">
        <f>IF(G128="","",IF(ISNUMBER(G128),IF(G128&lt;0,"Expired",IF(G128&lt;=30,"Due ≤30 days",IF(G128&lt;=90,"Due ≤90 days","OK"))),"Check date"))</f>
        <v/>
      </c>
      <c r="I128" s="21" t="n"/>
      <c r="J128" s="21" t="n"/>
      <c r="K128" s="22" t="n"/>
      <c r="L128" s="21" t="n"/>
      <c r="M128" s="21" t="n"/>
      <c r="N128" s="21" t="n"/>
      <c r="O128" s="27">
        <f>IF(B128="","",IFERROR(IF(VLOOKUP(B128,Lists!$A$2:$B$12,2,FALSE)="","",HYPERLINK(VLOOKUP(B128,Lists!$A$2:$B$12,2,FALSE),"How long valid?")),""))</f>
        <v/>
      </c>
      <c r="P128" s="21" t="n"/>
    </row>
    <row r="129">
      <c r="A129" s="21" t="n"/>
      <c r="B129" s="21" t="n"/>
      <c r="C129" s="22" t="n"/>
      <c r="D129" s="22" t="n"/>
      <c r="E129" s="23" t="n"/>
      <c r="F129" s="24">
        <f>IF(ISNUMBER(D129),D129-IF(ISNUMBER(E129),E129,30),"")</f>
        <v/>
      </c>
      <c r="G129" s="25">
        <f>IF(D129="","",IF(ISNUMBER(D129),D129-TODAY(),"Check date"))</f>
        <v/>
      </c>
      <c r="H129" s="26">
        <f>IF(G129="","",IF(ISNUMBER(G129),IF(G129&lt;0,"Expired",IF(G129&lt;=30,"Due ≤30 days",IF(G129&lt;=90,"Due ≤90 days","OK"))),"Check date"))</f>
        <v/>
      </c>
      <c r="I129" s="21" t="n"/>
      <c r="J129" s="21" t="n"/>
      <c r="K129" s="22" t="n"/>
      <c r="L129" s="21" t="n"/>
      <c r="M129" s="21" t="n"/>
      <c r="N129" s="21" t="n"/>
      <c r="O129" s="27">
        <f>IF(B129="","",IFERROR(IF(VLOOKUP(B129,Lists!$A$2:$B$12,2,FALSE)="","",HYPERLINK(VLOOKUP(B129,Lists!$A$2:$B$12,2,FALSE),"How long valid?")),""))</f>
        <v/>
      </c>
      <c r="P129" s="21" t="n"/>
    </row>
    <row r="130">
      <c r="A130" s="21" t="n"/>
      <c r="B130" s="21" t="n"/>
      <c r="C130" s="22" t="n"/>
      <c r="D130" s="22" t="n"/>
      <c r="E130" s="23" t="n"/>
      <c r="F130" s="24">
        <f>IF(ISNUMBER(D130),D130-IF(ISNUMBER(E130),E130,30),"")</f>
        <v/>
      </c>
      <c r="G130" s="25">
        <f>IF(D130="","",IF(ISNUMBER(D130),D130-TODAY(),"Check date"))</f>
        <v/>
      </c>
      <c r="H130" s="26">
        <f>IF(G130="","",IF(ISNUMBER(G130),IF(G130&lt;0,"Expired",IF(G130&lt;=30,"Due ≤30 days",IF(G130&lt;=90,"Due ≤90 days","OK"))),"Check date"))</f>
        <v/>
      </c>
      <c r="I130" s="21" t="n"/>
      <c r="J130" s="21" t="n"/>
      <c r="K130" s="22" t="n"/>
      <c r="L130" s="21" t="n"/>
      <c r="M130" s="21" t="n"/>
      <c r="N130" s="21" t="n"/>
      <c r="O130" s="27">
        <f>IF(B130="","",IFERROR(IF(VLOOKUP(B130,Lists!$A$2:$B$12,2,FALSE)="","",HYPERLINK(VLOOKUP(B130,Lists!$A$2:$B$12,2,FALSE),"How long valid?")),""))</f>
        <v/>
      </c>
      <c r="P130" s="21" t="n"/>
    </row>
    <row r="131">
      <c r="A131" s="21" t="n"/>
      <c r="B131" s="21" t="n"/>
      <c r="C131" s="22" t="n"/>
      <c r="D131" s="22" t="n"/>
      <c r="E131" s="23" t="n"/>
      <c r="F131" s="24">
        <f>IF(ISNUMBER(D131),D131-IF(ISNUMBER(E131),E131,30),"")</f>
        <v/>
      </c>
      <c r="G131" s="25">
        <f>IF(D131="","",IF(ISNUMBER(D131),D131-TODAY(),"Check date"))</f>
        <v/>
      </c>
      <c r="H131" s="26">
        <f>IF(G131="","",IF(ISNUMBER(G131),IF(G131&lt;0,"Expired",IF(G131&lt;=30,"Due ≤30 days",IF(G131&lt;=90,"Due ≤90 days","OK"))),"Check date"))</f>
        <v/>
      </c>
      <c r="I131" s="21" t="n"/>
      <c r="J131" s="21" t="n"/>
      <c r="K131" s="22" t="n"/>
      <c r="L131" s="21" t="n"/>
      <c r="M131" s="21" t="n"/>
      <c r="N131" s="21" t="n"/>
      <c r="O131" s="27">
        <f>IF(B131="","",IFERROR(IF(VLOOKUP(B131,Lists!$A$2:$B$12,2,FALSE)="","",HYPERLINK(VLOOKUP(B131,Lists!$A$2:$B$12,2,FALSE),"How long valid?")),""))</f>
        <v/>
      </c>
      <c r="P131" s="21" t="n"/>
    </row>
    <row r="132">
      <c r="A132" s="21" t="n"/>
      <c r="B132" s="21" t="n"/>
      <c r="C132" s="22" t="n"/>
      <c r="D132" s="22" t="n"/>
      <c r="E132" s="23" t="n"/>
      <c r="F132" s="24">
        <f>IF(ISNUMBER(D132),D132-IF(ISNUMBER(E132),E132,30),"")</f>
        <v/>
      </c>
      <c r="G132" s="25">
        <f>IF(D132="","",IF(ISNUMBER(D132),D132-TODAY(),"Check date"))</f>
        <v/>
      </c>
      <c r="H132" s="26">
        <f>IF(G132="","",IF(ISNUMBER(G132),IF(G132&lt;0,"Expired",IF(G132&lt;=30,"Due ≤30 days",IF(G132&lt;=90,"Due ≤90 days","OK"))),"Check date"))</f>
        <v/>
      </c>
      <c r="I132" s="21" t="n"/>
      <c r="J132" s="21" t="n"/>
      <c r="K132" s="22" t="n"/>
      <c r="L132" s="21" t="n"/>
      <c r="M132" s="21" t="n"/>
      <c r="N132" s="21" t="n"/>
      <c r="O132" s="27">
        <f>IF(B132="","",IFERROR(IF(VLOOKUP(B132,Lists!$A$2:$B$12,2,FALSE)="","",HYPERLINK(VLOOKUP(B132,Lists!$A$2:$B$12,2,FALSE),"How long valid?")),""))</f>
        <v/>
      </c>
      <c r="P132" s="21" t="n"/>
    </row>
    <row r="133">
      <c r="A133" s="21" t="n"/>
      <c r="B133" s="21" t="n"/>
      <c r="C133" s="22" t="n"/>
      <c r="D133" s="22" t="n"/>
      <c r="E133" s="23" t="n"/>
      <c r="F133" s="24">
        <f>IF(ISNUMBER(D133),D133-IF(ISNUMBER(E133),E133,30),"")</f>
        <v/>
      </c>
      <c r="G133" s="25">
        <f>IF(D133="","",IF(ISNUMBER(D133),D133-TODAY(),"Check date"))</f>
        <v/>
      </c>
      <c r="H133" s="26">
        <f>IF(G133="","",IF(ISNUMBER(G133),IF(G133&lt;0,"Expired",IF(G133&lt;=30,"Due ≤30 days",IF(G133&lt;=90,"Due ≤90 days","OK"))),"Check date"))</f>
        <v/>
      </c>
      <c r="I133" s="21" t="n"/>
      <c r="J133" s="21" t="n"/>
      <c r="K133" s="22" t="n"/>
      <c r="L133" s="21" t="n"/>
      <c r="M133" s="21" t="n"/>
      <c r="N133" s="21" t="n"/>
      <c r="O133" s="27">
        <f>IF(B133="","",IFERROR(IF(VLOOKUP(B133,Lists!$A$2:$B$12,2,FALSE)="","",HYPERLINK(VLOOKUP(B133,Lists!$A$2:$B$12,2,FALSE),"How long valid?")),""))</f>
        <v/>
      </c>
      <c r="P133" s="21" t="n"/>
    </row>
    <row r="134">
      <c r="A134" s="21" t="n"/>
      <c r="B134" s="21" t="n"/>
      <c r="C134" s="22" t="n"/>
      <c r="D134" s="22" t="n"/>
      <c r="E134" s="23" t="n"/>
      <c r="F134" s="24">
        <f>IF(ISNUMBER(D134),D134-IF(ISNUMBER(E134),E134,30),"")</f>
        <v/>
      </c>
      <c r="G134" s="25">
        <f>IF(D134="","",IF(ISNUMBER(D134),D134-TODAY(),"Check date"))</f>
        <v/>
      </c>
      <c r="H134" s="26">
        <f>IF(G134="","",IF(ISNUMBER(G134),IF(G134&lt;0,"Expired",IF(G134&lt;=30,"Due ≤30 days",IF(G134&lt;=90,"Due ≤90 days","OK"))),"Check date"))</f>
        <v/>
      </c>
      <c r="I134" s="21" t="n"/>
      <c r="J134" s="21" t="n"/>
      <c r="K134" s="22" t="n"/>
      <c r="L134" s="21" t="n"/>
      <c r="M134" s="21" t="n"/>
      <c r="N134" s="21" t="n"/>
      <c r="O134" s="27">
        <f>IF(B134="","",IFERROR(IF(VLOOKUP(B134,Lists!$A$2:$B$12,2,FALSE)="","",HYPERLINK(VLOOKUP(B134,Lists!$A$2:$B$12,2,FALSE),"How long valid?")),""))</f>
        <v/>
      </c>
      <c r="P134" s="21" t="n"/>
    </row>
    <row r="135">
      <c r="A135" s="21" t="n"/>
      <c r="B135" s="21" t="n"/>
      <c r="C135" s="22" t="n"/>
      <c r="D135" s="22" t="n"/>
      <c r="E135" s="23" t="n"/>
      <c r="F135" s="24">
        <f>IF(ISNUMBER(D135),D135-IF(ISNUMBER(E135),E135,30),"")</f>
        <v/>
      </c>
      <c r="G135" s="25">
        <f>IF(D135="","",IF(ISNUMBER(D135),D135-TODAY(),"Check date"))</f>
        <v/>
      </c>
      <c r="H135" s="26">
        <f>IF(G135="","",IF(ISNUMBER(G135),IF(G135&lt;0,"Expired",IF(G135&lt;=30,"Due ≤30 days",IF(G135&lt;=90,"Due ≤90 days","OK"))),"Check date"))</f>
        <v/>
      </c>
      <c r="I135" s="21" t="n"/>
      <c r="J135" s="21" t="n"/>
      <c r="K135" s="22" t="n"/>
      <c r="L135" s="21" t="n"/>
      <c r="M135" s="21" t="n"/>
      <c r="N135" s="21" t="n"/>
      <c r="O135" s="27">
        <f>IF(B135="","",IFERROR(IF(VLOOKUP(B135,Lists!$A$2:$B$12,2,FALSE)="","",HYPERLINK(VLOOKUP(B135,Lists!$A$2:$B$12,2,FALSE),"How long valid?")),""))</f>
        <v/>
      </c>
      <c r="P135" s="21" t="n"/>
    </row>
    <row r="136">
      <c r="A136" s="21" t="n"/>
      <c r="B136" s="21" t="n"/>
      <c r="C136" s="22" t="n"/>
      <c r="D136" s="22" t="n"/>
      <c r="E136" s="23" t="n"/>
      <c r="F136" s="24">
        <f>IF(ISNUMBER(D136),D136-IF(ISNUMBER(E136),E136,30),"")</f>
        <v/>
      </c>
      <c r="G136" s="25">
        <f>IF(D136="","",IF(ISNUMBER(D136),D136-TODAY(),"Check date"))</f>
        <v/>
      </c>
      <c r="H136" s="26">
        <f>IF(G136="","",IF(ISNUMBER(G136),IF(G136&lt;0,"Expired",IF(G136&lt;=30,"Due ≤30 days",IF(G136&lt;=90,"Due ≤90 days","OK"))),"Check date"))</f>
        <v/>
      </c>
      <c r="I136" s="21" t="n"/>
      <c r="J136" s="21" t="n"/>
      <c r="K136" s="22" t="n"/>
      <c r="L136" s="21" t="n"/>
      <c r="M136" s="21" t="n"/>
      <c r="N136" s="21" t="n"/>
      <c r="O136" s="27">
        <f>IF(B136="","",IFERROR(IF(VLOOKUP(B136,Lists!$A$2:$B$12,2,FALSE)="","",HYPERLINK(VLOOKUP(B136,Lists!$A$2:$B$12,2,FALSE),"How long valid?")),""))</f>
        <v/>
      </c>
      <c r="P136" s="21" t="n"/>
    </row>
    <row r="137">
      <c r="A137" s="21" t="n"/>
      <c r="B137" s="21" t="n"/>
      <c r="C137" s="22" t="n"/>
      <c r="D137" s="22" t="n"/>
      <c r="E137" s="23" t="n"/>
      <c r="F137" s="24">
        <f>IF(ISNUMBER(D137),D137-IF(ISNUMBER(E137),E137,30),"")</f>
        <v/>
      </c>
      <c r="G137" s="25">
        <f>IF(D137="","",IF(ISNUMBER(D137),D137-TODAY(),"Check date"))</f>
        <v/>
      </c>
      <c r="H137" s="26">
        <f>IF(G137="","",IF(ISNUMBER(G137),IF(G137&lt;0,"Expired",IF(G137&lt;=30,"Due ≤30 days",IF(G137&lt;=90,"Due ≤90 days","OK"))),"Check date"))</f>
        <v/>
      </c>
      <c r="I137" s="21" t="n"/>
      <c r="J137" s="21" t="n"/>
      <c r="K137" s="22" t="n"/>
      <c r="L137" s="21" t="n"/>
      <c r="M137" s="21" t="n"/>
      <c r="N137" s="21" t="n"/>
      <c r="O137" s="27">
        <f>IF(B137="","",IFERROR(IF(VLOOKUP(B137,Lists!$A$2:$B$12,2,FALSE)="","",HYPERLINK(VLOOKUP(B137,Lists!$A$2:$B$12,2,FALSE),"How long valid?")),""))</f>
        <v/>
      </c>
      <c r="P137" s="21" t="n"/>
    </row>
    <row r="138">
      <c r="A138" s="21" t="n"/>
      <c r="B138" s="21" t="n"/>
      <c r="C138" s="22" t="n"/>
      <c r="D138" s="22" t="n"/>
      <c r="E138" s="23" t="n"/>
      <c r="F138" s="24">
        <f>IF(ISNUMBER(D138),D138-IF(ISNUMBER(E138),E138,30),"")</f>
        <v/>
      </c>
      <c r="G138" s="25">
        <f>IF(D138="","",IF(ISNUMBER(D138),D138-TODAY(),"Check date"))</f>
        <v/>
      </c>
      <c r="H138" s="26">
        <f>IF(G138="","",IF(ISNUMBER(G138),IF(G138&lt;0,"Expired",IF(G138&lt;=30,"Due ≤30 days",IF(G138&lt;=90,"Due ≤90 days","OK"))),"Check date"))</f>
        <v/>
      </c>
      <c r="I138" s="21" t="n"/>
      <c r="J138" s="21" t="n"/>
      <c r="K138" s="22" t="n"/>
      <c r="L138" s="21" t="n"/>
      <c r="M138" s="21" t="n"/>
      <c r="N138" s="21" t="n"/>
      <c r="O138" s="27">
        <f>IF(B138="","",IFERROR(IF(VLOOKUP(B138,Lists!$A$2:$B$12,2,FALSE)="","",HYPERLINK(VLOOKUP(B138,Lists!$A$2:$B$12,2,FALSE),"How long valid?")),""))</f>
        <v/>
      </c>
      <c r="P138" s="21" t="n"/>
    </row>
    <row r="139">
      <c r="A139" s="21" t="n"/>
      <c r="B139" s="21" t="n"/>
      <c r="C139" s="22" t="n"/>
      <c r="D139" s="22" t="n"/>
      <c r="E139" s="23" t="n"/>
      <c r="F139" s="24">
        <f>IF(ISNUMBER(D139),D139-IF(ISNUMBER(E139),E139,30),"")</f>
        <v/>
      </c>
      <c r="G139" s="25">
        <f>IF(D139="","",IF(ISNUMBER(D139),D139-TODAY(),"Check date"))</f>
        <v/>
      </c>
      <c r="H139" s="26">
        <f>IF(G139="","",IF(ISNUMBER(G139),IF(G139&lt;0,"Expired",IF(G139&lt;=30,"Due ≤30 days",IF(G139&lt;=90,"Due ≤90 days","OK"))),"Check date"))</f>
        <v/>
      </c>
      <c r="I139" s="21" t="n"/>
      <c r="J139" s="21" t="n"/>
      <c r="K139" s="22" t="n"/>
      <c r="L139" s="21" t="n"/>
      <c r="M139" s="21" t="n"/>
      <c r="N139" s="21" t="n"/>
      <c r="O139" s="27">
        <f>IF(B139="","",IFERROR(IF(VLOOKUP(B139,Lists!$A$2:$B$12,2,FALSE)="","",HYPERLINK(VLOOKUP(B139,Lists!$A$2:$B$12,2,FALSE),"How long valid?")),""))</f>
        <v/>
      </c>
      <c r="P139" s="21" t="n"/>
    </row>
    <row r="140">
      <c r="A140" s="21" t="n"/>
      <c r="B140" s="21" t="n"/>
      <c r="C140" s="22" t="n"/>
      <c r="D140" s="22" t="n"/>
      <c r="E140" s="23" t="n"/>
      <c r="F140" s="24">
        <f>IF(ISNUMBER(D140),D140-IF(ISNUMBER(E140),E140,30),"")</f>
        <v/>
      </c>
      <c r="G140" s="25">
        <f>IF(D140="","",IF(ISNUMBER(D140),D140-TODAY(),"Check date"))</f>
        <v/>
      </c>
      <c r="H140" s="26">
        <f>IF(G140="","",IF(ISNUMBER(G140),IF(G140&lt;0,"Expired",IF(G140&lt;=30,"Due ≤30 days",IF(G140&lt;=90,"Due ≤90 days","OK"))),"Check date"))</f>
        <v/>
      </c>
      <c r="I140" s="21" t="n"/>
      <c r="J140" s="21" t="n"/>
      <c r="K140" s="22" t="n"/>
      <c r="L140" s="21" t="n"/>
      <c r="M140" s="21" t="n"/>
      <c r="N140" s="21" t="n"/>
      <c r="O140" s="27">
        <f>IF(B140="","",IFERROR(IF(VLOOKUP(B140,Lists!$A$2:$B$12,2,FALSE)="","",HYPERLINK(VLOOKUP(B140,Lists!$A$2:$B$12,2,FALSE),"How long valid?")),""))</f>
        <v/>
      </c>
      <c r="P140" s="21" t="n"/>
    </row>
    <row r="141">
      <c r="A141" s="21" t="n"/>
      <c r="B141" s="21" t="n"/>
      <c r="C141" s="22" t="n"/>
      <c r="D141" s="22" t="n"/>
      <c r="E141" s="23" t="n"/>
      <c r="F141" s="24">
        <f>IF(ISNUMBER(D141),D141-IF(ISNUMBER(E141),E141,30),"")</f>
        <v/>
      </c>
      <c r="G141" s="25">
        <f>IF(D141="","",IF(ISNUMBER(D141),D141-TODAY(),"Check date"))</f>
        <v/>
      </c>
      <c r="H141" s="26">
        <f>IF(G141="","",IF(ISNUMBER(G141),IF(G141&lt;0,"Expired",IF(G141&lt;=30,"Due ≤30 days",IF(G141&lt;=90,"Due ≤90 days","OK"))),"Check date"))</f>
        <v/>
      </c>
      <c r="I141" s="21" t="n"/>
      <c r="J141" s="21" t="n"/>
      <c r="K141" s="22" t="n"/>
      <c r="L141" s="21" t="n"/>
      <c r="M141" s="21" t="n"/>
      <c r="N141" s="21" t="n"/>
      <c r="O141" s="27">
        <f>IF(B141="","",IFERROR(IF(VLOOKUP(B141,Lists!$A$2:$B$12,2,FALSE)="","",HYPERLINK(VLOOKUP(B141,Lists!$A$2:$B$12,2,FALSE),"How long valid?")),""))</f>
        <v/>
      </c>
      <c r="P141" s="21" t="n"/>
    </row>
    <row r="142">
      <c r="A142" s="21" t="n"/>
      <c r="B142" s="21" t="n"/>
      <c r="C142" s="22" t="n"/>
      <c r="D142" s="22" t="n"/>
      <c r="E142" s="23" t="n"/>
      <c r="F142" s="24">
        <f>IF(ISNUMBER(D142),D142-IF(ISNUMBER(E142),E142,30),"")</f>
        <v/>
      </c>
      <c r="G142" s="25">
        <f>IF(D142="","",IF(ISNUMBER(D142),D142-TODAY(),"Check date"))</f>
        <v/>
      </c>
      <c r="H142" s="26">
        <f>IF(G142="","",IF(ISNUMBER(G142),IF(G142&lt;0,"Expired",IF(G142&lt;=30,"Due ≤30 days",IF(G142&lt;=90,"Due ≤90 days","OK"))),"Check date"))</f>
        <v/>
      </c>
      <c r="I142" s="21" t="n"/>
      <c r="J142" s="21" t="n"/>
      <c r="K142" s="22" t="n"/>
      <c r="L142" s="21" t="n"/>
      <c r="M142" s="21" t="n"/>
      <c r="N142" s="21" t="n"/>
      <c r="O142" s="27">
        <f>IF(B142="","",IFERROR(IF(VLOOKUP(B142,Lists!$A$2:$B$12,2,FALSE)="","",HYPERLINK(VLOOKUP(B142,Lists!$A$2:$B$12,2,FALSE),"How long valid?")),""))</f>
        <v/>
      </c>
      <c r="P142" s="21" t="n"/>
    </row>
    <row r="143">
      <c r="A143" s="21" t="n"/>
      <c r="B143" s="21" t="n"/>
      <c r="C143" s="22" t="n"/>
      <c r="D143" s="22" t="n"/>
      <c r="E143" s="23" t="n"/>
      <c r="F143" s="24">
        <f>IF(ISNUMBER(D143),D143-IF(ISNUMBER(E143),E143,30),"")</f>
        <v/>
      </c>
      <c r="G143" s="25">
        <f>IF(D143="","",IF(ISNUMBER(D143),D143-TODAY(),"Check date"))</f>
        <v/>
      </c>
      <c r="H143" s="26">
        <f>IF(G143="","",IF(ISNUMBER(G143),IF(G143&lt;0,"Expired",IF(G143&lt;=30,"Due ≤30 days",IF(G143&lt;=90,"Due ≤90 days","OK"))),"Check date"))</f>
        <v/>
      </c>
      <c r="I143" s="21" t="n"/>
      <c r="J143" s="21" t="n"/>
      <c r="K143" s="22" t="n"/>
      <c r="L143" s="21" t="n"/>
      <c r="M143" s="21" t="n"/>
      <c r="N143" s="21" t="n"/>
      <c r="O143" s="27">
        <f>IF(B143="","",IFERROR(IF(VLOOKUP(B143,Lists!$A$2:$B$12,2,FALSE)="","",HYPERLINK(VLOOKUP(B143,Lists!$A$2:$B$12,2,FALSE),"How long valid?")),""))</f>
        <v/>
      </c>
      <c r="P143" s="21" t="n"/>
    </row>
    <row r="144">
      <c r="A144" s="21" t="n"/>
      <c r="B144" s="21" t="n"/>
      <c r="C144" s="22" t="n"/>
      <c r="D144" s="22" t="n"/>
      <c r="E144" s="23" t="n"/>
      <c r="F144" s="24">
        <f>IF(ISNUMBER(D144),D144-IF(ISNUMBER(E144),E144,30),"")</f>
        <v/>
      </c>
      <c r="G144" s="25">
        <f>IF(D144="","",IF(ISNUMBER(D144),D144-TODAY(),"Check date"))</f>
        <v/>
      </c>
      <c r="H144" s="26">
        <f>IF(G144="","",IF(ISNUMBER(G144),IF(G144&lt;0,"Expired",IF(G144&lt;=30,"Due ≤30 days",IF(G144&lt;=90,"Due ≤90 days","OK"))),"Check date"))</f>
        <v/>
      </c>
      <c r="I144" s="21" t="n"/>
      <c r="J144" s="21" t="n"/>
      <c r="K144" s="22" t="n"/>
      <c r="L144" s="21" t="n"/>
      <c r="M144" s="21" t="n"/>
      <c r="N144" s="21" t="n"/>
      <c r="O144" s="27">
        <f>IF(B144="","",IFERROR(IF(VLOOKUP(B144,Lists!$A$2:$B$12,2,FALSE)="","",HYPERLINK(VLOOKUP(B144,Lists!$A$2:$B$12,2,FALSE),"How long valid?")),""))</f>
        <v/>
      </c>
      <c r="P144" s="21" t="n"/>
    </row>
    <row r="145">
      <c r="A145" s="21" t="n"/>
      <c r="B145" s="21" t="n"/>
      <c r="C145" s="22" t="n"/>
      <c r="D145" s="22" t="n"/>
      <c r="E145" s="23" t="n"/>
      <c r="F145" s="24">
        <f>IF(ISNUMBER(D145),D145-IF(ISNUMBER(E145),E145,30),"")</f>
        <v/>
      </c>
      <c r="G145" s="25">
        <f>IF(D145="","",IF(ISNUMBER(D145),D145-TODAY(),"Check date"))</f>
        <v/>
      </c>
      <c r="H145" s="26">
        <f>IF(G145="","",IF(ISNUMBER(G145),IF(G145&lt;0,"Expired",IF(G145&lt;=30,"Due ≤30 days",IF(G145&lt;=90,"Due ≤90 days","OK"))),"Check date"))</f>
        <v/>
      </c>
      <c r="I145" s="21" t="n"/>
      <c r="J145" s="21" t="n"/>
      <c r="K145" s="22" t="n"/>
      <c r="L145" s="21" t="n"/>
      <c r="M145" s="21" t="n"/>
      <c r="N145" s="21" t="n"/>
      <c r="O145" s="27">
        <f>IF(B145="","",IFERROR(IF(VLOOKUP(B145,Lists!$A$2:$B$12,2,FALSE)="","",HYPERLINK(VLOOKUP(B145,Lists!$A$2:$B$12,2,FALSE),"How long valid?")),""))</f>
        <v/>
      </c>
      <c r="P145" s="21" t="n"/>
    </row>
    <row r="146">
      <c r="A146" s="21" t="n"/>
      <c r="B146" s="21" t="n"/>
      <c r="C146" s="22" t="n"/>
      <c r="D146" s="22" t="n"/>
      <c r="E146" s="23" t="n"/>
      <c r="F146" s="24">
        <f>IF(ISNUMBER(D146),D146-IF(ISNUMBER(E146),E146,30),"")</f>
        <v/>
      </c>
      <c r="G146" s="25">
        <f>IF(D146="","",IF(ISNUMBER(D146),D146-TODAY(),"Check date"))</f>
        <v/>
      </c>
      <c r="H146" s="26">
        <f>IF(G146="","",IF(ISNUMBER(G146),IF(G146&lt;0,"Expired",IF(G146&lt;=30,"Due ≤30 days",IF(G146&lt;=90,"Due ≤90 days","OK"))),"Check date"))</f>
        <v/>
      </c>
      <c r="I146" s="21" t="n"/>
      <c r="J146" s="21" t="n"/>
      <c r="K146" s="22" t="n"/>
      <c r="L146" s="21" t="n"/>
      <c r="M146" s="21" t="n"/>
      <c r="N146" s="21" t="n"/>
      <c r="O146" s="27">
        <f>IF(B146="","",IFERROR(IF(VLOOKUP(B146,Lists!$A$2:$B$12,2,FALSE)="","",HYPERLINK(VLOOKUP(B146,Lists!$A$2:$B$12,2,FALSE),"How long valid?")),""))</f>
        <v/>
      </c>
      <c r="P146" s="21" t="n"/>
    </row>
    <row r="147">
      <c r="A147" s="21" t="n"/>
      <c r="B147" s="21" t="n"/>
      <c r="C147" s="22" t="n"/>
      <c r="D147" s="22" t="n"/>
      <c r="E147" s="23" t="n"/>
      <c r="F147" s="24">
        <f>IF(ISNUMBER(D147),D147-IF(ISNUMBER(E147),E147,30),"")</f>
        <v/>
      </c>
      <c r="G147" s="25">
        <f>IF(D147="","",IF(ISNUMBER(D147),D147-TODAY(),"Check date"))</f>
        <v/>
      </c>
      <c r="H147" s="26">
        <f>IF(G147="","",IF(ISNUMBER(G147),IF(G147&lt;0,"Expired",IF(G147&lt;=30,"Due ≤30 days",IF(G147&lt;=90,"Due ≤90 days","OK"))),"Check date"))</f>
        <v/>
      </c>
      <c r="I147" s="21" t="n"/>
      <c r="J147" s="21" t="n"/>
      <c r="K147" s="22" t="n"/>
      <c r="L147" s="21" t="n"/>
      <c r="M147" s="21" t="n"/>
      <c r="N147" s="21" t="n"/>
      <c r="O147" s="27">
        <f>IF(B147="","",IFERROR(IF(VLOOKUP(B147,Lists!$A$2:$B$12,2,FALSE)="","",HYPERLINK(VLOOKUP(B147,Lists!$A$2:$B$12,2,FALSE),"How long valid?")),""))</f>
        <v/>
      </c>
      <c r="P147" s="21" t="n"/>
    </row>
    <row r="148">
      <c r="A148" s="21" t="n"/>
      <c r="B148" s="21" t="n"/>
      <c r="C148" s="22" t="n"/>
      <c r="D148" s="22" t="n"/>
      <c r="E148" s="23" t="n"/>
      <c r="F148" s="24">
        <f>IF(ISNUMBER(D148),D148-IF(ISNUMBER(E148),E148,30),"")</f>
        <v/>
      </c>
      <c r="G148" s="25">
        <f>IF(D148="","",IF(ISNUMBER(D148),D148-TODAY(),"Check date"))</f>
        <v/>
      </c>
      <c r="H148" s="26">
        <f>IF(G148="","",IF(ISNUMBER(G148),IF(G148&lt;0,"Expired",IF(G148&lt;=30,"Due ≤30 days",IF(G148&lt;=90,"Due ≤90 days","OK"))),"Check date"))</f>
        <v/>
      </c>
      <c r="I148" s="21" t="n"/>
      <c r="J148" s="21" t="n"/>
      <c r="K148" s="22" t="n"/>
      <c r="L148" s="21" t="n"/>
      <c r="M148" s="21" t="n"/>
      <c r="N148" s="21" t="n"/>
      <c r="O148" s="27">
        <f>IF(B148="","",IFERROR(IF(VLOOKUP(B148,Lists!$A$2:$B$12,2,FALSE)="","",HYPERLINK(VLOOKUP(B148,Lists!$A$2:$B$12,2,FALSE),"How long valid?")),""))</f>
        <v/>
      </c>
      <c r="P148" s="21" t="n"/>
    </row>
    <row r="149">
      <c r="A149" s="21" t="n"/>
      <c r="B149" s="21" t="n"/>
      <c r="C149" s="22" t="n"/>
      <c r="D149" s="22" t="n"/>
      <c r="E149" s="23" t="n"/>
      <c r="F149" s="24">
        <f>IF(ISNUMBER(D149),D149-IF(ISNUMBER(E149),E149,30),"")</f>
        <v/>
      </c>
      <c r="G149" s="25">
        <f>IF(D149="","",IF(ISNUMBER(D149),D149-TODAY(),"Check date"))</f>
        <v/>
      </c>
      <c r="H149" s="26">
        <f>IF(G149="","",IF(ISNUMBER(G149),IF(G149&lt;0,"Expired",IF(G149&lt;=30,"Due ≤30 days",IF(G149&lt;=90,"Due ≤90 days","OK"))),"Check date"))</f>
        <v/>
      </c>
      <c r="I149" s="21" t="n"/>
      <c r="J149" s="21" t="n"/>
      <c r="K149" s="22" t="n"/>
      <c r="L149" s="21" t="n"/>
      <c r="M149" s="21" t="n"/>
      <c r="N149" s="21" t="n"/>
      <c r="O149" s="27">
        <f>IF(B149="","",IFERROR(IF(VLOOKUP(B149,Lists!$A$2:$B$12,2,FALSE)="","",HYPERLINK(VLOOKUP(B149,Lists!$A$2:$B$12,2,FALSE),"How long valid?")),""))</f>
        <v/>
      </c>
      <c r="P149" s="21" t="n"/>
    </row>
    <row r="150">
      <c r="A150" s="21" t="n"/>
      <c r="B150" s="21" t="n"/>
      <c r="C150" s="22" t="n"/>
      <c r="D150" s="22" t="n"/>
      <c r="E150" s="23" t="n"/>
      <c r="F150" s="24">
        <f>IF(ISNUMBER(D150),D150-IF(ISNUMBER(E150),E150,30),"")</f>
        <v/>
      </c>
      <c r="G150" s="25">
        <f>IF(D150="","",IF(ISNUMBER(D150),D150-TODAY(),"Check date"))</f>
        <v/>
      </c>
      <c r="H150" s="26">
        <f>IF(G150="","",IF(ISNUMBER(G150),IF(G150&lt;0,"Expired",IF(G150&lt;=30,"Due ≤30 days",IF(G150&lt;=90,"Due ≤90 days","OK"))),"Check date"))</f>
        <v/>
      </c>
      <c r="I150" s="21" t="n"/>
      <c r="J150" s="21" t="n"/>
      <c r="K150" s="22" t="n"/>
      <c r="L150" s="21" t="n"/>
      <c r="M150" s="21" t="n"/>
      <c r="N150" s="21" t="n"/>
      <c r="O150" s="27">
        <f>IF(B150="","",IFERROR(IF(VLOOKUP(B150,Lists!$A$2:$B$12,2,FALSE)="","",HYPERLINK(VLOOKUP(B150,Lists!$A$2:$B$12,2,FALSE),"How long valid?")),""))</f>
        <v/>
      </c>
      <c r="P150" s="21" t="n"/>
    </row>
    <row r="151">
      <c r="A151" s="21" t="n"/>
      <c r="B151" s="21" t="n"/>
      <c r="C151" s="22" t="n"/>
      <c r="D151" s="22" t="n"/>
      <c r="E151" s="23" t="n"/>
      <c r="F151" s="24">
        <f>IF(ISNUMBER(D151),D151-IF(ISNUMBER(E151),E151,30),"")</f>
        <v/>
      </c>
      <c r="G151" s="25">
        <f>IF(D151="","",IF(ISNUMBER(D151),D151-TODAY(),"Check date"))</f>
        <v/>
      </c>
      <c r="H151" s="26">
        <f>IF(G151="","",IF(ISNUMBER(G151),IF(G151&lt;0,"Expired",IF(G151&lt;=30,"Due ≤30 days",IF(G151&lt;=90,"Due ≤90 days","OK"))),"Check date"))</f>
        <v/>
      </c>
      <c r="I151" s="21" t="n"/>
      <c r="J151" s="21" t="n"/>
      <c r="K151" s="22" t="n"/>
      <c r="L151" s="21" t="n"/>
      <c r="M151" s="21" t="n"/>
      <c r="N151" s="21" t="n"/>
      <c r="O151" s="27">
        <f>IF(B151="","",IFERROR(IF(VLOOKUP(B151,Lists!$A$2:$B$12,2,FALSE)="","",HYPERLINK(VLOOKUP(B151,Lists!$A$2:$B$12,2,FALSE),"How long valid?")),""))</f>
        <v/>
      </c>
      <c r="P151" s="21" t="n"/>
    </row>
    <row r="152">
      <c r="A152" s="21" t="n"/>
      <c r="B152" s="21" t="n"/>
      <c r="C152" s="22" t="n"/>
      <c r="D152" s="22" t="n"/>
      <c r="E152" s="23" t="n"/>
      <c r="F152" s="24">
        <f>IF(ISNUMBER(D152),D152-IF(ISNUMBER(E152),E152,30),"")</f>
        <v/>
      </c>
      <c r="G152" s="25">
        <f>IF(D152="","",IF(ISNUMBER(D152),D152-TODAY(),"Check date"))</f>
        <v/>
      </c>
      <c r="H152" s="26">
        <f>IF(G152="","",IF(ISNUMBER(G152),IF(G152&lt;0,"Expired",IF(G152&lt;=30,"Due ≤30 days",IF(G152&lt;=90,"Due ≤90 days","OK"))),"Check date"))</f>
        <v/>
      </c>
      <c r="I152" s="21" t="n"/>
      <c r="J152" s="21" t="n"/>
      <c r="K152" s="22" t="n"/>
      <c r="L152" s="21" t="n"/>
      <c r="M152" s="21" t="n"/>
      <c r="N152" s="21" t="n"/>
      <c r="O152" s="27">
        <f>IF(B152="","",IFERROR(IF(VLOOKUP(B152,Lists!$A$2:$B$12,2,FALSE)="","",HYPERLINK(VLOOKUP(B152,Lists!$A$2:$B$12,2,FALSE),"How long valid?")),""))</f>
        <v/>
      </c>
      <c r="P152" s="21" t="n"/>
    </row>
    <row r="153">
      <c r="A153" s="21" t="n"/>
      <c r="B153" s="21" t="n"/>
      <c r="C153" s="22" t="n"/>
      <c r="D153" s="22" t="n"/>
      <c r="E153" s="23" t="n"/>
      <c r="F153" s="24">
        <f>IF(ISNUMBER(D153),D153-IF(ISNUMBER(E153),E153,30),"")</f>
        <v/>
      </c>
      <c r="G153" s="25">
        <f>IF(D153="","",IF(ISNUMBER(D153),D153-TODAY(),"Check date"))</f>
        <v/>
      </c>
      <c r="H153" s="26">
        <f>IF(G153="","",IF(ISNUMBER(G153),IF(G153&lt;0,"Expired",IF(G153&lt;=30,"Due ≤30 days",IF(G153&lt;=90,"Due ≤90 days","OK"))),"Check date"))</f>
        <v/>
      </c>
      <c r="I153" s="21" t="n"/>
      <c r="J153" s="21" t="n"/>
      <c r="K153" s="22" t="n"/>
      <c r="L153" s="21" t="n"/>
      <c r="M153" s="21" t="n"/>
      <c r="N153" s="21" t="n"/>
      <c r="O153" s="27">
        <f>IF(B153="","",IFERROR(IF(VLOOKUP(B153,Lists!$A$2:$B$12,2,FALSE)="","",HYPERLINK(VLOOKUP(B153,Lists!$A$2:$B$12,2,FALSE),"How long valid?")),""))</f>
        <v/>
      </c>
      <c r="P153" s="21" t="n"/>
    </row>
    <row r="154">
      <c r="A154" s="21" t="n"/>
      <c r="B154" s="21" t="n"/>
      <c r="C154" s="22" t="n"/>
      <c r="D154" s="22" t="n"/>
      <c r="E154" s="23" t="n"/>
      <c r="F154" s="24">
        <f>IF(ISNUMBER(D154),D154-IF(ISNUMBER(E154),E154,30),"")</f>
        <v/>
      </c>
      <c r="G154" s="25">
        <f>IF(D154="","",IF(ISNUMBER(D154),D154-TODAY(),"Check date"))</f>
        <v/>
      </c>
      <c r="H154" s="26">
        <f>IF(G154="","",IF(ISNUMBER(G154),IF(G154&lt;0,"Expired",IF(G154&lt;=30,"Due ≤30 days",IF(G154&lt;=90,"Due ≤90 days","OK"))),"Check date"))</f>
        <v/>
      </c>
      <c r="I154" s="21" t="n"/>
      <c r="J154" s="21" t="n"/>
      <c r="K154" s="22" t="n"/>
      <c r="L154" s="21" t="n"/>
      <c r="M154" s="21" t="n"/>
      <c r="N154" s="21" t="n"/>
      <c r="O154" s="27">
        <f>IF(B154="","",IFERROR(IF(VLOOKUP(B154,Lists!$A$2:$B$12,2,FALSE)="","",HYPERLINK(VLOOKUP(B154,Lists!$A$2:$B$12,2,FALSE),"How long valid?")),""))</f>
        <v/>
      </c>
      <c r="P154" s="21" t="n"/>
    </row>
    <row r="155">
      <c r="A155" s="21" t="n"/>
      <c r="B155" s="21" t="n"/>
      <c r="C155" s="22" t="n"/>
      <c r="D155" s="22" t="n"/>
      <c r="E155" s="23" t="n"/>
      <c r="F155" s="24">
        <f>IF(ISNUMBER(D155),D155-IF(ISNUMBER(E155),E155,30),"")</f>
        <v/>
      </c>
      <c r="G155" s="25">
        <f>IF(D155="","",IF(ISNUMBER(D155),D155-TODAY(),"Check date"))</f>
        <v/>
      </c>
      <c r="H155" s="26">
        <f>IF(G155="","",IF(ISNUMBER(G155),IF(G155&lt;0,"Expired",IF(G155&lt;=30,"Due ≤30 days",IF(G155&lt;=90,"Due ≤90 days","OK"))),"Check date"))</f>
        <v/>
      </c>
      <c r="I155" s="21" t="n"/>
      <c r="J155" s="21" t="n"/>
      <c r="K155" s="22" t="n"/>
      <c r="L155" s="21" t="n"/>
      <c r="M155" s="21" t="n"/>
      <c r="N155" s="21" t="n"/>
      <c r="O155" s="27">
        <f>IF(B155="","",IFERROR(IF(VLOOKUP(B155,Lists!$A$2:$B$12,2,FALSE)="","",HYPERLINK(VLOOKUP(B155,Lists!$A$2:$B$12,2,FALSE),"How long valid?")),""))</f>
        <v/>
      </c>
      <c r="P155" s="21" t="n"/>
    </row>
    <row r="156">
      <c r="A156" s="21" t="n"/>
      <c r="B156" s="21" t="n"/>
      <c r="C156" s="22" t="n"/>
      <c r="D156" s="22" t="n"/>
      <c r="E156" s="23" t="n"/>
      <c r="F156" s="24">
        <f>IF(ISNUMBER(D156),D156-IF(ISNUMBER(E156),E156,30),"")</f>
        <v/>
      </c>
      <c r="G156" s="25">
        <f>IF(D156="","",IF(ISNUMBER(D156),D156-TODAY(),"Check date"))</f>
        <v/>
      </c>
      <c r="H156" s="26">
        <f>IF(G156="","",IF(ISNUMBER(G156),IF(G156&lt;0,"Expired",IF(G156&lt;=30,"Due ≤30 days",IF(G156&lt;=90,"Due ≤90 days","OK"))),"Check date"))</f>
        <v/>
      </c>
      <c r="I156" s="21" t="n"/>
      <c r="J156" s="21" t="n"/>
      <c r="K156" s="22" t="n"/>
      <c r="L156" s="21" t="n"/>
      <c r="M156" s="21" t="n"/>
      <c r="N156" s="21" t="n"/>
      <c r="O156" s="27">
        <f>IF(B156="","",IFERROR(IF(VLOOKUP(B156,Lists!$A$2:$B$12,2,FALSE)="","",HYPERLINK(VLOOKUP(B156,Lists!$A$2:$B$12,2,FALSE),"How long valid?")),""))</f>
        <v/>
      </c>
      <c r="P156" s="21" t="n"/>
    </row>
    <row r="157">
      <c r="A157" s="21" t="n"/>
      <c r="B157" s="21" t="n"/>
      <c r="C157" s="22" t="n"/>
      <c r="D157" s="22" t="n"/>
      <c r="E157" s="23" t="n"/>
      <c r="F157" s="24">
        <f>IF(ISNUMBER(D157),D157-IF(ISNUMBER(E157),E157,30),"")</f>
        <v/>
      </c>
      <c r="G157" s="25">
        <f>IF(D157="","",IF(ISNUMBER(D157),D157-TODAY(),"Check date"))</f>
        <v/>
      </c>
      <c r="H157" s="26">
        <f>IF(G157="","",IF(ISNUMBER(G157),IF(G157&lt;0,"Expired",IF(G157&lt;=30,"Due ≤30 days",IF(G157&lt;=90,"Due ≤90 days","OK"))),"Check date"))</f>
        <v/>
      </c>
      <c r="I157" s="21" t="n"/>
      <c r="J157" s="21" t="n"/>
      <c r="K157" s="22" t="n"/>
      <c r="L157" s="21" t="n"/>
      <c r="M157" s="21" t="n"/>
      <c r="N157" s="21" t="n"/>
      <c r="O157" s="27">
        <f>IF(B157="","",IFERROR(IF(VLOOKUP(B157,Lists!$A$2:$B$12,2,FALSE)="","",HYPERLINK(VLOOKUP(B157,Lists!$A$2:$B$12,2,FALSE),"How long valid?")),""))</f>
        <v/>
      </c>
      <c r="P157" s="21" t="n"/>
    </row>
    <row r="158">
      <c r="A158" s="21" t="n"/>
      <c r="B158" s="21" t="n"/>
      <c r="C158" s="22" t="n"/>
      <c r="D158" s="22" t="n"/>
      <c r="E158" s="23" t="n"/>
      <c r="F158" s="24">
        <f>IF(ISNUMBER(D158),D158-IF(ISNUMBER(E158),E158,30),"")</f>
        <v/>
      </c>
      <c r="G158" s="25">
        <f>IF(D158="","",IF(ISNUMBER(D158),D158-TODAY(),"Check date"))</f>
        <v/>
      </c>
      <c r="H158" s="26">
        <f>IF(G158="","",IF(ISNUMBER(G158),IF(G158&lt;0,"Expired",IF(G158&lt;=30,"Due ≤30 days",IF(G158&lt;=90,"Due ≤90 days","OK"))),"Check date"))</f>
        <v/>
      </c>
      <c r="I158" s="21" t="n"/>
      <c r="J158" s="21" t="n"/>
      <c r="K158" s="22" t="n"/>
      <c r="L158" s="21" t="n"/>
      <c r="M158" s="21" t="n"/>
      <c r="N158" s="21" t="n"/>
      <c r="O158" s="27">
        <f>IF(B158="","",IFERROR(IF(VLOOKUP(B158,Lists!$A$2:$B$12,2,FALSE)="","",HYPERLINK(VLOOKUP(B158,Lists!$A$2:$B$12,2,FALSE),"How long valid?")),""))</f>
        <v/>
      </c>
      <c r="P158" s="21" t="n"/>
    </row>
    <row r="159">
      <c r="A159" s="21" t="n"/>
      <c r="B159" s="21" t="n"/>
      <c r="C159" s="22" t="n"/>
      <c r="D159" s="22" t="n"/>
      <c r="E159" s="23" t="n"/>
      <c r="F159" s="24">
        <f>IF(ISNUMBER(D159),D159-IF(ISNUMBER(E159),E159,30),"")</f>
        <v/>
      </c>
      <c r="G159" s="25">
        <f>IF(D159="","",IF(ISNUMBER(D159),D159-TODAY(),"Check date"))</f>
        <v/>
      </c>
      <c r="H159" s="26">
        <f>IF(G159="","",IF(ISNUMBER(G159),IF(G159&lt;0,"Expired",IF(G159&lt;=30,"Due ≤30 days",IF(G159&lt;=90,"Due ≤90 days","OK"))),"Check date"))</f>
        <v/>
      </c>
      <c r="I159" s="21" t="n"/>
      <c r="J159" s="21" t="n"/>
      <c r="K159" s="22" t="n"/>
      <c r="L159" s="21" t="n"/>
      <c r="M159" s="21" t="n"/>
      <c r="N159" s="21" t="n"/>
      <c r="O159" s="27">
        <f>IF(B159="","",IFERROR(IF(VLOOKUP(B159,Lists!$A$2:$B$12,2,FALSE)="","",HYPERLINK(VLOOKUP(B159,Lists!$A$2:$B$12,2,FALSE),"How long valid?")),""))</f>
        <v/>
      </c>
      <c r="P159" s="21" t="n"/>
    </row>
    <row r="160">
      <c r="A160" s="21" t="n"/>
      <c r="B160" s="21" t="n"/>
      <c r="C160" s="22" t="n"/>
      <c r="D160" s="22" t="n"/>
      <c r="E160" s="23" t="n"/>
      <c r="F160" s="24">
        <f>IF(ISNUMBER(D160),D160-IF(ISNUMBER(E160),E160,30),"")</f>
        <v/>
      </c>
      <c r="G160" s="25">
        <f>IF(D160="","",IF(ISNUMBER(D160),D160-TODAY(),"Check date"))</f>
        <v/>
      </c>
      <c r="H160" s="26">
        <f>IF(G160="","",IF(ISNUMBER(G160),IF(G160&lt;0,"Expired",IF(G160&lt;=30,"Due ≤30 days",IF(G160&lt;=90,"Due ≤90 days","OK"))),"Check date"))</f>
        <v/>
      </c>
      <c r="I160" s="21" t="n"/>
      <c r="J160" s="21" t="n"/>
      <c r="K160" s="22" t="n"/>
      <c r="L160" s="21" t="n"/>
      <c r="M160" s="21" t="n"/>
      <c r="N160" s="21" t="n"/>
      <c r="O160" s="27">
        <f>IF(B160="","",IFERROR(IF(VLOOKUP(B160,Lists!$A$2:$B$12,2,FALSE)="","",HYPERLINK(VLOOKUP(B160,Lists!$A$2:$B$12,2,FALSE),"How long valid?")),""))</f>
        <v/>
      </c>
      <c r="P160" s="21" t="n"/>
    </row>
    <row r="161">
      <c r="A161" s="21" t="n"/>
      <c r="B161" s="21" t="n"/>
      <c r="C161" s="22" t="n"/>
      <c r="D161" s="22" t="n"/>
      <c r="E161" s="23" t="n"/>
      <c r="F161" s="24">
        <f>IF(ISNUMBER(D161),D161-IF(ISNUMBER(E161),E161,30),"")</f>
        <v/>
      </c>
      <c r="G161" s="25">
        <f>IF(D161="","",IF(ISNUMBER(D161),D161-TODAY(),"Check date"))</f>
        <v/>
      </c>
      <c r="H161" s="26">
        <f>IF(G161="","",IF(ISNUMBER(G161),IF(G161&lt;0,"Expired",IF(G161&lt;=30,"Due ≤30 days",IF(G161&lt;=90,"Due ≤90 days","OK"))),"Check date"))</f>
        <v/>
      </c>
      <c r="I161" s="21" t="n"/>
      <c r="J161" s="21" t="n"/>
      <c r="K161" s="22" t="n"/>
      <c r="L161" s="21" t="n"/>
      <c r="M161" s="21" t="n"/>
      <c r="N161" s="21" t="n"/>
      <c r="O161" s="27">
        <f>IF(B161="","",IFERROR(IF(VLOOKUP(B161,Lists!$A$2:$B$12,2,FALSE)="","",HYPERLINK(VLOOKUP(B161,Lists!$A$2:$B$12,2,FALSE),"How long valid?")),""))</f>
        <v/>
      </c>
      <c r="P161" s="21" t="n"/>
    </row>
    <row r="162">
      <c r="A162" s="21" t="n"/>
      <c r="B162" s="21" t="n"/>
      <c r="C162" s="22" t="n"/>
      <c r="D162" s="22" t="n"/>
      <c r="E162" s="23" t="n"/>
      <c r="F162" s="24">
        <f>IF(ISNUMBER(D162),D162-IF(ISNUMBER(E162),E162,30),"")</f>
        <v/>
      </c>
      <c r="G162" s="25">
        <f>IF(D162="","",IF(ISNUMBER(D162),D162-TODAY(),"Check date"))</f>
        <v/>
      </c>
      <c r="H162" s="26">
        <f>IF(G162="","",IF(ISNUMBER(G162),IF(G162&lt;0,"Expired",IF(G162&lt;=30,"Due ≤30 days",IF(G162&lt;=90,"Due ≤90 days","OK"))),"Check date"))</f>
        <v/>
      </c>
      <c r="I162" s="21" t="n"/>
      <c r="J162" s="21" t="n"/>
      <c r="K162" s="22" t="n"/>
      <c r="L162" s="21" t="n"/>
      <c r="M162" s="21" t="n"/>
      <c r="N162" s="21" t="n"/>
      <c r="O162" s="27">
        <f>IF(B162="","",IFERROR(IF(VLOOKUP(B162,Lists!$A$2:$B$12,2,FALSE)="","",HYPERLINK(VLOOKUP(B162,Lists!$A$2:$B$12,2,FALSE),"How long valid?")),""))</f>
        <v/>
      </c>
      <c r="P162" s="21" t="n"/>
    </row>
    <row r="163">
      <c r="A163" s="21" t="n"/>
      <c r="B163" s="21" t="n"/>
      <c r="C163" s="22" t="n"/>
      <c r="D163" s="22" t="n"/>
      <c r="E163" s="23" t="n"/>
      <c r="F163" s="24">
        <f>IF(ISNUMBER(D163),D163-IF(ISNUMBER(E163),E163,30),"")</f>
        <v/>
      </c>
      <c r="G163" s="25">
        <f>IF(D163="","",IF(ISNUMBER(D163),D163-TODAY(),"Check date"))</f>
        <v/>
      </c>
      <c r="H163" s="26">
        <f>IF(G163="","",IF(ISNUMBER(G163),IF(G163&lt;0,"Expired",IF(G163&lt;=30,"Due ≤30 days",IF(G163&lt;=90,"Due ≤90 days","OK"))),"Check date"))</f>
        <v/>
      </c>
      <c r="I163" s="21" t="n"/>
      <c r="J163" s="21" t="n"/>
      <c r="K163" s="22" t="n"/>
      <c r="L163" s="21" t="n"/>
      <c r="M163" s="21" t="n"/>
      <c r="N163" s="21" t="n"/>
      <c r="O163" s="27">
        <f>IF(B163="","",IFERROR(IF(VLOOKUP(B163,Lists!$A$2:$B$12,2,FALSE)="","",HYPERLINK(VLOOKUP(B163,Lists!$A$2:$B$12,2,FALSE),"How long valid?")),""))</f>
        <v/>
      </c>
      <c r="P163" s="21" t="n"/>
    </row>
    <row r="164">
      <c r="A164" s="21" t="n"/>
      <c r="B164" s="21" t="n"/>
      <c r="C164" s="22" t="n"/>
      <c r="D164" s="22" t="n"/>
      <c r="E164" s="23" t="n"/>
      <c r="F164" s="24">
        <f>IF(ISNUMBER(D164),D164-IF(ISNUMBER(E164),E164,30),"")</f>
        <v/>
      </c>
      <c r="G164" s="25">
        <f>IF(D164="","",IF(ISNUMBER(D164),D164-TODAY(),"Check date"))</f>
        <v/>
      </c>
      <c r="H164" s="26">
        <f>IF(G164="","",IF(ISNUMBER(G164),IF(G164&lt;0,"Expired",IF(G164&lt;=30,"Due ≤30 days",IF(G164&lt;=90,"Due ≤90 days","OK"))),"Check date"))</f>
        <v/>
      </c>
      <c r="I164" s="21" t="n"/>
      <c r="J164" s="21" t="n"/>
      <c r="K164" s="22" t="n"/>
      <c r="L164" s="21" t="n"/>
      <c r="M164" s="21" t="n"/>
      <c r="N164" s="21" t="n"/>
      <c r="O164" s="27">
        <f>IF(B164="","",IFERROR(IF(VLOOKUP(B164,Lists!$A$2:$B$12,2,FALSE)="","",HYPERLINK(VLOOKUP(B164,Lists!$A$2:$B$12,2,FALSE),"How long valid?")),""))</f>
        <v/>
      </c>
      <c r="P164" s="21" t="n"/>
    </row>
    <row r="165">
      <c r="A165" s="21" t="n"/>
      <c r="B165" s="21" t="n"/>
      <c r="C165" s="22" t="n"/>
      <c r="D165" s="22" t="n"/>
      <c r="E165" s="23" t="n"/>
      <c r="F165" s="24">
        <f>IF(ISNUMBER(D165),D165-IF(ISNUMBER(E165),E165,30),"")</f>
        <v/>
      </c>
      <c r="G165" s="25">
        <f>IF(D165="","",IF(ISNUMBER(D165),D165-TODAY(),"Check date"))</f>
        <v/>
      </c>
      <c r="H165" s="26">
        <f>IF(G165="","",IF(ISNUMBER(G165),IF(G165&lt;0,"Expired",IF(G165&lt;=30,"Due ≤30 days",IF(G165&lt;=90,"Due ≤90 days","OK"))),"Check date"))</f>
        <v/>
      </c>
      <c r="I165" s="21" t="n"/>
      <c r="J165" s="21" t="n"/>
      <c r="K165" s="22" t="n"/>
      <c r="L165" s="21" t="n"/>
      <c r="M165" s="21" t="n"/>
      <c r="N165" s="21" t="n"/>
      <c r="O165" s="27">
        <f>IF(B165="","",IFERROR(IF(VLOOKUP(B165,Lists!$A$2:$B$12,2,FALSE)="","",HYPERLINK(VLOOKUP(B165,Lists!$A$2:$B$12,2,FALSE),"How long valid?")),""))</f>
        <v/>
      </c>
      <c r="P165" s="21" t="n"/>
    </row>
    <row r="166">
      <c r="A166" s="21" t="n"/>
      <c r="B166" s="21" t="n"/>
      <c r="C166" s="22" t="n"/>
      <c r="D166" s="22" t="n"/>
      <c r="E166" s="23" t="n"/>
      <c r="F166" s="24">
        <f>IF(ISNUMBER(D166),D166-IF(ISNUMBER(E166),E166,30),"")</f>
        <v/>
      </c>
      <c r="G166" s="25">
        <f>IF(D166="","",IF(ISNUMBER(D166),D166-TODAY(),"Check date"))</f>
        <v/>
      </c>
      <c r="H166" s="26">
        <f>IF(G166="","",IF(ISNUMBER(G166),IF(G166&lt;0,"Expired",IF(G166&lt;=30,"Due ≤30 days",IF(G166&lt;=90,"Due ≤90 days","OK"))),"Check date"))</f>
        <v/>
      </c>
      <c r="I166" s="21" t="n"/>
      <c r="J166" s="21" t="n"/>
      <c r="K166" s="22" t="n"/>
      <c r="L166" s="21" t="n"/>
      <c r="M166" s="21" t="n"/>
      <c r="N166" s="21" t="n"/>
      <c r="O166" s="27">
        <f>IF(B166="","",IFERROR(IF(VLOOKUP(B166,Lists!$A$2:$B$12,2,FALSE)="","",HYPERLINK(VLOOKUP(B166,Lists!$A$2:$B$12,2,FALSE),"How long valid?")),""))</f>
        <v/>
      </c>
      <c r="P166" s="21" t="n"/>
    </row>
    <row r="167">
      <c r="A167" s="21" t="n"/>
      <c r="B167" s="21" t="n"/>
      <c r="C167" s="22" t="n"/>
      <c r="D167" s="22" t="n"/>
      <c r="E167" s="23" t="n"/>
      <c r="F167" s="24">
        <f>IF(ISNUMBER(D167),D167-IF(ISNUMBER(E167),E167,30),"")</f>
        <v/>
      </c>
      <c r="G167" s="25">
        <f>IF(D167="","",IF(ISNUMBER(D167),D167-TODAY(),"Check date"))</f>
        <v/>
      </c>
      <c r="H167" s="26">
        <f>IF(G167="","",IF(ISNUMBER(G167),IF(G167&lt;0,"Expired",IF(G167&lt;=30,"Due ≤30 days",IF(G167&lt;=90,"Due ≤90 days","OK"))),"Check date"))</f>
        <v/>
      </c>
      <c r="I167" s="21" t="n"/>
      <c r="J167" s="21" t="n"/>
      <c r="K167" s="22" t="n"/>
      <c r="L167" s="21" t="n"/>
      <c r="M167" s="21" t="n"/>
      <c r="N167" s="21" t="n"/>
      <c r="O167" s="27">
        <f>IF(B167="","",IFERROR(IF(VLOOKUP(B167,Lists!$A$2:$B$12,2,FALSE)="","",HYPERLINK(VLOOKUP(B167,Lists!$A$2:$B$12,2,FALSE),"How long valid?")),""))</f>
        <v/>
      </c>
      <c r="P167" s="21" t="n"/>
    </row>
    <row r="168">
      <c r="A168" s="21" t="n"/>
      <c r="B168" s="21" t="n"/>
      <c r="C168" s="22" t="n"/>
      <c r="D168" s="22" t="n"/>
      <c r="E168" s="23" t="n"/>
      <c r="F168" s="24">
        <f>IF(ISNUMBER(D168),D168-IF(ISNUMBER(E168),E168,30),"")</f>
        <v/>
      </c>
      <c r="G168" s="25">
        <f>IF(D168="","",IF(ISNUMBER(D168),D168-TODAY(),"Check date"))</f>
        <v/>
      </c>
      <c r="H168" s="26">
        <f>IF(G168="","",IF(ISNUMBER(G168),IF(G168&lt;0,"Expired",IF(G168&lt;=30,"Due ≤30 days",IF(G168&lt;=90,"Due ≤90 days","OK"))),"Check date"))</f>
        <v/>
      </c>
      <c r="I168" s="21" t="n"/>
      <c r="J168" s="21" t="n"/>
      <c r="K168" s="22" t="n"/>
      <c r="L168" s="21" t="n"/>
      <c r="M168" s="21" t="n"/>
      <c r="N168" s="21" t="n"/>
      <c r="O168" s="27">
        <f>IF(B168="","",IFERROR(IF(VLOOKUP(B168,Lists!$A$2:$B$12,2,FALSE)="","",HYPERLINK(VLOOKUP(B168,Lists!$A$2:$B$12,2,FALSE),"How long valid?")),""))</f>
        <v/>
      </c>
      <c r="P168" s="21" t="n"/>
    </row>
    <row r="169">
      <c r="A169" s="21" t="n"/>
      <c r="B169" s="21" t="n"/>
      <c r="C169" s="22" t="n"/>
      <c r="D169" s="22" t="n"/>
      <c r="E169" s="23" t="n"/>
      <c r="F169" s="24">
        <f>IF(ISNUMBER(D169),D169-IF(ISNUMBER(E169),E169,30),"")</f>
        <v/>
      </c>
      <c r="G169" s="25">
        <f>IF(D169="","",IF(ISNUMBER(D169),D169-TODAY(),"Check date"))</f>
        <v/>
      </c>
      <c r="H169" s="26">
        <f>IF(G169="","",IF(ISNUMBER(G169),IF(G169&lt;0,"Expired",IF(G169&lt;=30,"Due ≤30 days",IF(G169&lt;=90,"Due ≤90 days","OK"))),"Check date"))</f>
        <v/>
      </c>
      <c r="I169" s="21" t="n"/>
      <c r="J169" s="21" t="n"/>
      <c r="K169" s="22" t="n"/>
      <c r="L169" s="21" t="n"/>
      <c r="M169" s="21" t="n"/>
      <c r="N169" s="21" t="n"/>
      <c r="O169" s="27">
        <f>IF(B169="","",IFERROR(IF(VLOOKUP(B169,Lists!$A$2:$B$12,2,FALSE)="","",HYPERLINK(VLOOKUP(B169,Lists!$A$2:$B$12,2,FALSE),"How long valid?")),""))</f>
        <v/>
      </c>
      <c r="P169" s="21" t="n"/>
    </row>
    <row r="170">
      <c r="A170" s="21" t="n"/>
      <c r="B170" s="21" t="n"/>
      <c r="C170" s="22" t="n"/>
      <c r="D170" s="22" t="n"/>
      <c r="E170" s="23" t="n"/>
      <c r="F170" s="24">
        <f>IF(ISNUMBER(D170),D170-IF(ISNUMBER(E170),E170,30),"")</f>
        <v/>
      </c>
      <c r="G170" s="25">
        <f>IF(D170="","",IF(ISNUMBER(D170),D170-TODAY(),"Check date"))</f>
        <v/>
      </c>
      <c r="H170" s="26">
        <f>IF(G170="","",IF(ISNUMBER(G170),IF(G170&lt;0,"Expired",IF(G170&lt;=30,"Due ≤30 days",IF(G170&lt;=90,"Due ≤90 days","OK"))),"Check date"))</f>
        <v/>
      </c>
      <c r="I170" s="21" t="n"/>
      <c r="J170" s="21" t="n"/>
      <c r="K170" s="22" t="n"/>
      <c r="L170" s="21" t="n"/>
      <c r="M170" s="21" t="n"/>
      <c r="N170" s="21" t="n"/>
      <c r="O170" s="27">
        <f>IF(B170="","",IFERROR(IF(VLOOKUP(B170,Lists!$A$2:$B$12,2,FALSE)="","",HYPERLINK(VLOOKUP(B170,Lists!$A$2:$B$12,2,FALSE),"How long valid?")),""))</f>
        <v/>
      </c>
      <c r="P170" s="21" t="n"/>
    </row>
    <row r="171">
      <c r="A171" s="21" t="n"/>
      <c r="B171" s="21" t="n"/>
      <c r="C171" s="22" t="n"/>
      <c r="D171" s="22" t="n"/>
      <c r="E171" s="23" t="n"/>
      <c r="F171" s="24">
        <f>IF(ISNUMBER(D171),D171-IF(ISNUMBER(E171),E171,30),"")</f>
        <v/>
      </c>
      <c r="G171" s="25">
        <f>IF(D171="","",IF(ISNUMBER(D171),D171-TODAY(),"Check date"))</f>
        <v/>
      </c>
      <c r="H171" s="26">
        <f>IF(G171="","",IF(ISNUMBER(G171),IF(G171&lt;0,"Expired",IF(G171&lt;=30,"Due ≤30 days",IF(G171&lt;=90,"Due ≤90 days","OK"))),"Check date"))</f>
        <v/>
      </c>
      <c r="I171" s="21" t="n"/>
      <c r="J171" s="21" t="n"/>
      <c r="K171" s="22" t="n"/>
      <c r="L171" s="21" t="n"/>
      <c r="M171" s="21" t="n"/>
      <c r="N171" s="21" t="n"/>
      <c r="O171" s="27">
        <f>IF(B171="","",IFERROR(IF(VLOOKUP(B171,Lists!$A$2:$B$12,2,FALSE)="","",HYPERLINK(VLOOKUP(B171,Lists!$A$2:$B$12,2,FALSE),"How long valid?")),""))</f>
        <v/>
      </c>
      <c r="P171" s="21" t="n"/>
    </row>
    <row r="172">
      <c r="A172" s="21" t="n"/>
      <c r="B172" s="21" t="n"/>
      <c r="C172" s="22" t="n"/>
      <c r="D172" s="22" t="n"/>
      <c r="E172" s="23" t="n"/>
      <c r="F172" s="24">
        <f>IF(ISNUMBER(D172),D172-IF(ISNUMBER(E172),E172,30),"")</f>
        <v/>
      </c>
      <c r="G172" s="25">
        <f>IF(D172="","",IF(ISNUMBER(D172),D172-TODAY(),"Check date"))</f>
        <v/>
      </c>
      <c r="H172" s="26">
        <f>IF(G172="","",IF(ISNUMBER(G172),IF(G172&lt;0,"Expired",IF(G172&lt;=30,"Due ≤30 days",IF(G172&lt;=90,"Due ≤90 days","OK"))),"Check date"))</f>
        <v/>
      </c>
      <c r="I172" s="21" t="n"/>
      <c r="J172" s="21" t="n"/>
      <c r="K172" s="22" t="n"/>
      <c r="L172" s="21" t="n"/>
      <c r="M172" s="21" t="n"/>
      <c r="N172" s="21" t="n"/>
      <c r="O172" s="27">
        <f>IF(B172="","",IFERROR(IF(VLOOKUP(B172,Lists!$A$2:$B$12,2,FALSE)="","",HYPERLINK(VLOOKUP(B172,Lists!$A$2:$B$12,2,FALSE),"How long valid?")),""))</f>
        <v/>
      </c>
      <c r="P172" s="21" t="n"/>
    </row>
    <row r="173">
      <c r="A173" s="21" t="n"/>
      <c r="B173" s="21" t="n"/>
      <c r="C173" s="22" t="n"/>
      <c r="D173" s="22" t="n"/>
      <c r="E173" s="23" t="n"/>
      <c r="F173" s="24">
        <f>IF(ISNUMBER(D173),D173-IF(ISNUMBER(E173),E173,30),"")</f>
        <v/>
      </c>
      <c r="G173" s="25">
        <f>IF(D173="","",IF(ISNUMBER(D173),D173-TODAY(),"Check date"))</f>
        <v/>
      </c>
      <c r="H173" s="26">
        <f>IF(G173="","",IF(ISNUMBER(G173),IF(G173&lt;0,"Expired",IF(G173&lt;=30,"Due ≤30 days",IF(G173&lt;=90,"Due ≤90 days","OK"))),"Check date"))</f>
        <v/>
      </c>
      <c r="I173" s="21" t="n"/>
      <c r="J173" s="21" t="n"/>
      <c r="K173" s="22" t="n"/>
      <c r="L173" s="21" t="n"/>
      <c r="M173" s="21" t="n"/>
      <c r="N173" s="21" t="n"/>
      <c r="O173" s="27">
        <f>IF(B173="","",IFERROR(IF(VLOOKUP(B173,Lists!$A$2:$B$12,2,FALSE)="","",HYPERLINK(VLOOKUP(B173,Lists!$A$2:$B$12,2,FALSE),"How long valid?")),""))</f>
        <v/>
      </c>
      <c r="P173" s="21" t="n"/>
    </row>
    <row r="174">
      <c r="A174" s="21" t="n"/>
      <c r="B174" s="21" t="n"/>
      <c r="C174" s="22" t="n"/>
      <c r="D174" s="22" t="n"/>
      <c r="E174" s="23" t="n"/>
      <c r="F174" s="24">
        <f>IF(ISNUMBER(D174),D174-IF(ISNUMBER(E174),E174,30),"")</f>
        <v/>
      </c>
      <c r="G174" s="25">
        <f>IF(D174="","",IF(ISNUMBER(D174),D174-TODAY(),"Check date"))</f>
        <v/>
      </c>
      <c r="H174" s="26">
        <f>IF(G174="","",IF(ISNUMBER(G174),IF(G174&lt;0,"Expired",IF(G174&lt;=30,"Due ≤30 days",IF(G174&lt;=90,"Due ≤90 days","OK"))),"Check date"))</f>
        <v/>
      </c>
      <c r="I174" s="21" t="n"/>
      <c r="J174" s="21" t="n"/>
      <c r="K174" s="22" t="n"/>
      <c r="L174" s="21" t="n"/>
      <c r="M174" s="21" t="n"/>
      <c r="N174" s="21" t="n"/>
      <c r="O174" s="27">
        <f>IF(B174="","",IFERROR(IF(VLOOKUP(B174,Lists!$A$2:$B$12,2,FALSE)="","",HYPERLINK(VLOOKUP(B174,Lists!$A$2:$B$12,2,FALSE),"How long valid?")),""))</f>
        <v/>
      </c>
      <c r="P174" s="21" t="n"/>
    </row>
    <row r="175">
      <c r="A175" s="21" t="n"/>
      <c r="B175" s="21" t="n"/>
      <c r="C175" s="22" t="n"/>
      <c r="D175" s="22" t="n"/>
      <c r="E175" s="23" t="n"/>
      <c r="F175" s="24">
        <f>IF(ISNUMBER(D175),D175-IF(ISNUMBER(E175),E175,30),"")</f>
        <v/>
      </c>
      <c r="G175" s="25">
        <f>IF(D175="","",IF(ISNUMBER(D175),D175-TODAY(),"Check date"))</f>
        <v/>
      </c>
      <c r="H175" s="26">
        <f>IF(G175="","",IF(ISNUMBER(G175),IF(G175&lt;0,"Expired",IF(G175&lt;=30,"Due ≤30 days",IF(G175&lt;=90,"Due ≤90 days","OK"))),"Check date"))</f>
        <v/>
      </c>
      <c r="I175" s="21" t="n"/>
      <c r="J175" s="21" t="n"/>
      <c r="K175" s="22" t="n"/>
      <c r="L175" s="21" t="n"/>
      <c r="M175" s="21" t="n"/>
      <c r="N175" s="21" t="n"/>
      <c r="O175" s="27">
        <f>IF(B175="","",IFERROR(IF(VLOOKUP(B175,Lists!$A$2:$B$12,2,FALSE)="","",HYPERLINK(VLOOKUP(B175,Lists!$A$2:$B$12,2,FALSE),"How long valid?")),""))</f>
        <v/>
      </c>
      <c r="P175" s="21" t="n"/>
    </row>
    <row r="176">
      <c r="A176" s="21" t="n"/>
      <c r="B176" s="21" t="n"/>
      <c r="C176" s="22" t="n"/>
      <c r="D176" s="22" t="n"/>
      <c r="E176" s="23" t="n"/>
      <c r="F176" s="24">
        <f>IF(ISNUMBER(D176),D176-IF(ISNUMBER(E176),E176,30),"")</f>
        <v/>
      </c>
      <c r="G176" s="25">
        <f>IF(D176="","",IF(ISNUMBER(D176),D176-TODAY(),"Check date"))</f>
        <v/>
      </c>
      <c r="H176" s="26">
        <f>IF(G176="","",IF(ISNUMBER(G176),IF(G176&lt;0,"Expired",IF(G176&lt;=30,"Due ≤30 days",IF(G176&lt;=90,"Due ≤90 days","OK"))),"Check date"))</f>
        <v/>
      </c>
      <c r="I176" s="21" t="n"/>
      <c r="J176" s="21" t="n"/>
      <c r="K176" s="22" t="n"/>
      <c r="L176" s="21" t="n"/>
      <c r="M176" s="21" t="n"/>
      <c r="N176" s="21" t="n"/>
      <c r="O176" s="27">
        <f>IF(B176="","",IFERROR(IF(VLOOKUP(B176,Lists!$A$2:$B$12,2,FALSE)="","",HYPERLINK(VLOOKUP(B176,Lists!$A$2:$B$12,2,FALSE),"How long valid?")),""))</f>
        <v/>
      </c>
      <c r="P176" s="21" t="n"/>
    </row>
    <row r="177">
      <c r="A177" s="21" t="n"/>
      <c r="B177" s="21" t="n"/>
      <c r="C177" s="22" t="n"/>
      <c r="D177" s="22" t="n"/>
      <c r="E177" s="23" t="n"/>
      <c r="F177" s="24">
        <f>IF(ISNUMBER(D177),D177-IF(ISNUMBER(E177),E177,30),"")</f>
        <v/>
      </c>
      <c r="G177" s="25">
        <f>IF(D177="","",IF(ISNUMBER(D177),D177-TODAY(),"Check date"))</f>
        <v/>
      </c>
      <c r="H177" s="26">
        <f>IF(G177="","",IF(ISNUMBER(G177),IF(G177&lt;0,"Expired",IF(G177&lt;=30,"Due ≤30 days",IF(G177&lt;=90,"Due ≤90 days","OK"))),"Check date"))</f>
        <v/>
      </c>
      <c r="I177" s="21" t="n"/>
      <c r="J177" s="21" t="n"/>
      <c r="K177" s="22" t="n"/>
      <c r="L177" s="21" t="n"/>
      <c r="M177" s="21" t="n"/>
      <c r="N177" s="21" t="n"/>
      <c r="O177" s="27">
        <f>IF(B177="","",IFERROR(IF(VLOOKUP(B177,Lists!$A$2:$B$12,2,FALSE)="","",HYPERLINK(VLOOKUP(B177,Lists!$A$2:$B$12,2,FALSE),"How long valid?")),""))</f>
        <v/>
      </c>
      <c r="P177" s="21" t="n"/>
    </row>
    <row r="178">
      <c r="A178" s="21" t="n"/>
      <c r="B178" s="21" t="n"/>
      <c r="C178" s="22" t="n"/>
      <c r="D178" s="22" t="n"/>
      <c r="E178" s="23" t="n"/>
      <c r="F178" s="24">
        <f>IF(ISNUMBER(D178),D178-IF(ISNUMBER(E178),E178,30),"")</f>
        <v/>
      </c>
      <c r="G178" s="25">
        <f>IF(D178="","",IF(ISNUMBER(D178),D178-TODAY(),"Check date"))</f>
        <v/>
      </c>
      <c r="H178" s="26">
        <f>IF(G178="","",IF(ISNUMBER(G178),IF(G178&lt;0,"Expired",IF(G178&lt;=30,"Due ≤30 days",IF(G178&lt;=90,"Due ≤90 days","OK"))),"Check date"))</f>
        <v/>
      </c>
      <c r="I178" s="21" t="n"/>
      <c r="J178" s="21" t="n"/>
      <c r="K178" s="22" t="n"/>
      <c r="L178" s="21" t="n"/>
      <c r="M178" s="21" t="n"/>
      <c r="N178" s="21" t="n"/>
      <c r="O178" s="27">
        <f>IF(B178="","",IFERROR(IF(VLOOKUP(B178,Lists!$A$2:$B$12,2,FALSE)="","",HYPERLINK(VLOOKUP(B178,Lists!$A$2:$B$12,2,FALSE),"How long valid?")),""))</f>
        <v/>
      </c>
      <c r="P178" s="21" t="n"/>
    </row>
    <row r="179">
      <c r="A179" s="21" t="n"/>
      <c r="B179" s="21" t="n"/>
      <c r="C179" s="22" t="n"/>
      <c r="D179" s="22" t="n"/>
      <c r="E179" s="23" t="n"/>
      <c r="F179" s="24">
        <f>IF(ISNUMBER(D179),D179-IF(ISNUMBER(E179),E179,30),"")</f>
        <v/>
      </c>
      <c r="G179" s="25">
        <f>IF(D179="","",IF(ISNUMBER(D179),D179-TODAY(),"Check date"))</f>
        <v/>
      </c>
      <c r="H179" s="26">
        <f>IF(G179="","",IF(ISNUMBER(G179),IF(G179&lt;0,"Expired",IF(G179&lt;=30,"Due ≤30 days",IF(G179&lt;=90,"Due ≤90 days","OK"))),"Check date"))</f>
        <v/>
      </c>
      <c r="I179" s="21" t="n"/>
      <c r="J179" s="21" t="n"/>
      <c r="K179" s="22" t="n"/>
      <c r="L179" s="21" t="n"/>
      <c r="M179" s="21" t="n"/>
      <c r="N179" s="21" t="n"/>
      <c r="O179" s="27">
        <f>IF(B179="","",IFERROR(IF(VLOOKUP(B179,Lists!$A$2:$B$12,2,FALSE)="","",HYPERLINK(VLOOKUP(B179,Lists!$A$2:$B$12,2,FALSE),"How long valid?")),""))</f>
        <v/>
      </c>
      <c r="P179" s="21" t="n"/>
    </row>
    <row r="180">
      <c r="A180" s="21" t="n"/>
      <c r="B180" s="21" t="n"/>
      <c r="C180" s="22" t="n"/>
      <c r="D180" s="22" t="n"/>
      <c r="E180" s="23" t="n"/>
      <c r="F180" s="24">
        <f>IF(ISNUMBER(D180),D180-IF(ISNUMBER(E180),E180,30),"")</f>
        <v/>
      </c>
      <c r="G180" s="25">
        <f>IF(D180="","",IF(ISNUMBER(D180),D180-TODAY(),"Check date"))</f>
        <v/>
      </c>
      <c r="H180" s="26">
        <f>IF(G180="","",IF(ISNUMBER(G180),IF(G180&lt;0,"Expired",IF(G180&lt;=30,"Due ≤30 days",IF(G180&lt;=90,"Due ≤90 days","OK"))),"Check date"))</f>
        <v/>
      </c>
      <c r="I180" s="21" t="n"/>
      <c r="J180" s="21" t="n"/>
      <c r="K180" s="22" t="n"/>
      <c r="L180" s="21" t="n"/>
      <c r="M180" s="21" t="n"/>
      <c r="N180" s="21" t="n"/>
      <c r="O180" s="27">
        <f>IF(B180="","",IFERROR(IF(VLOOKUP(B180,Lists!$A$2:$B$12,2,FALSE)="","",HYPERLINK(VLOOKUP(B180,Lists!$A$2:$B$12,2,FALSE),"How long valid?")),""))</f>
        <v/>
      </c>
      <c r="P180" s="21" t="n"/>
    </row>
    <row r="181">
      <c r="A181" s="21" t="n"/>
      <c r="B181" s="21" t="n"/>
      <c r="C181" s="22" t="n"/>
      <c r="D181" s="22" t="n"/>
      <c r="E181" s="23" t="n"/>
      <c r="F181" s="24">
        <f>IF(ISNUMBER(D181),D181-IF(ISNUMBER(E181),E181,30),"")</f>
        <v/>
      </c>
      <c r="G181" s="25">
        <f>IF(D181="","",IF(ISNUMBER(D181),D181-TODAY(),"Check date"))</f>
        <v/>
      </c>
      <c r="H181" s="26">
        <f>IF(G181="","",IF(ISNUMBER(G181),IF(G181&lt;0,"Expired",IF(G181&lt;=30,"Due ≤30 days",IF(G181&lt;=90,"Due ≤90 days","OK"))),"Check date"))</f>
        <v/>
      </c>
      <c r="I181" s="21" t="n"/>
      <c r="J181" s="21" t="n"/>
      <c r="K181" s="22" t="n"/>
      <c r="L181" s="21" t="n"/>
      <c r="M181" s="21" t="n"/>
      <c r="N181" s="21" t="n"/>
      <c r="O181" s="27">
        <f>IF(B181="","",IFERROR(IF(VLOOKUP(B181,Lists!$A$2:$B$12,2,FALSE)="","",HYPERLINK(VLOOKUP(B181,Lists!$A$2:$B$12,2,FALSE),"How long valid?")),""))</f>
        <v/>
      </c>
      <c r="P181" s="21" t="n"/>
    </row>
    <row r="182">
      <c r="A182" s="21" t="n"/>
      <c r="B182" s="21" t="n"/>
      <c r="C182" s="22" t="n"/>
      <c r="D182" s="22" t="n"/>
      <c r="E182" s="23" t="n"/>
      <c r="F182" s="24">
        <f>IF(ISNUMBER(D182),D182-IF(ISNUMBER(E182),E182,30),"")</f>
        <v/>
      </c>
      <c r="G182" s="25">
        <f>IF(D182="","",IF(ISNUMBER(D182),D182-TODAY(),"Check date"))</f>
        <v/>
      </c>
      <c r="H182" s="26">
        <f>IF(G182="","",IF(ISNUMBER(G182),IF(G182&lt;0,"Expired",IF(G182&lt;=30,"Due ≤30 days",IF(G182&lt;=90,"Due ≤90 days","OK"))),"Check date"))</f>
        <v/>
      </c>
      <c r="I182" s="21" t="n"/>
      <c r="J182" s="21" t="n"/>
      <c r="K182" s="22" t="n"/>
      <c r="L182" s="21" t="n"/>
      <c r="M182" s="21" t="n"/>
      <c r="N182" s="21" t="n"/>
      <c r="O182" s="27">
        <f>IF(B182="","",IFERROR(IF(VLOOKUP(B182,Lists!$A$2:$B$12,2,FALSE)="","",HYPERLINK(VLOOKUP(B182,Lists!$A$2:$B$12,2,FALSE),"How long valid?")),""))</f>
        <v/>
      </c>
      <c r="P182" s="21" t="n"/>
    </row>
    <row r="183">
      <c r="A183" s="21" t="n"/>
      <c r="B183" s="21" t="n"/>
      <c r="C183" s="22" t="n"/>
      <c r="D183" s="22" t="n"/>
      <c r="E183" s="23" t="n"/>
      <c r="F183" s="24">
        <f>IF(ISNUMBER(D183),D183-IF(ISNUMBER(E183),E183,30),"")</f>
        <v/>
      </c>
      <c r="G183" s="25">
        <f>IF(D183="","",IF(ISNUMBER(D183),D183-TODAY(),"Check date"))</f>
        <v/>
      </c>
      <c r="H183" s="26">
        <f>IF(G183="","",IF(ISNUMBER(G183),IF(G183&lt;0,"Expired",IF(G183&lt;=30,"Due ≤30 days",IF(G183&lt;=90,"Due ≤90 days","OK"))),"Check date"))</f>
        <v/>
      </c>
      <c r="I183" s="21" t="n"/>
      <c r="J183" s="21" t="n"/>
      <c r="K183" s="22" t="n"/>
      <c r="L183" s="21" t="n"/>
      <c r="M183" s="21" t="n"/>
      <c r="N183" s="21" t="n"/>
      <c r="O183" s="27">
        <f>IF(B183="","",IFERROR(IF(VLOOKUP(B183,Lists!$A$2:$B$12,2,FALSE)="","",HYPERLINK(VLOOKUP(B183,Lists!$A$2:$B$12,2,FALSE),"How long valid?")),""))</f>
        <v/>
      </c>
      <c r="P183" s="21" t="n"/>
    </row>
    <row r="184">
      <c r="A184" s="21" t="n"/>
      <c r="B184" s="21" t="n"/>
      <c r="C184" s="22" t="n"/>
      <c r="D184" s="22" t="n"/>
      <c r="E184" s="23" t="n"/>
      <c r="F184" s="24">
        <f>IF(ISNUMBER(D184),D184-IF(ISNUMBER(E184),E184,30),"")</f>
        <v/>
      </c>
      <c r="G184" s="25">
        <f>IF(D184="","",IF(ISNUMBER(D184),D184-TODAY(),"Check date"))</f>
        <v/>
      </c>
      <c r="H184" s="26">
        <f>IF(G184="","",IF(ISNUMBER(G184),IF(G184&lt;0,"Expired",IF(G184&lt;=30,"Due ≤30 days",IF(G184&lt;=90,"Due ≤90 days","OK"))),"Check date"))</f>
        <v/>
      </c>
      <c r="I184" s="21" t="n"/>
      <c r="J184" s="21" t="n"/>
      <c r="K184" s="22" t="n"/>
      <c r="L184" s="21" t="n"/>
      <c r="M184" s="21" t="n"/>
      <c r="N184" s="21" t="n"/>
      <c r="O184" s="27">
        <f>IF(B184="","",IFERROR(IF(VLOOKUP(B184,Lists!$A$2:$B$12,2,FALSE)="","",HYPERLINK(VLOOKUP(B184,Lists!$A$2:$B$12,2,FALSE),"How long valid?")),""))</f>
        <v/>
      </c>
      <c r="P184" s="21" t="n"/>
    </row>
    <row r="185">
      <c r="A185" s="21" t="n"/>
      <c r="B185" s="21" t="n"/>
      <c r="C185" s="22" t="n"/>
      <c r="D185" s="22" t="n"/>
      <c r="E185" s="23" t="n"/>
      <c r="F185" s="24">
        <f>IF(ISNUMBER(D185),D185-IF(ISNUMBER(E185),E185,30),"")</f>
        <v/>
      </c>
      <c r="G185" s="25">
        <f>IF(D185="","",IF(ISNUMBER(D185),D185-TODAY(),"Check date"))</f>
        <v/>
      </c>
      <c r="H185" s="26">
        <f>IF(G185="","",IF(ISNUMBER(G185),IF(G185&lt;0,"Expired",IF(G185&lt;=30,"Due ≤30 days",IF(G185&lt;=90,"Due ≤90 days","OK"))),"Check date"))</f>
        <v/>
      </c>
      <c r="I185" s="21" t="n"/>
      <c r="J185" s="21" t="n"/>
      <c r="K185" s="22" t="n"/>
      <c r="L185" s="21" t="n"/>
      <c r="M185" s="21" t="n"/>
      <c r="N185" s="21" t="n"/>
      <c r="O185" s="27">
        <f>IF(B185="","",IFERROR(IF(VLOOKUP(B185,Lists!$A$2:$B$12,2,FALSE)="","",HYPERLINK(VLOOKUP(B185,Lists!$A$2:$B$12,2,FALSE),"How long valid?")),""))</f>
        <v/>
      </c>
      <c r="P185" s="21" t="n"/>
    </row>
    <row r="186">
      <c r="A186" s="21" t="n"/>
      <c r="B186" s="21" t="n"/>
      <c r="C186" s="22" t="n"/>
      <c r="D186" s="22" t="n"/>
      <c r="E186" s="23" t="n"/>
      <c r="F186" s="24">
        <f>IF(ISNUMBER(D186),D186-IF(ISNUMBER(E186),E186,30),"")</f>
        <v/>
      </c>
      <c r="G186" s="25">
        <f>IF(D186="","",IF(ISNUMBER(D186),D186-TODAY(),"Check date"))</f>
        <v/>
      </c>
      <c r="H186" s="26">
        <f>IF(G186="","",IF(ISNUMBER(G186),IF(G186&lt;0,"Expired",IF(G186&lt;=30,"Due ≤30 days",IF(G186&lt;=90,"Due ≤90 days","OK"))),"Check date"))</f>
        <v/>
      </c>
      <c r="I186" s="21" t="n"/>
      <c r="J186" s="21" t="n"/>
      <c r="K186" s="22" t="n"/>
      <c r="L186" s="21" t="n"/>
      <c r="M186" s="21" t="n"/>
      <c r="N186" s="21" t="n"/>
      <c r="O186" s="27">
        <f>IF(B186="","",IFERROR(IF(VLOOKUP(B186,Lists!$A$2:$B$12,2,FALSE)="","",HYPERLINK(VLOOKUP(B186,Lists!$A$2:$B$12,2,FALSE),"How long valid?")),""))</f>
        <v/>
      </c>
      <c r="P186" s="21" t="n"/>
    </row>
    <row r="187">
      <c r="A187" s="21" t="n"/>
      <c r="B187" s="21" t="n"/>
      <c r="C187" s="22" t="n"/>
      <c r="D187" s="22" t="n"/>
      <c r="E187" s="23" t="n"/>
      <c r="F187" s="24">
        <f>IF(ISNUMBER(D187),D187-IF(ISNUMBER(E187),E187,30),"")</f>
        <v/>
      </c>
      <c r="G187" s="25">
        <f>IF(D187="","",IF(ISNUMBER(D187),D187-TODAY(),"Check date"))</f>
        <v/>
      </c>
      <c r="H187" s="26">
        <f>IF(G187="","",IF(ISNUMBER(G187),IF(G187&lt;0,"Expired",IF(G187&lt;=30,"Due ≤30 days",IF(G187&lt;=90,"Due ≤90 days","OK"))),"Check date"))</f>
        <v/>
      </c>
      <c r="I187" s="21" t="n"/>
      <c r="J187" s="21" t="n"/>
      <c r="K187" s="22" t="n"/>
      <c r="L187" s="21" t="n"/>
      <c r="M187" s="21" t="n"/>
      <c r="N187" s="21" t="n"/>
      <c r="O187" s="27">
        <f>IF(B187="","",IFERROR(IF(VLOOKUP(B187,Lists!$A$2:$B$12,2,FALSE)="","",HYPERLINK(VLOOKUP(B187,Lists!$A$2:$B$12,2,FALSE),"How long valid?")),""))</f>
        <v/>
      </c>
      <c r="P187" s="21" t="n"/>
    </row>
    <row r="188">
      <c r="A188" s="21" t="n"/>
      <c r="B188" s="21" t="n"/>
      <c r="C188" s="22" t="n"/>
      <c r="D188" s="22" t="n"/>
      <c r="E188" s="23" t="n"/>
      <c r="F188" s="24">
        <f>IF(ISNUMBER(D188),D188-IF(ISNUMBER(E188),E188,30),"")</f>
        <v/>
      </c>
      <c r="G188" s="25">
        <f>IF(D188="","",IF(ISNUMBER(D188),D188-TODAY(),"Check date"))</f>
        <v/>
      </c>
      <c r="H188" s="26">
        <f>IF(G188="","",IF(ISNUMBER(G188),IF(G188&lt;0,"Expired",IF(G188&lt;=30,"Due ≤30 days",IF(G188&lt;=90,"Due ≤90 days","OK"))),"Check date"))</f>
        <v/>
      </c>
      <c r="I188" s="21" t="n"/>
      <c r="J188" s="21" t="n"/>
      <c r="K188" s="22" t="n"/>
      <c r="L188" s="21" t="n"/>
      <c r="M188" s="21" t="n"/>
      <c r="N188" s="21" t="n"/>
      <c r="O188" s="27">
        <f>IF(B188="","",IFERROR(IF(VLOOKUP(B188,Lists!$A$2:$B$12,2,FALSE)="","",HYPERLINK(VLOOKUP(B188,Lists!$A$2:$B$12,2,FALSE),"How long valid?")),""))</f>
        <v/>
      </c>
      <c r="P188" s="21" t="n"/>
    </row>
    <row r="189">
      <c r="A189" s="21" t="n"/>
      <c r="B189" s="21" t="n"/>
      <c r="C189" s="22" t="n"/>
      <c r="D189" s="22" t="n"/>
      <c r="E189" s="23" t="n"/>
      <c r="F189" s="24">
        <f>IF(ISNUMBER(D189),D189-IF(ISNUMBER(E189),E189,30),"")</f>
        <v/>
      </c>
      <c r="G189" s="25">
        <f>IF(D189="","",IF(ISNUMBER(D189),D189-TODAY(),"Check date"))</f>
        <v/>
      </c>
      <c r="H189" s="26">
        <f>IF(G189="","",IF(ISNUMBER(G189),IF(G189&lt;0,"Expired",IF(G189&lt;=30,"Due ≤30 days",IF(G189&lt;=90,"Due ≤90 days","OK"))),"Check date"))</f>
        <v/>
      </c>
      <c r="I189" s="21" t="n"/>
      <c r="J189" s="21" t="n"/>
      <c r="K189" s="22" t="n"/>
      <c r="L189" s="21" t="n"/>
      <c r="M189" s="21" t="n"/>
      <c r="N189" s="21" t="n"/>
      <c r="O189" s="27">
        <f>IF(B189="","",IFERROR(IF(VLOOKUP(B189,Lists!$A$2:$B$12,2,FALSE)="","",HYPERLINK(VLOOKUP(B189,Lists!$A$2:$B$12,2,FALSE),"How long valid?")),""))</f>
        <v/>
      </c>
      <c r="P189" s="21" t="n"/>
    </row>
    <row r="190">
      <c r="A190" s="21" t="n"/>
      <c r="B190" s="21" t="n"/>
      <c r="C190" s="22" t="n"/>
      <c r="D190" s="22" t="n"/>
      <c r="E190" s="23" t="n"/>
      <c r="F190" s="24">
        <f>IF(ISNUMBER(D190),D190-IF(ISNUMBER(E190),E190,30),"")</f>
        <v/>
      </c>
      <c r="G190" s="25">
        <f>IF(D190="","",IF(ISNUMBER(D190),D190-TODAY(),"Check date"))</f>
        <v/>
      </c>
      <c r="H190" s="26">
        <f>IF(G190="","",IF(ISNUMBER(G190),IF(G190&lt;0,"Expired",IF(G190&lt;=30,"Due ≤30 days",IF(G190&lt;=90,"Due ≤90 days","OK"))),"Check date"))</f>
        <v/>
      </c>
      <c r="I190" s="21" t="n"/>
      <c r="J190" s="21" t="n"/>
      <c r="K190" s="22" t="n"/>
      <c r="L190" s="21" t="n"/>
      <c r="M190" s="21" t="n"/>
      <c r="N190" s="21" t="n"/>
      <c r="O190" s="27">
        <f>IF(B190="","",IFERROR(IF(VLOOKUP(B190,Lists!$A$2:$B$12,2,FALSE)="","",HYPERLINK(VLOOKUP(B190,Lists!$A$2:$B$12,2,FALSE),"How long valid?")),""))</f>
        <v/>
      </c>
      <c r="P190" s="21" t="n"/>
    </row>
    <row r="191">
      <c r="A191" s="21" t="n"/>
      <c r="B191" s="21" t="n"/>
      <c r="C191" s="22" t="n"/>
      <c r="D191" s="22" t="n"/>
      <c r="E191" s="23" t="n"/>
      <c r="F191" s="24">
        <f>IF(ISNUMBER(D191),D191-IF(ISNUMBER(E191),E191,30),"")</f>
        <v/>
      </c>
      <c r="G191" s="25">
        <f>IF(D191="","",IF(ISNUMBER(D191),D191-TODAY(),"Check date"))</f>
        <v/>
      </c>
      <c r="H191" s="26">
        <f>IF(G191="","",IF(ISNUMBER(G191),IF(G191&lt;0,"Expired",IF(G191&lt;=30,"Due ≤30 days",IF(G191&lt;=90,"Due ≤90 days","OK"))),"Check date"))</f>
        <v/>
      </c>
      <c r="I191" s="21" t="n"/>
      <c r="J191" s="21" t="n"/>
      <c r="K191" s="22" t="n"/>
      <c r="L191" s="21" t="n"/>
      <c r="M191" s="21" t="n"/>
      <c r="N191" s="21" t="n"/>
      <c r="O191" s="27">
        <f>IF(B191="","",IFERROR(IF(VLOOKUP(B191,Lists!$A$2:$B$12,2,FALSE)="","",HYPERLINK(VLOOKUP(B191,Lists!$A$2:$B$12,2,FALSE),"How long valid?")),""))</f>
        <v/>
      </c>
      <c r="P191" s="21" t="n"/>
    </row>
    <row r="192">
      <c r="A192" s="21" t="n"/>
      <c r="B192" s="21" t="n"/>
      <c r="C192" s="22" t="n"/>
      <c r="D192" s="22" t="n"/>
      <c r="E192" s="23" t="n"/>
      <c r="F192" s="24">
        <f>IF(ISNUMBER(D192),D192-IF(ISNUMBER(E192),E192,30),"")</f>
        <v/>
      </c>
      <c r="G192" s="25">
        <f>IF(D192="","",IF(ISNUMBER(D192),D192-TODAY(),"Check date"))</f>
        <v/>
      </c>
      <c r="H192" s="26">
        <f>IF(G192="","",IF(ISNUMBER(G192),IF(G192&lt;0,"Expired",IF(G192&lt;=30,"Due ≤30 days",IF(G192&lt;=90,"Due ≤90 days","OK"))),"Check date"))</f>
        <v/>
      </c>
      <c r="I192" s="21" t="n"/>
      <c r="J192" s="21" t="n"/>
      <c r="K192" s="22" t="n"/>
      <c r="L192" s="21" t="n"/>
      <c r="M192" s="21" t="n"/>
      <c r="N192" s="21" t="n"/>
      <c r="O192" s="27">
        <f>IF(B192="","",IFERROR(IF(VLOOKUP(B192,Lists!$A$2:$B$12,2,FALSE)="","",HYPERLINK(VLOOKUP(B192,Lists!$A$2:$B$12,2,FALSE),"How long valid?")),""))</f>
        <v/>
      </c>
      <c r="P192" s="21" t="n"/>
    </row>
    <row r="193">
      <c r="A193" s="21" t="n"/>
      <c r="B193" s="21" t="n"/>
      <c r="C193" s="22" t="n"/>
      <c r="D193" s="22" t="n"/>
      <c r="E193" s="23" t="n"/>
      <c r="F193" s="24">
        <f>IF(ISNUMBER(D193),D193-IF(ISNUMBER(E193),E193,30),"")</f>
        <v/>
      </c>
      <c r="G193" s="25">
        <f>IF(D193="","",IF(ISNUMBER(D193),D193-TODAY(),"Check date"))</f>
        <v/>
      </c>
      <c r="H193" s="26">
        <f>IF(G193="","",IF(ISNUMBER(G193),IF(G193&lt;0,"Expired",IF(G193&lt;=30,"Due ≤30 days",IF(G193&lt;=90,"Due ≤90 days","OK"))),"Check date"))</f>
        <v/>
      </c>
      <c r="I193" s="21" t="n"/>
      <c r="J193" s="21" t="n"/>
      <c r="K193" s="22" t="n"/>
      <c r="L193" s="21" t="n"/>
      <c r="M193" s="21" t="n"/>
      <c r="N193" s="21" t="n"/>
      <c r="O193" s="27">
        <f>IF(B193="","",IFERROR(IF(VLOOKUP(B193,Lists!$A$2:$B$12,2,FALSE)="","",HYPERLINK(VLOOKUP(B193,Lists!$A$2:$B$12,2,FALSE),"How long valid?")),""))</f>
        <v/>
      </c>
      <c r="P193" s="21" t="n"/>
    </row>
    <row r="194">
      <c r="A194" s="21" t="n"/>
      <c r="B194" s="21" t="n"/>
      <c r="C194" s="22" t="n"/>
      <c r="D194" s="22" t="n"/>
      <c r="E194" s="23" t="n"/>
      <c r="F194" s="24">
        <f>IF(ISNUMBER(D194),D194-IF(ISNUMBER(E194),E194,30),"")</f>
        <v/>
      </c>
      <c r="G194" s="25">
        <f>IF(D194="","",IF(ISNUMBER(D194),D194-TODAY(),"Check date"))</f>
        <v/>
      </c>
      <c r="H194" s="26">
        <f>IF(G194="","",IF(ISNUMBER(G194),IF(G194&lt;0,"Expired",IF(G194&lt;=30,"Due ≤30 days",IF(G194&lt;=90,"Due ≤90 days","OK"))),"Check date"))</f>
        <v/>
      </c>
      <c r="I194" s="21" t="n"/>
      <c r="J194" s="21" t="n"/>
      <c r="K194" s="22" t="n"/>
      <c r="L194" s="21" t="n"/>
      <c r="M194" s="21" t="n"/>
      <c r="N194" s="21" t="n"/>
      <c r="O194" s="27">
        <f>IF(B194="","",IFERROR(IF(VLOOKUP(B194,Lists!$A$2:$B$12,2,FALSE)="","",HYPERLINK(VLOOKUP(B194,Lists!$A$2:$B$12,2,FALSE),"How long valid?")),""))</f>
        <v/>
      </c>
      <c r="P194" s="21" t="n"/>
    </row>
    <row r="195">
      <c r="A195" s="21" t="n"/>
      <c r="B195" s="21" t="n"/>
      <c r="C195" s="22" t="n"/>
      <c r="D195" s="22" t="n"/>
      <c r="E195" s="23" t="n"/>
      <c r="F195" s="24">
        <f>IF(ISNUMBER(D195),D195-IF(ISNUMBER(E195),E195,30),"")</f>
        <v/>
      </c>
      <c r="G195" s="25">
        <f>IF(D195="","",IF(ISNUMBER(D195),D195-TODAY(),"Check date"))</f>
        <v/>
      </c>
      <c r="H195" s="26">
        <f>IF(G195="","",IF(ISNUMBER(G195),IF(G195&lt;0,"Expired",IF(G195&lt;=30,"Due ≤30 days",IF(G195&lt;=90,"Due ≤90 days","OK"))),"Check date"))</f>
        <v/>
      </c>
      <c r="I195" s="21" t="n"/>
      <c r="J195" s="21" t="n"/>
      <c r="K195" s="22" t="n"/>
      <c r="L195" s="21" t="n"/>
      <c r="M195" s="21" t="n"/>
      <c r="N195" s="21" t="n"/>
      <c r="O195" s="27">
        <f>IF(B195="","",IFERROR(IF(VLOOKUP(B195,Lists!$A$2:$B$12,2,FALSE)="","",HYPERLINK(VLOOKUP(B195,Lists!$A$2:$B$12,2,FALSE),"How long valid?")),""))</f>
        <v/>
      </c>
      <c r="P195" s="21" t="n"/>
    </row>
    <row r="196">
      <c r="A196" s="21" t="n"/>
      <c r="B196" s="21" t="n"/>
      <c r="C196" s="22" t="n"/>
      <c r="D196" s="22" t="n"/>
      <c r="E196" s="23" t="n"/>
      <c r="F196" s="24">
        <f>IF(ISNUMBER(D196),D196-IF(ISNUMBER(E196),E196,30),"")</f>
        <v/>
      </c>
      <c r="G196" s="25">
        <f>IF(D196="","",IF(ISNUMBER(D196),D196-TODAY(),"Check date"))</f>
        <v/>
      </c>
      <c r="H196" s="26">
        <f>IF(G196="","",IF(ISNUMBER(G196),IF(G196&lt;0,"Expired",IF(G196&lt;=30,"Due ≤30 days",IF(G196&lt;=90,"Due ≤90 days","OK"))),"Check date"))</f>
        <v/>
      </c>
      <c r="I196" s="21" t="n"/>
      <c r="J196" s="21" t="n"/>
      <c r="K196" s="22" t="n"/>
      <c r="L196" s="21" t="n"/>
      <c r="M196" s="21" t="n"/>
      <c r="N196" s="21" t="n"/>
      <c r="O196" s="27">
        <f>IF(B196="","",IFERROR(IF(VLOOKUP(B196,Lists!$A$2:$B$12,2,FALSE)="","",HYPERLINK(VLOOKUP(B196,Lists!$A$2:$B$12,2,FALSE),"How long valid?")),""))</f>
        <v/>
      </c>
      <c r="P196" s="21" t="n"/>
    </row>
    <row r="197">
      <c r="A197" s="21" t="n"/>
      <c r="B197" s="21" t="n"/>
      <c r="C197" s="22" t="n"/>
      <c r="D197" s="22" t="n"/>
      <c r="E197" s="23" t="n"/>
      <c r="F197" s="24">
        <f>IF(ISNUMBER(D197),D197-IF(ISNUMBER(E197),E197,30),"")</f>
        <v/>
      </c>
      <c r="G197" s="25">
        <f>IF(D197="","",IF(ISNUMBER(D197),D197-TODAY(),"Check date"))</f>
        <v/>
      </c>
      <c r="H197" s="26">
        <f>IF(G197="","",IF(ISNUMBER(G197),IF(G197&lt;0,"Expired",IF(G197&lt;=30,"Due ≤30 days",IF(G197&lt;=90,"Due ≤90 days","OK"))),"Check date"))</f>
        <v/>
      </c>
      <c r="I197" s="21" t="n"/>
      <c r="J197" s="21" t="n"/>
      <c r="K197" s="22" t="n"/>
      <c r="L197" s="21" t="n"/>
      <c r="M197" s="21" t="n"/>
      <c r="N197" s="21" t="n"/>
      <c r="O197" s="27">
        <f>IF(B197="","",IFERROR(IF(VLOOKUP(B197,Lists!$A$2:$B$12,2,FALSE)="","",HYPERLINK(VLOOKUP(B197,Lists!$A$2:$B$12,2,FALSE),"How long valid?")),""))</f>
        <v/>
      </c>
      <c r="P197" s="21" t="n"/>
    </row>
    <row r="198">
      <c r="A198" s="21" t="n"/>
      <c r="B198" s="21" t="n"/>
      <c r="C198" s="22" t="n"/>
      <c r="D198" s="22" t="n"/>
      <c r="E198" s="23" t="n"/>
      <c r="F198" s="24">
        <f>IF(ISNUMBER(D198),D198-IF(ISNUMBER(E198),E198,30),"")</f>
        <v/>
      </c>
      <c r="G198" s="25">
        <f>IF(D198="","",IF(ISNUMBER(D198),D198-TODAY(),"Check date"))</f>
        <v/>
      </c>
      <c r="H198" s="26">
        <f>IF(G198="","",IF(ISNUMBER(G198),IF(G198&lt;0,"Expired",IF(G198&lt;=30,"Due ≤30 days",IF(G198&lt;=90,"Due ≤90 days","OK"))),"Check date"))</f>
        <v/>
      </c>
      <c r="I198" s="21" t="n"/>
      <c r="J198" s="21" t="n"/>
      <c r="K198" s="22" t="n"/>
      <c r="L198" s="21" t="n"/>
      <c r="M198" s="21" t="n"/>
      <c r="N198" s="21" t="n"/>
      <c r="O198" s="27">
        <f>IF(B198="","",IFERROR(IF(VLOOKUP(B198,Lists!$A$2:$B$12,2,FALSE)="","",HYPERLINK(VLOOKUP(B198,Lists!$A$2:$B$12,2,FALSE),"How long valid?")),""))</f>
        <v/>
      </c>
      <c r="P198" s="21" t="n"/>
    </row>
    <row r="199">
      <c r="A199" s="21" t="n"/>
      <c r="B199" s="21" t="n"/>
      <c r="C199" s="22" t="n"/>
      <c r="D199" s="22" t="n"/>
      <c r="E199" s="23" t="n"/>
      <c r="F199" s="24">
        <f>IF(ISNUMBER(D199),D199-IF(ISNUMBER(E199),E199,30),"")</f>
        <v/>
      </c>
      <c r="G199" s="25">
        <f>IF(D199="","",IF(ISNUMBER(D199),D199-TODAY(),"Check date"))</f>
        <v/>
      </c>
      <c r="H199" s="26">
        <f>IF(G199="","",IF(ISNUMBER(G199),IF(G199&lt;0,"Expired",IF(G199&lt;=30,"Due ≤30 days",IF(G199&lt;=90,"Due ≤90 days","OK"))),"Check date"))</f>
        <v/>
      </c>
      <c r="I199" s="21" t="n"/>
      <c r="J199" s="21" t="n"/>
      <c r="K199" s="22" t="n"/>
      <c r="L199" s="21" t="n"/>
      <c r="M199" s="21" t="n"/>
      <c r="N199" s="21" t="n"/>
      <c r="O199" s="27">
        <f>IF(B199="","",IFERROR(IF(VLOOKUP(B199,Lists!$A$2:$B$12,2,FALSE)="","",HYPERLINK(VLOOKUP(B199,Lists!$A$2:$B$12,2,FALSE),"How long valid?")),""))</f>
        <v/>
      </c>
      <c r="P199" s="21" t="n"/>
    </row>
    <row r="200">
      <c r="A200" s="21" t="n"/>
      <c r="B200" s="21" t="n"/>
      <c r="C200" s="22" t="n"/>
      <c r="D200" s="22" t="n"/>
      <c r="E200" s="23" t="n"/>
      <c r="F200" s="24">
        <f>IF(ISNUMBER(D200),D200-IF(ISNUMBER(E200),E200,30),"")</f>
        <v/>
      </c>
      <c r="G200" s="25">
        <f>IF(D200="","",IF(ISNUMBER(D200),D200-TODAY(),"Check date"))</f>
        <v/>
      </c>
      <c r="H200" s="26">
        <f>IF(G200="","",IF(ISNUMBER(G200),IF(G200&lt;0,"Expired",IF(G200&lt;=30,"Due ≤30 days",IF(G200&lt;=90,"Due ≤90 days","OK"))),"Check date"))</f>
        <v/>
      </c>
      <c r="I200" s="21" t="n"/>
      <c r="J200" s="21" t="n"/>
      <c r="K200" s="22" t="n"/>
      <c r="L200" s="21" t="n"/>
      <c r="M200" s="21" t="n"/>
      <c r="N200" s="21" t="n"/>
      <c r="O200" s="27">
        <f>IF(B200="","",IFERROR(IF(VLOOKUP(B200,Lists!$A$2:$B$12,2,FALSE)="","",HYPERLINK(VLOOKUP(B200,Lists!$A$2:$B$12,2,FALSE),"How long valid?")),""))</f>
        <v/>
      </c>
      <c r="P200" s="21" t="n"/>
    </row>
    <row r="201">
      <c r="A201" s="21" t="n"/>
      <c r="B201" s="21" t="n"/>
      <c r="C201" s="22" t="n"/>
      <c r="D201" s="22" t="n"/>
      <c r="E201" s="23" t="n"/>
      <c r="F201" s="24">
        <f>IF(ISNUMBER(D201),D201-IF(ISNUMBER(E201),E201,30),"")</f>
        <v/>
      </c>
      <c r="G201" s="25">
        <f>IF(D201="","",IF(ISNUMBER(D201),D201-TODAY(),"Check date"))</f>
        <v/>
      </c>
      <c r="H201" s="26">
        <f>IF(G201="","",IF(ISNUMBER(G201),IF(G201&lt;0,"Expired",IF(G201&lt;=30,"Due ≤30 days",IF(G201&lt;=90,"Due ≤90 days","OK"))),"Check date"))</f>
        <v/>
      </c>
      <c r="I201" s="21" t="n"/>
      <c r="J201" s="21" t="n"/>
      <c r="K201" s="22" t="n"/>
      <c r="L201" s="21" t="n"/>
      <c r="M201" s="21" t="n"/>
      <c r="N201" s="21" t="n"/>
      <c r="O201" s="27">
        <f>IF(B201="","",IFERROR(IF(VLOOKUP(B201,Lists!$A$2:$B$12,2,FALSE)="","",HYPERLINK(VLOOKUP(B201,Lists!$A$2:$B$12,2,FALSE),"How long valid?")),""))</f>
        <v/>
      </c>
      <c r="P201" s="21" t="n"/>
    </row>
    <row r="202">
      <c r="A202" s="21" t="n"/>
      <c r="B202" s="21" t="n"/>
      <c r="C202" s="22" t="n"/>
      <c r="D202" s="22" t="n"/>
      <c r="E202" s="23" t="n"/>
      <c r="F202" s="24">
        <f>IF(ISNUMBER(D202),D202-IF(ISNUMBER(E202),E202,30),"")</f>
        <v/>
      </c>
      <c r="G202" s="25">
        <f>IF(D202="","",IF(ISNUMBER(D202),D202-TODAY(),"Check date"))</f>
        <v/>
      </c>
      <c r="H202" s="26">
        <f>IF(G202="","",IF(ISNUMBER(G202),IF(G202&lt;0,"Expired",IF(G202&lt;=30,"Due ≤30 days",IF(G202&lt;=90,"Due ≤90 days","OK"))),"Check date"))</f>
        <v/>
      </c>
      <c r="I202" s="21" t="n"/>
      <c r="J202" s="21" t="n"/>
      <c r="K202" s="22" t="n"/>
      <c r="L202" s="21" t="n"/>
      <c r="M202" s="21" t="n"/>
      <c r="N202" s="21" t="n"/>
      <c r="O202" s="27">
        <f>IF(B202="","",IFERROR(IF(VLOOKUP(B202,Lists!$A$2:$B$12,2,FALSE)="","",HYPERLINK(VLOOKUP(B202,Lists!$A$2:$B$12,2,FALSE),"How long valid?")),""))</f>
        <v/>
      </c>
      <c r="P202" s="21" t="n"/>
    </row>
    <row r="203">
      <c r="A203" s="21" t="n"/>
      <c r="B203" s="21" t="n"/>
      <c r="C203" s="22" t="n"/>
      <c r="D203" s="22" t="n"/>
      <c r="E203" s="23" t="n"/>
      <c r="F203" s="24">
        <f>IF(ISNUMBER(D203),D203-IF(ISNUMBER(E203),E203,30),"")</f>
        <v/>
      </c>
      <c r="G203" s="25">
        <f>IF(D203="","",IF(ISNUMBER(D203),D203-TODAY(),"Check date"))</f>
        <v/>
      </c>
      <c r="H203" s="26">
        <f>IF(G203="","",IF(ISNUMBER(G203),IF(G203&lt;0,"Expired",IF(G203&lt;=30,"Due ≤30 days",IF(G203&lt;=90,"Due ≤90 days","OK"))),"Check date"))</f>
        <v/>
      </c>
      <c r="I203" s="21" t="n"/>
      <c r="J203" s="21" t="n"/>
      <c r="K203" s="22" t="n"/>
      <c r="L203" s="21" t="n"/>
      <c r="M203" s="21" t="n"/>
      <c r="N203" s="21" t="n"/>
      <c r="O203" s="27">
        <f>IF(B203="","",IFERROR(IF(VLOOKUP(B203,Lists!$A$2:$B$12,2,FALSE)="","",HYPERLINK(VLOOKUP(B203,Lists!$A$2:$B$12,2,FALSE),"How long valid?")),""))</f>
        <v/>
      </c>
      <c r="P203" s="21" t="n"/>
    </row>
    <row r="204">
      <c r="A204" s="21" t="n"/>
      <c r="B204" s="21" t="n"/>
      <c r="C204" s="22" t="n"/>
      <c r="D204" s="22" t="n"/>
      <c r="E204" s="23" t="n"/>
      <c r="F204" s="24">
        <f>IF(ISNUMBER(D204),D204-IF(ISNUMBER(E204),E204,30),"")</f>
        <v/>
      </c>
      <c r="G204" s="25">
        <f>IF(D204="","",IF(ISNUMBER(D204),D204-TODAY(),"Check date"))</f>
        <v/>
      </c>
      <c r="H204" s="26">
        <f>IF(G204="","",IF(ISNUMBER(G204),IF(G204&lt;0,"Expired",IF(G204&lt;=30,"Due ≤30 days",IF(G204&lt;=90,"Due ≤90 days","OK"))),"Check date"))</f>
        <v/>
      </c>
      <c r="I204" s="21" t="n"/>
      <c r="J204" s="21" t="n"/>
      <c r="K204" s="22" t="n"/>
      <c r="L204" s="21" t="n"/>
      <c r="M204" s="21" t="n"/>
      <c r="N204" s="21" t="n"/>
      <c r="O204" s="27">
        <f>IF(B204="","",IFERROR(IF(VLOOKUP(B204,Lists!$A$2:$B$12,2,FALSE)="","",HYPERLINK(VLOOKUP(B204,Lists!$A$2:$B$12,2,FALSE),"How long valid?")),""))</f>
        <v/>
      </c>
      <c r="P204" s="21" t="n"/>
    </row>
    <row r="205">
      <c r="A205" s="21" t="n"/>
      <c r="B205" s="21" t="n"/>
      <c r="C205" s="22" t="n"/>
      <c r="D205" s="22" t="n"/>
      <c r="E205" s="23" t="n"/>
      <c r="F205" s="24">
        <f>IF(ISNUMBER(D205),D205-IF(ISNUMBER(E205),E205,30),"")</f>
        <v/>
      </c>
      <c r="G205" s="25">
        <f>IF(D205="","",IF(ISNUMBER(D205),D205-TODAY(),"Check date"))</f>
        <v/>
      </c>
      <c r="H205" s="26">
        <f>IF(G205="","",IF(ISNUMBER(G205),IF(G205&lt;0,"Expired",IF(G205&lt;=30,"Due ≤30 days",IF(G205&lt;=90,"Due ≤90 days","OK"))),"Check date"))</f>
        <v/>
      </c>
      <c r="I205" s="21" t="n"/>
      <c r="J205" s="21" t="n"/>
      <c r="K205" s="22" t="n"/>
      <c r="L205" s="21" t="n"/>
      <c r="M205" s="21" t="n"/>
      <c r="N205" s="21" t="n"/>
      <c r="O205" s="27">
        <f>IF(B205="","",IFERROR(IF(VLOOKUP(B205,Lists!$A$2:$B$12,2,FALSE)="","",HYPERLINK(VLOOKUP(B205,Lists!$A$2:$B$12,2,FALSE),"How long valid?")),""))</f>
        <v/>
      </c>
      <c r="P205" s="21" t="n"/>
    </row>
    <row r="206">
      <c r="A206" s="21" t="n"/>
      <c r="B206" s="21" t="n"/>
      <c r="C206" s="22" t="n"/>
      <c r="D206" s="22" t="n"/>
      <c r="E206" s="23" t="n"/>
      <c r="F206" s="24">
        <f>IF(ISNUMBER(D206),D206-IF(ISNUMBER(E206),E206,30),"")</f>
        <v/>
      </c>
      <c r="G206" s="25">
        <f>IF(D206="","",IF(ISNUMBER(D206),D206-TODAY(),"Check date"))</f>
        <v/>
      </c>
      <c r="H206" s="26">
        <f>IF(G206="","",IF(ISNUMBER(G206),IF(G206&lt;0,"Expired",IF(G206&lt;=30,"Due ≤30 days",IF(G206&lt;=90,"Due ≤90 days","OK"))),"Check date"))</f>
        <v/>
      </c>
      <c r="I206" s="21" t="n"/>
      <c r="J206" s="21" t="n"/>
      <c r="K206" s="22" t="n"/>
      <c r="L206" s="21" t="n"/>
      <c r="M206" s="21" t="n"/>
      <c r="N206" s="21" t="n"/>
      <c r="O206" s="27">
        <f>IF(B206="","",IFERROR(IF(VLOOKUP(B206,Lists!$A$2:$B$12,2,FALSE)="","",HYPERLINK(VLOOKUP(B206,Lists!$A$2:$B$12,2,FALSE),"How long valid?")),""))</f>
        <v/>
      </c>
      <c r="P206" s="21" t="n"/>
    </row>
    <row r="207">
      <c r="A207" s="21" t="n"/>
      <c r="B207" s="21" t="n"/>
      <c r="C207" s="22" t="n"/>
      <c r="D207" s="22" t="n"/>
      <c r="E207" s="23" t="n"/>
      <c r="F207" s="24">
        <f>IF(ISNUMBER(D207),D207-IF(ISNUMBER(E207),E207,30),"")</f>
        <v/>
      </c>
      <c r="G207" s="25">
        <f>IF(D207="","",IF(ISNUMBER(D207),D207-TODAY(),"Check date"))</f>
        <v/>
      </c>
      <c r="H207" s="26">
        <f>IF(G207="","",IF(ISNUMBER(G207),IF(G207&lt;0,"Expired",IF(G207&lt;=30,"Due ≤30 days",IF(G207&lt;=90,"Due ≤90 days","OK"))),"Check date"))</f>
        <v/>
      </c>
      <c r="I207" s="21" t="n"/>
      <c r="J207" s="21" t="n"/>
      <c r="K207" s="22" t="n"/>
      <c r="L207" s="21" t="n"/>
      <c r="M207" s="21" t="n"/>
      <c r="N207" s="21" t="n"/>
      <c r="O207" s="27">
        <f>IF(B207="","",IFERROR(IF(VLOOKUP(B207,Lists!$A$2:$B$12,2,FALSE)="","",HYPERLINK(VLOOKUP(B207,Lists!$A$2:$B$12,2,FALSE),"How long valid?")),""))</f>
        <v/>
      </c>
      <c r="P207" s="21" t="n"/>
    </row>
    <row r="208">
      <c r="A208" s="21" t="n"/>
      <c r="B208" s="21" t="n"/>
      <c r="C208" s="22" t="n"/>
      <c r="D208" s="22" t="n"/>
      <c r="E208" s="23" t="n"/>
      <c r="F208" s="24">
        <f>IF(ISNUMBER(D208),D208-IF(ISNUMBER(E208),E208,30),"")</f>
        <v/>
      </c>
      <c r="G208" s="25">
        <f>IF(D208="","",IF(ISNUMBER(D208),D208-TODAY(),"Check date"))</f>
        <v/>
      </c>
      <c r="H208" s="26">
        <f>IF(G208="","",IF(ISNUMBER(G208),IF(G208&lt;0,"Expired",IF(G208&lt;=30,"Due ≤30 days",IF(G208&lt;=90,"Due ≤90 days","OK"))),"Check date"))</f>
        <v/>
      </c>
      <c r="I208" s="21" t="n"/>
      <c r="J208" s="21" t="n"/>
      <c r="K208" s="22" t="n"/>
      <c r="L208" s="21" t="n"/>
      <c r="M208" s="21" t="n"/>
      <c r="N208" s="21" t="n"/>
      <c r="O208" s="27">
        <f>IF(B208="","",IFERROR(IF(VLOOKUP(B208,Lists!$A$2:$B$12,2,FALSE)="","",HYPERLINK(VLOOKUP(B208,Lists!$A$2:$B$12,2,FALSE),"How long valid?")),""))</f>
        <v/>
      </c>
      <c r="P208" s="21" t="n"/>
    </row>
    <row r="209">
      <c r="A209" s="21" t="n"/>
      <c r="B209" s="21" t="n"/>
      <c r="C209" s="22" t="n"/>
      <c r="D209" s="22" t="n"/>
      <c r="E209" s="23" t="n"/>
      <c r="F209" s="24">
        <f>IF(ISNUMBER(D209),D209-IF(ISNUMBER(E209),E209,30),"")</f>
        <v/>
      </c>
      <c r="G209" s="25">
        <f>IF(D209="","",IF(ISNUMBER(D209),D209-TODAY(),"Check date"))</f>
        <v/>
      </c>
      <c r="H209" s="26">
        <f>IF(G209="","",IF(ISNUMBER(G209),IF(G209&lt;0,"Expired",IF(G209&lt;=30,"Due ≤30 days",IF(G209&lt;=90,"Due ≤90 days","OK"))),"Check date"))</f>
        <v/>
      </c>
      <c r="I209" s="21" t="n"/>
      <c r="J209" s="21" t="n"/>
      <c r="K209" s="22" t="n"/>
      <c r="L209" s="21" t="n"/>
      <c r="M209" s="21" t="n"/>
      <c r="N209" s="21" t="n"/>
      <c r="O209" s="27">
        <f>IF(B209="","",IFERROR(IF(VLOOKUP(B209,Lists!$A$2:$B$12,2,FALSE)="","",HYPERLINK(VLOOKUP(B209,Lists!$A$2:$B$12,2,FALSE),"How long valid?")),""))</f>
        <v/>
      </c>
      <c r="P209" s="21" t="n"/>
    </row>
    <row r="210">
      <c r="A210" s="21" t="n"/>
      <c r="B210" s="21" t="n"/>
      <c r="C210" s="22" t="n"/>
      <c r="D210" s="22" t="n"/>
      <c r="E210" s="23" t="n"/>
      <c r="F210" s="24">
        <f>IF(ISNUMBER(D210),D210-IF(ISNUMBER(E210),E210,30),"")</f>
        <v/>
      </c>
      <c r="G210" s="25">
        <f>IF(D210="","",IF(ISNUMBER(D210),D210-TODAY(),"Check date"))</f>
        <v/>
      </c>
      <c r="H210" s="26">
        <f>IF(G210="","",IF(ISNUMBER(G210),IF(G210&lt;0,"Expired",IF(G210&lt;=30,"Due ≤30 days",IF(G210&lt;=90,"Due ≤90 days","OK"))),"Check date"))</f>
        <v/>
      </c>
      <c r="I210" s="21" t="n"/>
      <c r="J210" s="21" t="n"/>
      <c r="K210" s="22" t="n"/>
      <c r="L210" s="21" t="n"/>
      <c r="M210" s="21" t="n"/>
      <c r="N210" s="21" t="n"/>
      <c r="O210" s="27">
        <f>IF(B210="","",IFERROR(IF(VLOOKUP(B210,Lists!$A$2:$B$12,2,FALSE)="","",HYPERLINK(VLOOKUP(B210,Lists!$A$2:$B$12,2,FALSE),"How long valid?")),""))</f>
        <v/>
      </c>
      <c r="P210" s="21" t="n"/>
    </row>
    <row r="211">
      <c r="A211" s="21" t="n"/>
      <c r="B211" s="21" t="n"/>
      <c r="C211" s="22" t="n"/>
      <c r="D211" s="22" t="n"/>
      <c r="E211" s="23" t="n"/>
      <c r="F211" s="24">
        <f>IF(ISNUMBER(D211),D211-IF(ISNUMBER(E211),E211,30),"")</f>
        <v/>
      </c>
      <c r="G211" s="25">
        <f>IF(D211="","",IF(ISNUMBER(D211),D211-TODAY(),"Check date"))</f>
        <v/>
      </c>
      <c r="H211" s="26">
        <f>IF(G211="","",IF(ISNUMBER(G211),IF(G211&lt;0,"Expired",IF(G211&lt;=30,"Due ≤30 days",IF(G211&lt;=90,"Due ≤90 days","OK"))),"Check date"))</f>
        <v/>
      </c>
      <c r="I211" s="21" t="n"/>
      <c r="J211" s="21" t="n"/>
      <c r="K211" s="22" t="n"/>
      <c r="L211" s="21" t="n"/>
      <c r="M211" s="21" t="n"/>
      <c r="N211" s="21" t="n"/>
      <c r="O211" s="27">
        <f>IF(B211="","",IFERROR(IF(VLOOKUP(B211,Lists!$A$2:$B$12,2,FALSE)="","",HYPERLINK(VLOOKUP(B211,Lists!$A$2:$B$12,2,FALSE),"How long valid?")),""))</f>
        <v/>
      </c>
      <c r="P211" s="21" t="n"/>
    </row>
    <row r="212">
      <c r="A212" s="21" t="n"/>
      <c r="B212" s="21" t="n"/>
      <c r="C212" s="22" t="n"/>
      <c r="D212" s="22" t="n"/>
      <c r="E212" s="23" t="n"/>
      <c r="F212" s="24">
        <f>IF(ISNUMBER(D212),D212-IF(ISNUMBER(E212),E212,30),"")</f>
        <v/>
      </c>
      <c r="G212" s="25">
        <f>IF(D212="","",IF(ISNUMBER(D212),D212-TODAY(),"Check date"))</f>
        <v/>
      </c>
      <c r="H212" s="26">
        <f>IF(G212="","",IF(ISNUMBER(G212),IF(G212&lt;0,"Expired",IF(G212&lt;=30,"Due ≤30 days",IF(G212&lt;=90,"Due ≤90 days","OK"))),"Check date"))</f>
        <v/>
      </c>
      <c r="I212" s="21" t="n"/>
      <c r="J212" s="21" t="n"/>
      <c r="K212" s="22" t="n"/>
      <c r="L212" s="21" t="n"/>
      <c r="M212" s="21" t="n"/>
      <c r="N212" s="21" t="n"/>
      <c r="O212" s="27">
        <f>IF(B212="","",IFERROR(IF(VLOOKUP(B212,Lists!$A$2:$B$12,2,FALSE)="","",HYPERLINK(VLOOKUP(B212,Lists!$A$2:$B$12,2,FALSE),"How long valid?")),""))</f>
        <v/>
      </c>
      <c r="P212" s="21" t="n"/>
    </row>
    <row r="213">
      <c r="A213" s="21" t="n"/>
      <c r="B213" s="21" t="n"/>
      <c r="C213" s="22" t="n"/>
      <c r="D213" s="22" t="n"/>
      <c r="E213" s="23" t="n"/>
      <c r="F213" s="24">
        <f>IF(ISNUMBER(D213),D213-IF(ISNUMBER(E213),E213,30),"")</f>
        <v/>
      </c>
      <c r="G213" s="25">
        <f>IF(D213="","",IF(ISNUMBER(D213),D213-TODAY(),"Check date"))</f>
        <v/>
      </c>
      <c r="H213" s="26">
        <f>IF(G213="","",IF(ISNUMBER(G213),IF(G213&lt;0,"Expired",IF(G213&lt;=30,"Due ≤30 days",IF(G213&lt;=90,"Due ≤90 days","OK"))),"Check date"))</f>
        <v/>
      </c>
      <c r="I213" s="21" t="n"/>
      <c r="J213" s="21" t="n"/>
      <c r="K213" s="22" t="n"/>
      <c r="L213" s="21" t="n"/>
      <c r="M213" s="21" t="n"/>
      <c r="N213" s="21" t="n"/>
      <c r="O213" s="27">
        <f>IF(B213="","",IFERROR(IF(VLOOKUP(B213,Lists!$A$2:$B$12,2,FALSE)="","",HYPERLINK(VLOOKUP(B213,Lists!$A$2:$B$12,2,FALSE),"How long valid?")),""))</f>
        <v/>
      </c>
      <c r="P213" s="21" t="n"/>
    </row>
    <row r="214">
      <c r="A214" s="21" t="n"/>
      <c r="B214" s="21" t="n"/>
      <c r="C214" s="22" t="n"/>
      <c r="D214" s="22" t="n"/>
      <c r="E214" s="23" t="n"/>
      <c r="F214" s="24">
        <f>IF(ISNUMBER(D214),D214-IF(ISNUMBER(E214),E214,30),"")</f>
        <v/>
      </c>
      <c r="G214" s="25">
        <f>IF(D214="","",IF(ISNUMBER(D214),D214-TODAY(),"Check date"))</f>
        <v/>
      </c>
      <c r="H214" s="26">
        <f>IF(G214="","",IF(ISNUMBER(G214),IF(G214&lt;0,"Expired",IF(G214&lt;=30,"Due ≤30 days",IF(G214&lt;=90,"Due ≤90 days","OK"))),"Check date"))</f>
        <v/>
      </c>
      <c r="I214" s="21" t="n"/>
      <c r="J214" s="21" t="n"/>
      <c r="K214" s="22" t="n"/>
      <c r="L214" s="21" t="n"/>
      <c r="M214" s="21" t="n"/>
      <c r="N214" s="21" t="n"/>
      <c r="O214" s="27">
        <f>IF(B214="","",IFERROR(IF(VLOOKUP(B214,Lists!$A$2:$B$12,2,FALSE)="","",HYPERLINK(VLOOKUP(B214,Lists!$A$2:$B$12,2,FALSE),"How long valid?")),""))</f>
        <v/>
      </c>
      <c r="P214" s="21" t="n"/>
    </row>
    <row r="215">
      <c r="A215" s="21" t="n"/>
      <c r="B215" s="21" t="n"/>
      <c r="C215" s="22" t="n"/>
      <c r="D215" s="22" t="n"/>
      <c r="E215" s="23" t="n"/>
      <c r="F215" s="24">
        <f>IF(ISNUMBER(D215),D215-IF(ISNUMBER(E215),E215,30),"")</f>
        <v/>
      </c>
      <c r="G215" s="25">
        <f>IF(D215="","",IF(ISNUMBER(D215),D215-TODAY(),"Check date"))</f>
        <v/>
      </c>
      <c r="H215" s="26">
        <f>IF(G215="","",IF(ISNUMBER(G215),IF(G215&lt;0,"Expired",IF(G215&lt;=30,"Due ≤30 days",IF(G215&lt;=90,"Due ≤90 days","OK"))),"Check date"))</f>
        <v/>
      </c>
      <c r="I215" s="21" t="n"/>
      <c r="J215" s="21" t="n"/>
      <c r="K215" s="22" t="n"/>
      <c r="L215" s="21" t="n"/>
      <c r="M215" s="21" t="n"/>
      <c r="N215" s="21" t="n"/>
      <c r="O215" s="27">
        <f>IF(B215="","",IFERROR(IF(VLOOKUP(B215,Lists!$A$2:$B$12,2,FALSE)="","",HYPERLINK(VLOOKUP(B215,Lists!$A$2:$B$12,2,FALSE),"How long valid?")),""))</f>
        <v/>
      </c>
      <c r="P215" s="21" t="n"/>
    </row>
    <row r="216">
      <c r="A216" s="21" t="n"/>
      <c r="B216" s="21" t="n"/>
      <c r="C216" s="22" t="n"/>
      <c r="D216" s="22" t="n"/>
      <c r="E216" s="23" t="n"/>
      <c r="F216" s="24">
        <f>IF(ISNUMBER(D216),D216-IF(ISNUMBER(E216),E216,30),"")</f>
        <v/>
      </c>
      <c r="G216" s="25">
        <f>IF(D216="","",IF(ISNUMBER(D216),D216-TODAY(),"Check date"))</f>
        <v/>
      </c>
      <c r="H216" s="26">
        <f>IF(G216="","",IF(ISNUMBER(G216),IF(G216&lt;0,"Expired",IF(G216&lt;=30,"Due ≤30 days",IF(G216&lt;=90,"Due ≤90 days","OK"))),"Check date"))</f>
        <v/>
      </c>
      <c r="I216" s="21" t="n"/>
      <c r="J216" s="21" t="n"/>
      <c r="K216" s="22" t="n"/>
      <c r="L216" s="21" t="n"/>
      <c r="M216" s="21" t="n"/>
      <c r="N216" s="21" t="n"/>
      <c r="O216" s="27">
        <f>IF(B216="","",IFERROR(IF(VLOOKUP(B216,Lists!$A$2:$B$12,2,FALSE)="","",HYPERLINK(VLOOKUP(B216,Lists!$A$2:$B$12,2,FALSE),"How long valid?")),""))</f>
        <v/>
      </c>
      <c r="P216" s="21" t="n"/>
    </row>
    <row r="217">
      <c r="A217" s="21" t="n"/>
      <c r="B217" s="21" t="n"/>
      <c r="C217" s="22" t="n"/>
      <c r="D217" s="22" t="n"/>
      <c r="E217" s="23" t="n"/>
      <c r="F217" s="24">
        <f>IF(ISNUMBER(D217),D217-IF(ISNUMBER(E217),E217,30),"")</f>
        <v/>
      </c>
      <c r="G217" s="25">
        <f>IF(D217="","",IF(ISNUMBER(D217),D217-TODAY(),"Check date"))</f>
        <v/>
      </c>
      <c r="H217" s="26">
        <f>IF(G217="","",IF(ISNUMBER(G217),IF(G217&lt;0,"Expired",IF(G217&lt;=30,"Due ≤30 days",IF(G217&lt;=90,"Due ≤90 days","OK"))),"Check date"))</f>
        <v/>
      </c>
      <c r="I217" s="21" t="n"/>
      <c r="J217" s="21" t="n"/>
      <c r="K217" s="22" t="n"/>
      <c r="L217" s="21" t="n"/>
      <c r="M217" s="21" t="n"/>
      <c r="N217" s="21" t="n"/>
      <c r="O217" s="27">
        <f>IF(B217="","",IFERROR(IF(VLOOKUP(B217,Lists!$A$2:$B$12,2,FALSE)="","",HYPERLINK(VLOOKUP(B217,Lists!$A$2:$B$12,2,FALSE),"How long valid?")),""))</f>
        <v/>
      </c>
      <c r="P217" s="21" t="n"/>
    </row>
    <row r="218">
      <c r="A218" s="21" t="n"/>
      <c r="B218" s="21" t="n"/>
      <c r="C218" s="22" t="n"/>
      <c r="D218" s="22" t="n"/>
      <c r="E218" s="23" t="n"/>
      <c r="F218" s="24">
        <f>IF(ISNUMBER(D218),D218-IF(ISNUMBER(E218),E218,30),"")</f>
        <v/>
      </c>
      <c r="G218" s="25">
        <f>IF(D218="","",IF(ISNUMBER(D218),D218-TODAY(),"Check date"))</f>
        <v/>
      </c>
      <c r="H218" s="26">
        <f>IF(G218="","",IF(ISNUMBER(G218),IF(G218&lt;0,"Expired",IF(G218&lt;=30,"Due ≤30 days",IF(G218&lt;=90,"Due ≤90 days","OK"))),"Check date"))</f>
        <v/>
      </c>
      <c r="I218" s="21" t="n"/>
      <c r="J218" s="21" t="n"/>
      <c r="K218" s="22" t="n"/>
      <c r="L218" s="21" t="n"/>
      <c r="M218" s="21" t="n"/>
      <c r="N218" s="21" t="n"/>
      <c r="O218" s="27">
        <f>IF(B218="","",IFERROR(IF(VLOOKUP(B218,Lists!$A$2:$B$12,2,FALSE)="","",HYPERLINK(VLOOKUP(B218,Lists!$A$2:$B$12,2,FALSE),"How long valid?")),""))</f>
        <v/>
      </c>
      <c r="P218" s="21" t="n"/>
    </row>
    <row r="219">
      <c r="A219" s="21" t="n"/>
      <c r="B219" s="21" t="n"/>
      <c r="C219" s="22" t="n"/>
      <c r="D219" s="22" t="n"/>
      <c r="E219" s="23" t="n"/>
      <c r="F219" s="24">
        <f>IF(ISNUMBER(D219),D219-IF(ISNUMBER(E219),E219,30),"")</f>
        <v/>
      </c>
      <c r="G219" s="25">
        <f>IF(D219="","",IF(ISNUMBER(D219),D219-TODAY(),"Check date"))</f>
        <v/>
      </c>
      <c r="H219" s="26">
        <f>IF(G219="","",IF(ISNUMBER(G219),IF(G219&lt;0,"Expired",IF(G219&lt;=30,"Due ≤30 days",IF(G219&lt;=90,"Due ≤90 days","OK"))),"Check date"))</f>
        <v/>
      </c>
      <c r="I219" s="21" t="n"/>
      <c r="J219" s="21" t="n"/>
      <c r="K219" s="22" t="n"/>
      <c r="L219" s="21" t="n"/>
      <c r="M219" s="21" t="n"/>
      <c r="N219" s="21" t="n"/>
      <c r="O219" s="27">
        <f>IF(B219="","",IFERROR(IF(VLOOKUP(B219,Lists!$A$2:$B$12,2,FALSE)="","",HYPERLINK(VLOOKUP(B219,Lists!$A$2:$B$12,2,FALSE),"How long valid?")),""))</f>
        <v/>
      </c>
      <c r="P219" s="21" t="n"/>
    </row>
    <row r="220">
      <c r="A220" s="21" t="n"/>
      <c r="B220" s="21" t="n"/>
      <c r="C220" s="22" t="n"/>
      <c r="D220" s="22" t="n"/>
      <c r="E220" s="23" t="n"/>
      <c r="F220" s="24">
        <f>IF(ISNUMBER(D220),D220-IF(ISNUMBER(E220),E220,30),"")</f>
        <v/>
      </c>
      <c r="G220" s="25">
        <f>IF(D220="","",IF(ISNUMBER(D220),D220-TODAY(),"Check date"))</f>
        <v/>
      </c>
      <c r="H220" s="26">
        <f>IF(G220="","",IF(ISNUMBER(G220),IF(G220&lt;0,"Expired",IF(G220&lt;=30,"Due ≤30 days",IF(G220&lt;=90,"Due ≤90 days","OK"))),"Check date"))</f>
        <v/>
      </c>
      <c r="I220" s="21" t="n"/>
      <c r="J220" s="21" t="n"/>
      <c r="K220" s="22" t="n"/>
      <c r="L220" s="21" t="n"/>
      <c r="M220" s="21" t="n"/>
      <c r="N220" s="21" t="n"/>
      <c r="O220" s="27">
        <f>IF(B220="","",IFERROR(IF(VLOOKUP(B220,Lists!$A$2:$B$12,2,FALSE)="","",HYPERLINK(VLOOKUP(B220,Lists!$A$2:$B$12,2,FALSE),"How long valid?")),""))</f>
        <v/>
      </c>
      <c r="P220" s="21" t="n"/>
    </row>
    <row r="221">
      <c r="A221" s="21" t="n"/>
      <c r="B221" s="21" t="n"/>
      <c r="C221" s="22" t="n"/>
      <c r="D221" s="22" t="n"/>
      <c r="E221" s="23" t="n"/>
      <c r="F221" s="24">
        <f>IF(ISNUMBER(D221),D221-IF(ISNUMBER(E221),E221,30),"")</f>
        <v/>
      </c>
      <c r="G221" s="25">
        <f>IF(D221="","",IF(ISNUMBER(D221),D221-TODAY(),"Check date"))</f>
        <v/>
      </c>
      <c r="H221" s="26">
        <f>IF(G221="","",IF(ISNUMBER(G221),IF(G221&lt;0,"Expired",IF(G221&lt;=30,"Due ≤30 days",IF(G221&lt;=90,"Due ≤90 days","OK"))),"Check date"))</f>
        <v/>
      </c>
      <c r="I221" s="21" t="n"/>
      <c r="J221" s="21" t="n"/>
      <c r="K221" s="22" t="n"/>
      <c r="L221" s="21" t="n"/>
      <c r="M221" s="21" t="n"/>
      <c r="N221" s="21" t="n"/>
      <c r="O221" s="27">
        <f>IF(B221="","",IFERROR(IF(VLOOKUP(B221,Lists!$A$2:$B$12,2,FALSE)="","",HYPERLINK(VLOOKUP(B221,Lists!$A$2:$B$12,2,FALSE),"How long valid?")),""))</f>
        <v/>
      </c>
      <c r="P221" s="21" t="n"/>
    </row>
    <row r="222">
      <c r="A222" s="21" t="n"/>
      <c r="B222" s="21" t="n"/>
      <c r="C222" s="22" t="n"/>
      <c r="D222" s="22" t="n"/>
      <c r="E222" s="23" t="n"/>
      <c r="F222" s="24">
        <f>IF(ISNUMBER(D222),D222-IF(ISNUMBER(E222),E222,30),"")</f>
        <v/>
      </c>
      <c r="G222" s="25">
        <f>IF(D222="","",IF(ISNUMBER(D222),D222-TODAY(),"Check date"))</f>
        <v/>
      </c>
      <c r="H222" s="26">
        <f>IF(G222="","",IF(ISNUMBER(G222),IF(G222&lt;0,"Expired",IF(G222&lt;=30,"Due ≤30 days",IF(G222&lt;=90,"Due ≤90 days","OK"))),"Check date"))</f>
        <v/>
      </c>
      <c r="I222" s="21" t="n"/>
      <c r="J222" s="21" t="n"/>
      <c r="K222" s="22" t="n"/>
      <c r="L222" s="21" t="n"/>
      <c r="M222" s="21" t="n"/>
      <c r="N222" s="21" t="n"/>
      <c r="O222" s="27">
        <f>IF(B222="","",IFERROR(IF(VLOOKUP(B222,Lists!$A$2:$B$12,2,FALSE)="","",HYPERLINK(VLOOKUP(B222,Lists!$A$2:$B$12,2,FALSE),"How long valid?")),""))</f>
        <v/>
      </c>
      <c r="P222" s="21" t="n"/>
    </row>
    <row r="223">
      <c r="A223" s="21" t="n"/>
      <c r="B223" s="21" t="n"/>
      <c r="C223" s="22" t="n"/>
      <c r="D223" s="22" t="n"/>
      <c r="E223" s="23" t="n"/>
      <c r="F223" s="24">
        <f>IF(ISNUMBER(D223),D223-IF(ISNUMBER(E223),E223,30),"")</f>
        <v/>
      </c>
      <c r="G223" s="25">
        <f>IF(D223="","",IF(ISNUMBER(D223),D223-TODAY(),"Check date"))</f>
        <v/>
      </c>
      <c r="H223" s="26">
        <f>IF(G223="","",IF(ISNUMBER(G223),IF(G223&lt;0,"Expired",IF(G223&lt;=30,"Due ≤30 days",IF(G223&lt;=90,"Due ≤90 days","OK"))),"Check date"))</f>
        <v/>
      </c>
      <c r="I223" s="21" t="n"/>
      <c r="J223" s="21" t="n"/>
      <c r="K223" s="22" t="n"/>
      <c r="L223" s="21" t="n"/>
      <c r="M223" s="21" t="n"/>
      <c r="N223" s="21" t="n"/>
      <c r="O223" s="27">
        <f>IF(B223="","",IFERROR(IF(VLOOKUP(B223,Lists!$A$2:$B$12,2,FALSE)="","",HYPERLINK(VLOOKUP(B223,Lists!$A$2:$B$12,2,FALSE),"How long valid?")),""))</f>
        <v/>
      </c>
      <c r="P223" s="21" t="n"/>
    </row>
    <row r="224">
      <c r="A224" s="21" t="n"/>
      <c r="B224" s="21" t="n"/>
      <c r="C224" s="22" t="n"/>
      <c r="D224" s="22" t="n"/>
      <c r="E224" s="23" t="n"/>
      <c r="F224" s="24">
        <f>IF(ISNUMBER(D224),D224-IF(ISNUMBER(E224),E224,30),"")</f>
        <v/>
      </c>
      <c r="G224" s="25">
        <f>IF(D224="","",IF(ISNUMBER(D224),D224-TODAY(),"Check date"))</f>
        <v/>
      </c>
      <c r="H224" s="26">
        <f>IF(G224="","",IF(ISNUMBER(G224),IF(G224&lt;0,"Expired",IF(G224&lt;=30,"Due ≤30 days",IF(G224&lt;=90,"Due ≤90 days","OK"))),"Check date"))</f>
        <v/>
      </c>
      <c r="I224" s="21" t="n"/>
      <c r="J224" s="21" t="n"/>
      <c r="K224" s="22" t="n"/>
      <c r="L224" s="21" t="n"/>
      <c r="M224" s="21" t="n"/>
      <c r="N224" s="21" t="n"/>
      <c r="O224" s="27">
        <f>IF(B224="","",IFERROR(IF(VLOOKUP(B224,Lists!$A$2:$B$12,2,FALSE)="","",HYPERLINK(VLOOKUP(B224,Lists!$A$2:$B$12,2,FALSE),"How long valid?")),""))</f>
        <v/>
      </c>
      <c r="P224" s="21" t="n"/>
    </row>
    <row r="225">
      <c r="A225" s="21" t="n"/>
      <c r="B225" s="21" t="n"/>
      <c r="C225" s="22" t="n"/>
      <c r="D225" s="22" t="n"/>
      <c r="E225" s="23" t="n"/>
      <c r="F225" s="24">
        <f>IF(ISNUMBER(D225),D225-IF(ISNUMBER(E225),E225,30),"")</f>
        <v/>
      </c>
      <c r="G225" s="25">
        <f>IF(D225="","",IF(ISNUMBER(D225),D225-TODAY(),"Check date"))</f>
        <v/>
      </c>
      <c r="H225" s="26">
        <f>IF(G225="","",IF(ISNUMBER(G225),IF(G225&lt;0,"Expired",IF(G225&lt;=30,"Due ≤30 days",IF(G225&lt;=90,"Due ≤90 days","OK"))),"Check date"))</f>
        <v/>
      </c>
      <c r="I225" s="21" t="n"/>
      <c r="J225" s="21" t="n"/>
      <c r="K225" s="22" t="n"/>
      <c r="L225" s="21" t="n"/>
      <c r="M225" s="21" t="n"/>
      <c r="N225" s="21" t="n"/>
      <c r="O225" s="27">
        <f>IF(B225="","",IFERROR(IF(VLOOKUP(B225,Lists!$A$2:$B$12,2,FALSE)="","",HYPERLINK(VLOOKUP(B225,Lists!$A$2:$B$12,2,FALSE),"How long valid?")),""))</f>
        <v/>
      </c>
      <c r="P225" s="21" t="n"/>
    </row>
    <row r="226">
      <c r="A226" s="21" t="n"/>
      <c r="B226" s="21" t="n"/>
      <c r="C226" s="22" t="n"/>
      <c r="D226" s="22" t="n"/>
      <c r="E226" s="23" t="n"/>
      <c r="F226" s="24">
        <f>IF(ISNUMBER(D226),D226-IF(ISNUMBER(E226),E226,30),"")</f>
        <v/>
      </c>
      <c r="G226" s="25">
        <f>IF(D226="","",IF(ISNUMBER(D226),D226-TODAY(),"Check date"))</f>
        <v/>
      </c>
      <c r="H226" s="26">
        <f>IF(G226="","",IF(ISNUMBER(G226),IF(G226&lt;0,"Expired",IF(G226&lt;=30,"Due ≤30 days",IF(G226&lt;=90,"Due ≤90 days","OK"))),"Check date"))</f>
        <v/>
      </c>
      <c r="I226" s="21" t="n"/>
      <c r="J226" s="21" t="n"/>
      <c r="K226" s="22" t="n"/>
      <c r="L226" s="21" t="n"/>
      <c r="M226" s="21" t="n"/>
      <c r="N226" s="21" t="n"/>
      <c r="O226" s="27">
        <f>IF(B226="","",IFERROR(IF(VLOOKUP(B226,Lists!$A$2:$B$12,2,FALSE)="","",HYPERLINK(VLOOKUP(B226,Lists!$A$2:$B$12,2,FALSE),"How long valid?")),""))</f>
        <v/>
      </c>
      <c r="P226" s="21" t="n"/>
    </row>
    <row r="227">
      <c r="A227" s="21" t="n"/>
      <c r="B227" s="21" t="n"/>
      <c r="C227" s="22" t="n"/>
      <c r="D227" s="22" t="n"/>
      <c r="E227" s="23" t="n"/>
      <c r="F227" s="24">
        <f>IF(ISNUMBER(D227),D227-IF(ISNUMBER(E227),E227,30),"")</f>
        <v/>
      </c>
      <c r="G227" s="25">
        <f>IF(D227="","",IF(ISNUMBER(D227),D227-TODAY(),"Check date"))</f>
        <v/>
      </c>
      <c r="H227" s="26">
        <f>IF(G227="","",IF(ISNUMBER(G227),IF(G227&lt;0,"Expired",IF(G227&lt;=30,"Due ≤30 days",IF(G227&lt;=90,"Due ≤90 days","OK"))),"Check date"))</f>
        <v/>
      </c>
      <c r="I227" s="21" t="n"/>
      <c r="J227" s="21" t="n"/>
      <c r="K227" s="22" t="n"/>
      <c r="L227" s="21" t="n"/>
      <c r="M227" s="21" t="n"/>
      <c r="N227" s="21" t="n"/>
      <c r="O227" s="27">
        <f>IF(B227="","",IFERROR(IF(VLOOKUP(B227,Lists!$A$2:$B$12,2,FALSE)="","",HYPERLINK(VLOOKUP(B227,Lists!$A$2:$B$12,2,FALSE),"How long valid?")),""))</f>
        <v/>
      </c>
      <c r="P227" s="21" t="n"/>
    </row>
    <row r="228">
      <c r="A228" s="21" t="n"/>
      <c r="B228" s="21" t="n"/>
      <c r="C228" s="22" t="n"/>
      <c r="D228" s="22" t="n"/>
      <c r="E228" s="23" t="n"/>
      <c r="F228" s="24">
        <f>IF(ISNUMBER(D228),D228-IF(ISNUMBER(E228),E228,30),"")</f>
        <v/>
      </c>
      <c r="G228" s="25">
        <f>IF(D228="","",IF(ISNUMBER(D228),D228-TODAY(),"Check date"))</f>
        <v/>
      </c>
      <c r="H228" s="26">
        <f>IF(G228="","",IF(ISNUMBER(G228),IF(G228&lt;0,"Expired",IF(G228&lt;=30,"Due ≤30 days",IF(G228&lt;=90,"Due ≤90 days","OK"))),"Check date"))</f>
        <v/>
      </c>
      <c r="I228" s="21" t="n"/>
      <c r="J228" s="21" t="n"/>
      <c r="K228" s="22" t="n"/>
      <c r="L228" s="21" t="n"/>
      <c r="M228" s="21" t="n"/>
      <c r="N228" s="21" t="n"/>
      <c r="O228" s="27">
        <f>IF(B228="","",IFERROR(IF(VLOOKUP(B228,Lists!$A$2:$B$12,2,FALSE)="","",HYPERLINK(VLOOKUP(B228,Lists!$A$2:$B$12,2,FALSE),"How long valid?")),""))</f>
        <v/>
      </c>
      <c r="P228" s="21" t="n"/>
    </row>
    <row r="229">
      <c r="A229" s="21" t="n"/>
      <c r="B229" s="21" t="n"/>
      <c r="C229" s="22" t="n"/>
      <c r="D229" s="22" t="n"/>
      <c r="E229" s="23" t="n"/>
      <c r="F229" s="24">
        <f>IF(ISNUMBER(D229),D229-IF(ISNUMBER(E229),E229,30),"")</f>
        <v/>
      </c>
      <c r="G229" s="25">
        <f>IF(D229="","",IF(ISNUMBER(D229),D229-TODAY(),"Check date"))</f>
        <v/>
      </c>
      <c r="H229" s="26">
        <f>IF(G229="","",IF(ISNUMBER(G229),IF(G229&lt;0,"Expired",IF(G229&lt;=30,"Due ≤30 days",IF(G229&lt;=90,"Due ≤90 days","OK"))),"Check date"))</f>
        <v/>
      </c>
      <c r="I229" s="21" t="n"/>
      <c r="J229" s="21" t="n"/>
      <c r="K229" s="22" t="n"/>
      <c r="L229" s="21" t="n"/>
      <c r="M229" s="21" t="n"/>
      <c r="N229" s="21" t="n"/>
      <c r="O229" s="27">
        <f>IF(B229="","",IFERROR(IF(VLOOKUP(B229,Lists!$A$2:$B$12,2,FALSE)="","",HYPERLINK(VLOOKUP(B229,Lists!$A$2:$B$12,2,FALSE),"How long valid?")),""))</f>
        <v/>
      </c>
      <c r="P229" s="21" t="n"/>
    </row>
    <row r="230">
      <c r="A230" s="21" t="n"/>
      <c r="B230" s="21" t="n"/>
      <c r="C230" s="22" t="n"/>
      <c r="D230" s="22" t="n"/>
      <c r="E230" s="23" t="n"/>
      <c r="F230" s="24">
        <f>IF(ISNUMBER(D230),D230-IF(ISNUMBER(E230),E230,30),"")</f>
        <v/>
      </c>
      <c r="G230" s="25">
        <f>IF(D230="","",IF(ISNUMBER(D230),D230-TODAY(),"Check date"))</f>
        <v/>
      </c>
      <c r="H230" s="26">
        <f>IF(G230="","",IF(ISNUMBER(G230),IF(G230&lt;0,"Expired",IF(G230&lt;=30,"Due ≤30 days",IF(G230&lt;=90,"Due ≤90 days","OK"))),"Check date"))</f>
        <v/>
      </c>
      <c r="I230" s="21" t="n"/>
      <c r="J230" s="21" t="n"/>
      <c r="K230" s="22" t="n"/>
      <c r="L230" s="21" t="n"/>
      <c r="M230" s="21" t="n"/>
      <c r="N230" s="21" t="n"/>
      <c r="O230" s="27">
        <f>IF(B230="","",IFERROR(IF(VLOOKUP(B230,Lists!$A$2:$B$12,2,FALSE)="","",HYPERLINK(VLOOKUP(B230,Lists!$A$2:$B$12,2,FALSE),"How long valid?")),""))</f>
        <v/>
      </c>
      <c r="P230" s="21" t="n"/>
    </row>
    <row r="231">
      <c r="A231" s="21" t="n"/>
      <c r="B231" s="21" t="n"/>
      <c r="C231" s="22" t="n"/>
      <c r="D231" s="22" t="n"/>
      <c r="E231" s="23" t="n"/>
      <c r="F231" s="24">
        <f>IF(ISNUMBER(D231),D231-IF(ISNUMBER(E231),E231,30),"")</f>
        <v/>
      </c>
      <c r="G231" s="25">
        <f>IF(D231="","",IF(ISNUMBER(D231),D231-TODAY(),"Check date"))</f>
        <v/>
      </c>
      <c r="H231" s="26">
        <f>IF(G231="","",IF(ISNUMBER(G231),IF(G231&lt;0,"Expired",IF(G231&lt;=30,"Due ≤30 days",IF(G231&lt;=90,"Due ≤90 days","OK"))),"Check date"))</f>
        <v/>
      </c>
      <c r="I231" s="21" t="n"/>
      <c r="J231" s="21" t="n"/>
      <c r="K231" s="22" t="n"/>
      <c r="L231" s="21" t="n"/>
      <c r="M231" s="21" t="n"/>
      <c r="N231" s="21" t="n"/>
      <c r="O231" s="27">
        <f>IF(B231="","",IFERROR(IF(VLOOKUP(B231,Lists!$A$2:$B$12,2,FALSE)="","",HYPERLINK(VLOOKUP(B231,Lists!$A$2:$B$12,2,FALSE),"How long valid?")),""))</f>
        <v/>
      </c>
      <c r="P231" s="21" t="n"/>
    </row>
    <row r="232">
      <c r="A232" s="21" t="n"/>
      <c r="B232" s="21" t="n"/>
      <c r="C232" s="22" t="n"/>
      <c r="D232" s="22" t="n"/>
      <c r="E232" s="23" t="n"/>
      <c r="F232" s="24">
        <f>IF(ISNUMBER(D232),D232-IF(ISNUMBER(E232),E232,30),"")</f>
        <v/>
      </c>
      <c r="G232" s="25">
        <f>IF(D232="","",IF(ISNUMBER(D232),D232-TODAY(),"Check date"))</f>
        <v/>
      </c>
      <c r="H232" s="26">
        <f>IF(G232="","",IF(ISNUMBER(G232),IF(G232&lt;0,"Expired",IF(G232&lt;=30,"Due ≤30 days",IF(G232&lt;=90,"Due ≤90 days","OK"))),"Check date"))</f>
        <v/>
      </c>
      <c r="I232" s="21" t="n"/>
      <c r="J232" s="21" t="n"/>
      <c r="K232" s="22" t="n"/>
      <c r="L232" s="21" t="n"/>
      <c r="M232" s="21" t="n"/>
      <c r="N232" s="21" t="n"/>
      <c r="O232" s="27">
        <f>IF(B232="","",IFERROR(IF(VLOOKUP(B232,Lists!$A$2:$B$12,2,FALSE)="","",HYPERLINK(VLOOKUP(B232,Lists!$A$2:$B$12,2,FALSE),"How long valid?")),""))</f>
        <v/>
      </c>
      <c r="P232" s="21" t="n"/>
    </row>
    <row r="233">
      <c r="A233" s="21" t="n"/>
      <c r="B233" s="21" t="n"/>
      <c r="C233" s="22" t="n"/>
      <c r="D233" s="22" t="n"/>
      <c r="E233" s="23" t="n"/>
      <c r="F233" s="24">
        <f>IF(ISNUMBER(D233),D233-IF(ISNUMBER(E233),E233,30),"")</f>
        <v/>
      </c>
      <c r="G233" s="25">
        <f>IF(D233="","",IF(ISNUMBER(D233),D233-TODAY(),"Check date"))</f>
        <v/>
      </c>
      <c r="H233" s="26">
        <f>IF(G233="","",IF(ISNUMBER(G233),IF(G233&lt;0,"Expired",IF(G233&lt;=30,"Due ≤30 days",IF(G233&lt;=90,"Due ≤90 days","OK"))),"Check date"))</f>
        <v/>
      </c>
      <c r="I233" s="21" t="n"/>
      <c r="J233" s="21" t="n"/>
      <c r="K233" s="22" t="n"/>
      <c r="L233" s="21" t="n"/>
      <c r="M233" s="21" t="n"/>
      <c r="N233" s="21" t="n"/>
      <c r="O233" s="27">
        <f>IF(B233="","",IFERROR(IF(VLOOKUP(B233,Lists!$A$2:$B$12,2,FALSE)="","",HYPERLINK(VLOOKUP(B233,Lists!$A$2:$B$12,2,FALSE),"How long valid?")),""))</f>
        <v/>
      </c>
      <c r="P233" s="21" t="n"/>
    </row>
    <row r="234">
      <c r="A234" s="21" t="n"/>
      <c r="B234" s="21" t="n"/>
      <c r="C234" s="22" t="n"/>
      <c r="D234" s="22" t="n"/>
      <c r="E234" s="23" t="n"/>
      <c r="F234" s="24">
        <f>IF(ISNUMBER(D234),D234-IF(ISNUMBER(E234),E234,30),"")</f>
        <v/>
      </c>
      <c r="G234" s="25">
        <f>IF(D234="","",IF(ISNUMBER(D234),D234-TODAY(),"Check date"))</f>
        <v/>
      </c>
      <c r="H234" s="26">
        <f>IF(G234="","",IF(ISNUMBER(G234),IF(G234&lt;0,"Expired",IF(G234&lt;=30,"Due ≤30 days",IF(G234&lt;=90,"Due ≤90 days","OK"))),"Check date"))</f>
        <v/>
      </c>
      <c r="I234" s="21" t="n"/>
      <c r="J234" s="21" t="n"/>
      <c r="K234" s="22" t="n"/>
      <c r="L234" s="21" t="n"/>
      <c r="M234" s="21" t="n"/>
      <c r="N234" s="21" t="n"/>
      <c r="O234" s="27">
        <f>IF(B234="","",IFERROR(IF(VLOOKUP(B234,Lists!$A$2:$B$12,2,FALSE)="","",HYPERLINK(VLOOKUP(B234,Lists!$A$2:$B$12,2,FALSE),"How long valid?")),""))</f>
        <v/>
      </c>
      <c r="P234" s="21" t="n"/>
    </row>
    <row r="235">
      <c r="A235" s="21" t="n"/>
      <c r="B235" s="21" t="n"/>
      <c r="C235" s="22" t="n"/>
      <c r="D235" s="22" t="n"/>
      <c r="E235" s="23" t="n"/>
      <c r="F235" s="24">
        <f>IF(ISNUMBER(D235),D235-IF(ISNUMBER(E235),E235,30),"")</f>
        <v/>
      </c>
      <c r="G235" s="25">
        <f>IF(D235="","",IF(ISNUMBER(D235),D235-TODAY(),"Check date"))</f>
        <v/>
      </c>
      <c r="H235" s="26">
        <f>IF(G235="","",IF(ISNUMBER(G235),IF(G235&lt;0,"Expired",IF(G235&lt;=30,"Due ≤30 days",IF(G235&lt;=90,"Due ≤90 days","OK"))),"Check date"))</f>
        <v/>
      </c>
      <c r="I235" s="21" t="n"/>
      <c r="J235" s="21" t="n"/>
      <c r="K235" s="22" t="n"/>
      <c r="L235" s="21" t="n"/>
      <c r="M235" s="21" t="n"/>
      <c r="N235" s="21" t="n"/>
      <c r="O235" s="27">
        <f>IF(B235="","",IFERROR(IF(VLOOKUP(B235,Lists!$A$2:$B$12,2,FALSE)="","",HYPERLINK(VLOOKUP(B235,Lists!$A$2:$B$12,2,FALSE),"How long valid?")),""))</f>
        <v/>
      </c>
      <c r="P235" s="21" t="n"/>
    </row>
    <row r="236">
      <c r="A236" s="21" t="n"/>
      <c r="B236" s="21" t="n"/>
      <c r="C236" s="22" t="n"/>
      <c r="D236" s="22" t="n"/>
      <c r="E236" s="23" t="n"/>
      <c r="F236" s="24">
        <f>IF(ISNUMBER(D236),D236-IF(ISNUMBER(E236),E236,30),"")</f>
        <v/>
      </c>
      <c r="G236" s="25">
        <f>IF(D236="","",IF(ISNUMBER(D236),D236-TODAY(),"Check date"))</f>
        <v/>
      </c>
      <c r="H236" s="26">
        <f>IF(G236="","",IF(ISNUMBER(G236),IF(G236&lt;0,"Expired",IF(G236&lt;=30,"Due ≤30 days",IF(G236&lt;=90,"Due ≤90 days","OK"))),"Check date"))</f>
        <v/>
      </c>
      <c r="I236" s="21" t="n"/>
      <c r="J236" s="21" t="n"/>
      <c r="K236" s="22" t="n"/>
      <c r="L236" s="21" t="n"/>
      <c r="M236" s="21" t="n"/>
      <c r="N236" s="21" t="n"/>
      <c r="O236" s="27">
        <f>IF(B236="","",IFERROR(IF(VLOOKUP(B236,Lists!$A$2:$B$12,2,FALSE)="","",HYPERLINK(VLOOKUP(B236,Lists!$A$2:$B$12,2,FALSE),"How long valid?")),""))</f>
        <v/>
      </c>
      <c r="P236" s="21" t="n"/>
    </row>
    <row r="237">
      <c r="A237" s="21" t="n"/>
      <c r="B237" s="21" t="n"/>
      <c r="C237" s="22" t="n"/>
      <c r="D237" s="22" t="n"/>
      <c r="E237" s="23" t="n"/>
      <c r="F237" s="24">
        <f>IF(ISNUMBER(D237),D237-IF(ISNUMBER(E237),E237,30),"")</f>
        <v/>
      </c>
      <c r="G237" s="25">
        <f>IF(D237="","",IF(ISNUMBER(D237),D237-TODAY(),"Check date"))</f>
        <v/>
      </c>
      <c r="H237" s="26">
        <f>IF(G237="","",IF(ISNUMBER(G237),IF(G237&lt;0,"Expired",IF(G237&lt;=30,"Due ≤30 days",IF(G237&lt;=90,"Due ≤90 days","OK"))),"Check date"))</f>
        <v/>
      </c>
      <c r="I237" s="21" t="n"/>
      <c r="J237" s="21" t="n"/>
      <c r="K237" s="22" t="n"/>
      <c r="L237" s="21" t="n"/>
      <c r="M237" s="21" t="n"/>
      <c r="N237" s="21" t="n"/>
      <c r="O237" s="27">
        <f>IF(B237="","",IFERROR(IF(VLOOKUP(B237,Lists!$A$2:$B$12,2,FALSE)="","",HYPERLINK(VLOOKUP(B237,Lists!$A$2:$B$12,2,FALSE),"How long valid?")),""))</f>
        <v/>
      </c>
      <c r="P237" s="21" t="n"/>
    </row>
    <row r="238">
      <c r="A238" s="21" t="n"/>
      <c r="B238" s="21" t="n"/>
      <c r="C238" s="22" t="n"/>
      <c r="D238" s="22" t="n"/>
      <c r="E238" s="23" t="n"/>
      <c r="F238" s="24">
        <f>IF(ISNUMBER(D238),D238-IF(ISNUMBER(E238),E238,30),"")</f>
        <v/>
      </c>
      <c r="G238" s="25">
        <f>IF(D238="","",IF(ISNUMBER(D238),D238-TODAY(),"Check date"))</f>
        <v/>
      </c>
      <c r="H238" s="26">
        <f>IF(G238="","",IF(ISNUMBER(G238),IF(G238&lt;0,"Expired",IF(G238&lt;=30,"Due ≤30 days",IF(G238&lt;=90,"Due ≤90 days","OK"))),"Check date"))</f>
        <v/>
      </c>
      <c r="I238" s="21" t="n"/>
      <c r="J238" s="21" t="n"/>
      <c r="K238" s="22" t="n"/>
      <c r="L238" s="21" t="n"/>
      <c r="M238" s="21" t="n"/>
      <c r="N238" s="21" t="n"/>
      <c r="O238" s="27">
        <f>IF(B238="","",IFERROR(IF(VLOOKUP(B238,Lists!$A$2:$B$12,2,FALSE)="","",HYPERLINK(VLOOKUP(B238,Lists!$A$2:$B$12,2,FALSE),"How long valid?")),""))</f>
        <v/>
      </c>
      <c r="P238" s="21" t="n"/>
    </row>
    <row r="239">
      <c r="A239" s="21" t="n"/>
      <c r="B239" s="21" t="n"/>
      <c r="C239" s="22" t="n"/>
      <c r="D239" s="22" t="n"/>
      <c r="E239" s="23" t="n"/>
      <c r="F239" s="24">
        <f>IF(ISNUMBER(D239),D239-IF(ISNUMBER(E239),E239,30),"")</f>
        <v/>
      </c>
      <c r="G239" s="25">
        <f>IF(D239="","",IF(ISNUMBER(D239),D239-TODAY(),"Check date"))</f>
        <v/>
      </c>
      <c r="H239" s="26">
        <f>IF(G239="","",IF(ISNUMBER(G239),IF(G239&lt;0,"Expired",IF(G239&lt;=30,"Due ≤30 days",IF(G239&lt;=90,"Due ≤90 days","OK"))),"Check date"))</f>
        <v/>
      </c>
      <c r="I239" s="21" t="n"/>
      <c r="J239" s="21" t="n"/>
      <c r="K239" s="22" t="n"/>
      <c r="L239" s="21" t="n"/>
      <c r="M239" s="21" t="n"/>
      <c r="N239" s="21" t="n"/>
      <c r="O239" s="27">
        <f>IF(B239="","",IFERROR(IF(VLOOKUP(B239,Lists!$A$2:$B$12,2,FALSE)="","",HYPERLINK(VLOOKUP(B239,Lists!$A$2:$B$12,2,FALSE),"How long valid?")),""))</f>
        <v/>
      </c>
      <c r="P239" s="21" t="n"/>
    </row>
    <row r="240">
      <c r="A240" s="21" t="n"/>
      <c r="B240" s="21" t="n"/>
      <c r="C240" s="22" t="n"/>
      <c r="D240" s="22" t="n"/>
      <c r="E240" s="23" t="n"/>
      <c r="F240" s="24">
        <f>IF(ISNUMBER(D240),D240-IF(ISNUMBER(E240),E240,30),"")</f>
        <v/>
      </c>
      <c r="G240" s="25">
        <f>IF(D240="","",IF(ISNUMBER(D240),D240-TODAY(),"Check date"))</f>
        <v/>
      </c>
      <c r="H240" s="26">
        <f>IF(G240="","",IF(ISNUMBER(G240),IF(G240&lt;0,"Expired",IF(G240&lt;=30,"Due ≤30 days",IF(G240&lt;=90,"Due ≤90 days","OK"))),"Check date"))</f>
        <v/>
      </c>
      <c r="I240" s="21" t="n"/>
      <c r="J240" s="21" t="n"/>
      <c r="K240" s="22" t="n"/>
      <c r="L240" s="21" t="n"/>
      <c r="M240" s="21" t="n"/>
      <c r="N240" s="21" t="n"/>
      <c r="O240" s="27">
        <f>IF(B240="","",IFERROR(IF(VLOOKUP(B240,Lists!$A$2:$B$12,2,FALSE)="","",HYPERLINK(VLOOKUP(B240,Lists!$A$2:$B$12,2,FALSE),"How long valid?")),""))</f>
        <v/>
      </c>
      <c r="P240" s="21" t="n"/>
    </row>
    <row r="241">
      <c r="A241" s="21" t="n"/>
      <c r="B241" s="21" t="n"/>
      <c r="C241" s="22" t="n"/>
      <c r="D241" s="22" t="n"/>
      <c r="E241" s="23" t="n"/>
      <c r="F241" s="24">
        <f>IF(ISNUMBER(D241),D241-IF(ISNUMBER(E241),E241,30),"")</f>
        <v/>
      </c>
      <c r="G241" s="25">
        <f>IF(D241="","",IF(ISNUMBER(D241),D241-TODAY(),"Check date"))</f>
        <v/>
      </c>
      <c r="H241" s="26">
        <f>IF(G241="","",IF(ISNUMBER(G241),IF(G241&lt;0,"Expired",IF(G241&lt;=30,"Due ≤30 days",IF(G241&lt;=90,"Due ≤90 days","OK"))),"Check date"))</f>
        <v/>
      </c>
      <c r="I241" s="21" t="n"/>
      <c r="J241" s="21" t="n"/>
      <c r="K241" s="22" t="n"/>
      <c r="L241" s="21" t="n"/>
      <c r="M241" s="21" t="n"/>
      <c r="N241" s="21" t="n"/>
      <c r="O241" s="27">
        <f>IF(B241="","",IFERROR(IF(VLOOKUP(B241,Lists!$A$2:$B$12,2,FALSE)="","",HYPERLINK(VLOOKUP(B241,Lists!$A$2:$B$12,2,FALSE),"How long valid?")),""))</f>
        <v/>
      </c>
      <c r="P241" s="21" t="n"/>
    </row>
    <row r="242">
      <c r="A242" s="21" t="n"/>
      <c r="B242" s="21" t="n"/>
      <c r="C242" s="22" t="n"/>
      <c r="D242" s="22" t="n"/>
      <c r="E242" s="23" t="n"/>
      <c r="F242" s="24">
        <f>IF(ISNUMBER(D242),D242-IF(ISNUMBER(E242),E242,30),"")</f>
        <v/>
      </c>
      <c r="G242" s="25">
        <f>IF(D242="","",IF(ISNUMBER(D242),D242-TODAY(),"Check date"))</f>
        <v/>
      </c>
      <c r="H242" s="26">
        <f>IF(G242="","",IF(ISNUMBER(G242),IF(G242&lt;0,"Expired",IF(G242&lt;=30,"Due ≤30 days",IF(G242&lt;=90,"Due ≤90 days","OK"))),"Check date"))</f>
        <v/>
      </c>
      <c r="I242" s="21" t="n"/>
      <c r="J242" s="21" t="n"/>
      <c r="K242" s="22" t="n"/>
      <c r="L242" s="21" t="n"/>
      <c r="M242" s="21" t="n"/>
      <c r="N242" s="21" t="n"/>
      <c r="O242" s="27">
        <f>IF(B242="","",IFERROR(IF(VLOOKUP(B242,Lists!$A$2:$B$12,2,FALSE)="","",HYPERLINK(VLOOKUP(B242,Lists!$A$2:$B$12,2,FALSE),"How long valid?")),""))</f>
        <v/>
      </c>
      <c r="P242" s="21" t="n"/>
    </row>
    <row r="243">
      <c r="A243" s="21" t="n"/>
      <c r="B243" s="21" t="n"/>
      <c r="C243" s="22" t="n"/>
      <c r="D243" s="22" t="n"/>
      <c r="E243" s="23" t="n"/>
      <c r="F243" s="24">
        <f>IF(ISNUMBER(D243),D243-IF(ISNUMBER(E243),E243,30),"")</f>
        <v/>
      </c>
      <c r="G243" s="25">
        <f>IF(D243="","",IF(ISNUMBER(D243),D243-TODAY(),"Check date"))</f>
        <v/>
      </c>
      <c r="H243" s="26">
        <f>IF(G243="","",IF(ISNUMBER(G243),IF(G243&lt;0,"Expired",IF(G243&lt;=30,"Due ≤30 days",IF(G243&lt;=90,"Due ≤90 days","OK"))),"Check date"))</f>
        <v/>
      </c>
      <c r="I243" s="21" t="n"/>
      <c r="J243" s="21" t="n"/>
      <c r="K243" s="22" t="n"/>
      <c r="L243" s="21" t="n"/>
      <c r="M243" s="21" t="n"/>
      <c r="N243" s="21" t="n"/>
      <c r="O243" s="27">
        <f>IF(B243="","",IFERROR(IF(VLOOKUP(B243,Lists!$A$2:$B$12,2,FALSE)="","",HYPERLINK(VLOOKUP(B243,Lists!$A$2:$B$12,2,FALSE),"How long valid?")),""))</f>
        <v/>
      </c>
      <c r="P243" s="21" t="n"/>
    </row>
    <row r="244">
      <c r="A244" s="21" t="n"/>
      <c r="B244" s="21" t="n"/>
      <c r="C244" s="22" t="n"/>
      <c r="D244" s="22" t="n"/>
      <c r="E244" s="23" t="n"/>
      <c r="F244" s="24">
        <f>IF(ISNUMBER(D244),D244-IF(ISNUMBER(E244),E244,30),"")</f>
        <v/>
      </c>
      <c r="G244" s="25">
        <f>IF(D244="","",IF(ISNUMBER(D244),D244-TODAY(),"Check date"))</f>
        <v/>
      </c>
      <c r="H244" s="26">
        <f>IF(G244="","",IF(ISNUMBER(G244),IF(G244&lt;0,"Expired",IF(G244&lt;=30,"Due ≤30 days",IF(G244&lt;=90,"Due ≤90 days","OK"))),"Check date"))</f>
        <v/>
      </c>
      <c r="I244" s="21" t="n"/>
      <c r="J244" s="21" t="n"/>
      <c r="K244" s="22" t="n"/>
      <c r="L244" s="21" t="n"/>
      <c r="M244" s="21" t="n"/>
      <c r="N244" s="21" t="n"/>
      <c r="O244" s="27">
        <f>IF(B244="","",IFERROR(IF(VLOOKUP(B244,Lists!$A$2:$B$12,2,FALSE)="","",HYPERLINK(VLOOKUP(B244,Lists!$A$2:$B$12,2,FALSE),"How long valid?")),""))</f>
        <v/>
      </c>
      <c r="P244" s="21" t="n"/>
    </row>
    <row r="245">
      <c r="A245" s="21" t="n"/>
      <c r="B245" s="21" t="n"/>
      <c r="C245" s="22" t="n"/>
      <c r="D245" s="22" t="n"/>
      <c r="E245" s="23" t="n"/>
      <c r="F245" s="24">
        <f>IF(ISNUMBER(D245),D245-IF(ISNUMBER(E245),E245,30),"")</f>
        <v/>
      </c>
      <c r="G245" s="25">
        <f>IF(D245="","",IF(ISNUMBER(D245),D245-TODAY(),"Check date"))</f>
        <v/>
      </c>
      <c r="H245" s="26">
        <f>IF(G245="","",IF(ISNUMBER(G245),IF(G245&lt;0,"Expired",IF(G245&lt;=30,"Due ≤30 days",IF(G245&lt;=90,"Due ≤90 days","OK"))),"Check date"))</f>
        <v/>
      </c>
      <c r="I245" s="21" t="n"/>
      <c r="J245" s="21" t="n"/>
      <c r="K245" s="22" t="n"/>
      <c r="L245" s="21" t="n"/>
      <c r="M245" s="21" t="n"/>
      <c r="N245" s="21" t="n"/>
      <c r="O245" s="27">
        <f>IF(B245="","",IFERROR(IF(VLOOKUP(B245,Lists!$A$2:$B$12,2,FALSE)="","",HYPERLINK(VLOOKUP(B245,Lists!$A$2:$B$12,2,FALSE),"How long valid?")),""))</f>
        <v/>
      </c>
      <c r="P245" s="21" t="n"/>
    </row>
    <row r="246">
      <c r="A246" s="21" t="n"/>
      <c r="B246" s="21" t="n"/>
      <c r="C246" s="22" t="n"/>
      <c r="D246" s="22" t="n"/>
      <c r="E246" s="23" t="n"/>
      <c r="F246" s="24">
        <f>IF(ISNUMBER(D246),D246-IF(ISNUMBER(E246),E246,30),"")</f>
        <v/>
      </c>
      <c r="G246" s="25">
        <f>IF(D246="","",IF(ISNUMBER(D246),D246-TODAY(),"Check date"))</f>
        <v/>
      </c>
      <c r="H246" s="26">
        <f>IF(G246="","",IF(ISNUMBER(G246),IF(G246&lt;0,"Expired",IF(G246&lt;=30,"Due ≤30 days",IF(G246&lt;=90,"Due ≤90 days","OK"))),"Check date"))</f>
        <v/>
      </c>
      <c r="I246" s="21" t="n"/>
      <c r="J246" s="21" t="n"/>
      <c r="K246" s="22" t="n"/>
      <c r="L246" s="21" t="n"/>
      <c r="M246" s="21" t="n"/>
      <c r="N246" s="21" t="n"/>
      <c r="O246" s="27">
        <f>IF(B246="","",IFERROR(IF(VLOOKUP(B246,Lists!$A$2:$B$12,2,FALSE)="","",HYPERLINK(VLOOKUP(B246,Lists!$A$2:$B$12,2,FALSE),"How long valid?")),""))</f>
        <v/>
      </c>
      <c r="P246" s="21" t="n"/>
    </row>
    <row r="247">
      <c r="A247" s="21" t="n"/>
      <c r="B247" s="21" t="n"/>
      <c r="C247" s="22" t="n"/>
      <c r="D247" s="22" t="n"/>
      <c r="E247" s="23" t="n"/>
      <c r="F247" s="24">
        <f>IF(ISNUMBER(D247),D247-IF(ISNUMBER(E247),E247,30),"")</f>
        <v/>
      </c>
      <c r="G247" s="25">
        <f>IF(D247="","",IF(ISNUMBER(D247),D247-TODAY(),"Check date"))</f>
        <v/>
      </c>
      <c r="H247" s="26">
        <f>IF(G247="","",IF(ISNUMBER(G247),IF(G247&lt;0,"Expired",IF(G247&lt;=30,"Due ≤30 days",IF(G247&lt;=90,"Due ≤90 days","OK"))),"Check date"))</f>
        <v/>
      </c>
      <c r="I247" s="21" t="n"/>
      <c r="J247" s="21" t="n"/>
      <c r="K247" s="22" t="n"/>
      <c r="L247" s="21" t="n"/>
      <c r="M247" s="21" t="n"/>
      <c r="N247" s="21" t="n"/>
      <c r="O247" s="27">
        <f>IF(B247="","",IFERROR(IF(VLOOKUP(B247,Lists!$A$2:$B$12,2,FALSE)="","",HYPERLINK(VLOOKUP(B247,Lists!$A$2:$B$12,2,FALSE),"How long valid?")),""))</f>
        <v/>
      </c>
      <c r="P247" s="21" t="n"/>
    </row>
    <row r="248">
      <c r="A248" s="21" t="n"/>
      <c r="B248" s="21" t="n"/>
      <c r="C248" s="22" t="n"/>
      <c r="D248" s="22" t="n"/>
      <c r="E248" s="23" t="n"/>
      <c r="F248" s="24">
        <f>IF(ISNUMBER(D248),D248-IF(ISNUMBER(E248),E248,30),"")</f>
        <v/>
      </c>
      <c r="G248" s="25">
        <f>IF(D248="","",IF(ISNUMBER(D248),D248-TODAY(),"Check date"))</f>
        <v/>
      </c>
      <c r="H248" s="26">
        <f>IF(G248="","",IF(ISNUMBER(G248),IF(G248&lt;0,"Expired",IF(G248&lt;=30,"Due ≤30 days",IF(G248&lt;=90,"Due ≤90 days","OK"))),"Check date"))</f>
        <v/>
      </c>
      <c r="I248" s="21" t="n"/>
      <c r="J248" s="21" t="n"/>
      <c r="K248" s="22" t="n"/>
      <c r="L248" s="21" t="n"/>
      <c r="M248" s="21" t="n"/>
      <c r="N248" s="21" t="n"/>
      <c r="O248" s="27">
        <f>IF(B248="","",IFERROR(IF(VLOOKUP(B248,Lists!$A$2:$B$12,2,FALSE)="","",HYPERLINK(VLOOKUP(B248,Lists!$A$2:$B$12,2,FALSE),"How long valid?")),""))</f>
        <v/>
      </c>
      <c r="P248" s="21" t="n"/>
    </row>
    <row r="249">
      <c r="A249" s="21" t="n"/>
      <c r="B249" s="21" t="n"/>
      <c r="C249" s="22" t="n"/>
      <c r="D249" s="22" t="n"/>
      <c r="E249" s="23" t="n"/>
      <c r="F249" s="24">
        <f>IF(ISNUMBER(D249),D249-IF(ISNUMBER(E249),E249,30),"")</f>
        <v/>
      </c>
      <c r="G249" s="25">
        <f>IF(D249="","",IF(ISNUMBER(D249),D249-TODAY(),"Check date"))</f>
        <v/>
      </c>
      <c r="H249" s="26">
        <f>IF(G249="","",IF(ISNUMBER(G249),IF(G249&lt;0,"Expired",IF(G249&lt;=30,"Due ≤30 days",IF(G249&lt;=90,"Due ≤90 days","OK"))),"Check date"))</f>
        <v/>
      </c>
      <c r="I249" s="21" t="n"/>
      <c r="J249" s="21" t="n"/>
      <c r="K249" s="22" t="n"/>
      <c r="L249" s="21" t="n"/>
      <c r="M249" s="21" t="n"/>
      <c r="N249" s="21" t="n"/>
      <c r="O249" s="27">
        <f>IF(B249="","",IFERROR(IF(VLOOKUP(B249,Lists!$A$2:$B$12,2,FALSE)="","",HYPERLINK(VLOOKUP(B249,Lists!$A$2:$B$12,2,FALSE),"How long valid?")),""))</f>
        <v/>
      </c>
      <c r="P249" s="21" t="n"/>
    </row>
    <row r="250">
      <c r="A250" s="21" t="n"/>
      <c r="B250" s="21" t="n"/>
      <c r="C250" s="22" t="n"/>
      <c r="D250" s="22" t="n"/>
      <c r="E250" s="23" t="n"/>
      <c r="F250" s="24">
        <f>IF(ISNUMBER(D250),D250-IF(ISNUMBER(E250),E250,30),"")</f>
        <v/>
      </c>
      <c r="G250" s="25">
        <f>IF(D250="","",IF(ISNUMBER(D250),D250-TODAY(),"Check date"))</f>
        <v/>
      </c>
      <c r="H250" s="26">
        <f>IF(G250="","",IF(ISNUMBER(G250),IF(G250&lt;0,"Expired",IF(G250&lt;=30,"Due ≤30 days",IF(G250&lt;=90,"Due ≤90 days","OK"))),"Check date"))</f>
        <v/>
      </c>
      <c r="I250" s="21" t="n"/>
      <c r="J250" s="21" t="n"/>
      <c r="K250" s="22" t="n"/>
      <c r="L250" s="21" t="n"/>
      <c r="M250" s="21" t="n"/>
      <c r="N250" s="21" t="n"/>
      <c r="O250" s="27">
        <f>IF(B250="","",IFERROR(IF(VLOOKUP(B250,Lists!$A$2:$B$12,2,FALSE)="","",HYPERLINK(VLOOKUP(B250,Lists!$A$2:$B$12,2,FALSE),"How long valid?")),""))</f>
        <v/>
      </c>
      <c r="P250" s="21" t="n"/>
    </row>
    <row r="251">
      <c r="A251" s="21" t="n"/>
      <c r="B251" s="21" t="n"/>
      <c r="C251" s="22" t="n"/>
      <c r="D251" s="22" t="n"/>
      <c r="E251" s="23" t="n"/>
      <c r="F251" s="24">
        <f>IF(ISNUMBER(D251),D251-IF(ISNUMBER(E251),E251,30),"")</f>
        <v/>
      </c>
      <c r="G251" s="25">
        <f>IF(D251="","",IF(ISNUMBER(D251),D251-TODAY(),"Check date"))</f>
        <v/>
      </c>
      <c r="H251" s="26">
        <f>IF(G251="","",IF(ISNUMBER(G251),IF(G251&lt;0,"Expired",IF(G251&lt;=30,"Due ≤30 days",IF(G251&lt;=90,"Due ≤90 days","OK"))),"Check date"))</f>
        <v/>
      </c>
      <c r="I251" s="21" t="n"/>
      <c r="J251" s="21" t="n"/>
      <c r="K251" s="22" t="n"/>
      <c r="L251" s="21" t="n"/>
      <c r="M251" s="21" t="n"/>
      <c r="N251" s="21" t="n"/>
      <c r="O251" s="27">
        <f>IF(B251="","",IFERROR(IF(VLOOKUP(B251,Lists!$A$2:$B$12,2,FALSE)="","",HYPERLINK(VLOOKUP(B251,Lists!$A$2:$B$12,2,FALSE),"How long valid?")),""))</f>
        <v/>
      </c>
      <c r="P251" s="21" t="n"/>
    </row>
    <row r="252">
      <c r="A252" s="21" t="n"/>
      <c r="B252" s="21" t="n"/>
      <c r="C252" s="22" t="n"/>
      <c r="D252" s="22" t="n"/>
      <c r="E252" s="23" t="n"/>
      <c r="F252" s="24">
        <f>IF(ISNUMBER(D252),D252-IF(ISNUMBER(E252),E252,30),"")</f>
        <v/>
      </c>
      <c r="G252" s="25">
        <f>IF(D252="","",IF(ISNUMBER(D252),D252-TODAY(),"Check date"))</f>
        <v/>
      </c>
      <c r="H252" s="26">
        <f>IF(G252="","",IF(ISNUMBER(G252),IF(G252&lt;0,"Expired",IF(G252&lt;=30,"Due ≤30 days",IF(G252&lt;=90,"Due ≤90 days","OK"))),"Check date"))</f>
        <v/>
      </c>
      <c r="I252" s="21" t="n"/>
      <c r="J252" s="21" t="n"/>
      <c r="K252" s="22" t="n"/>
      <c r="L252" s="21" t="n"/>
      <c r="M252" s="21" t="n"/>
      <c r="N252" s="21" t="n"/>
      <c r="O252" s="27">
        <f>IF(B252="","",IFERROR(IF(VLOOKUP(B252,Lists!$A$2:$B$12,2,FALSE)="","",HYPERLINK(VLOOKUP(B252,Lists!$A$2:$B$12,2,FALSE),"How long valid?")),""))</f>
        <v/>
      </c>
      <c r="P252" s="21" t="n"/>
    </row>
    <row r="253">
      <c r="A253" s="21" t="n"/>
      <c r="B253" s="21" t="n"/>
      <c r="C253" s="22" t="n"/>
      <c r="D253" s="22" t="n"/>
      <c r="E253" s="23" t="n"/>
      <c r="F253" s="24">
        <f>IF(ISNUMBER(D253),D253-IF(ISNUMBER(E253),E253,30),"")</f>
        <v/>
      </c>
      <c r="G253" s="25">
        <f>IF(D253="","",IF(ISNUMBER(D253),D253-TODAY(),"Check date"))</f>
        <v/>
      </c>
      <c r="H253" s="26">
        <f>IF(G253="","",IF(ISNUMBER(G253),IF(G253&lt;0,"Expired",IF(G253&lt;=30,"Due ≤30 days",IF(G253&lt;=90,"Due ≤90 days","OK"))),"Check date"))</f>
        <v/>
      </c>
      <c r="I253" s="21" t="n"/>
      <c r="J253" s="21" t="n"/>
      <c r="K253" s="22" t="n"/>
      <c r="L253" s="21" t="n"/>
      <c r="M253" s="21" t="n"/>
      <c r="N253" s="21" t="n"/>
      <c r="O253" s="27">
        <f>IF(B253="","",IFERROR(IF(VLOOKUP(B253,Lists!$A$2:$B$12,2,FALSE)="","",HYPERLINK(VLOOKUP(B253,Lists!$A$2:$B$12,2,FALSE),"How long valid?")),""))</f>
        <v/>
      </c>
      <c r="P253" s="21" t="n"/>
    </row>
    <row r="254">
      <c r="A254" s="21" t="n"/>
      <c r="B254" s="21" t="n"/>
      <c r="C254" s="22" t="n"/>
      <c r="D254" s="22" t="n"/>
      <c r="E254" s="23" t="n"/>
      <c r="F254" s="24">
        <f>IF(ISNUMBER(D254),D254-IF(ISNUMBER(E254),E254,30),"")</f>
        <v/>
      </c>
      <c r="G254" s="25">
        <f>IF(D254="","",IF(ISNUMBER(D254),D254-TODAY(),"Check date"))</f>
        <v/>
      </c>
      <c r="H254" s="26">
        <f>IF(G254="","",IF(ISNUMBER(G254),IF(G254&lt;0,"Expired",IF(G254&lt;=30,"Due ≤30 days",IF(G254&lt;=90,"Due ≤90 days","OK"))),"Check date"))</f>
        <v/>
      </c>
      <c r="I254" s="21" t="n"/>
      <c r="J254" s="21" t="n"/>
      <c r="K254" s="22" t="n"/>
      <c r="L254" s="21" t="n"/>
      <c r="M254" s="21" t="n"/>
      <c r="N254" s="21" t="n"/>
      <c r="O254" s="27">
        <f>IF(B254="","",IFERROR(IF(VLOOKUP(B254,Lists!$A$2:$B$12,2,FALSE)="","",HYPERLINK(VLOOKUP(B254,Lists!$A$2:$B$12,2,FALSE),"How long valid?")),""))</f>
        <v/>
      </c>
      <c r="P254" s="21" t="n"/>
    </row>
    <row r="255">
      <c r="A255" s="21" t="n"/>
      <c r="B255" s="21" t="n"/>
      <c r="C255" s="22" t="n"/>
      <c r="D255" s="22" t="n"/>
      <c r="E255" s="23" t="n"/>
      <c r="F255" s="24">
        <f>IF(ISNUMBER(D255),D255-IF(ISNUMBER(E255),E255,30),"")</f>
        <v/>
      </c>
      <c r="G255" s="25">
        <f>IF(D255="","",IF(ISNUMBER(D255),D255-TODAY(),"Check date"))</f>
        <v/>
      </c>
      <c r="H255" s="26">
        <f>IF(G255="","",IF(ISNUMBER(G255),IF(G255&lt;0,"Expired",IF(G255&lt;=30,"Due ≤30 days",IF(G255&lt;=90,"Due ≤90 days","OK"))),"Check date"))</f>
        <v/>
      </c>
      <c r="I255" s="21" t="n"/>
      <c r="J255" s="21" t="n"/>
      <c r="K255" s="22" t="n"/>
      <c r="L255" s="21" t="n"/>
      <c r="M255" s="21" t="n"/>
      <c r="N255" s="21" t="n"/>
      <c r="O255" s="27">
        <f>IF(B255="","",IFERROR(IF(VLOOKUP(B255,Lists!$A$2:$B$12,2,FALSE)="","",HYPERLINK(VLOOKUP(B255,Lists!$A$2:$B$12,2,FALSE),"How long valid?")),""))</f>
        <v/>
      </c>
      <c r="P255" s="21" t="n"/>
    </row>
    <row r="256">
      <c r="A256" s="21" t="n"/>
      <c r="B256" s="21" t="n"/>
      <c r="C256" s="22" t="n"/>
      <c r="D256" s="22" t="n"/>
      <c r="E256" s="23" t="n"/>
      <c r="F256" s="24">
        <f>IF(ISNUMBER(D256),D256-IF(ISNUMBER(E256),E256,30),"")</f>
        <v/>
      </c>
      <c r="G256" s="25">
        <f>IF(D256="","",IF(ISNUMBER(D256),D256-TODAY(),"Check date"))</f>
        <v/>
      </c>
      <c r="H256" s="26">
        <f>IF(G256="","",IF(ISNUMBER(G256),IF(G256&lt;0,"Expired",IF(G256&lt;=30,"Due ≤30 days",IF(G256&lt;=90,"Due ≤90 days","OK"))),"Check date"))</f>
        <v/>
      </c>
      <c r="I256" s="21" t="n"/>
      <c r="J256" s="21" t="n"/>
      <c r="K256" s="22" t="n"/>
      <c r="L256" s="21" t="n"/>
      <c r="M256" s="21" t="n"/>
      <c r="N256" s="21" t="n"/>
      <c r="O256" s="27">
        <f>IF(B256="","",IFERROR(IF(VLOOKUP(B256,Lists!$A$2:$B$12,2,FALSE)="","",HYPERLINK(VLOOKUP(B256,Lists!$A$2:$B$12,2,FALSE),"How long valid?")),""))</f>
        <v/>
      </c>
      <c r="P256" s="21" t="n"/>
    </row>
    <row r="257">
      <c r="A257" s="21" t="n"/>
      <c r="B257" s="21" t="n"/>
      <c r="C257" s="22" t="n"/>
      <c r="D257" s="22" t="n"/>
      <c r="E257" s="23" t="n"/>
      <c r="F257" s="24">
        <f>IF(ISNUMBER(D257),D257-IF(ISNUMBER(E257),E257,30),"")</f>
        <v/>
      </c>
      <c r="G257" s="25">
        <f>IF(D257="","",IF(ISNUMBER(D257),D257-TODAY(),"Check date"))</f>
        <v/>
      </c>
      <c r="H257" s="26">
        <f>IF(G257="","",IF(ISNUMBER(G257),IF(G257&lt;0,"Expired",IF(G257&lt;=30,"Due ≤30 days",IF(G257&lt;=90,"Due ≤90 days","OK"))),"Check date"))</f>
        <v/>
      </c>
      <c r="I257" s="21" t="n"/>
      <c r="J257" s="21" t="n"/>
      <c r="K257" s="22" t="n"/>
      <c r="L257" s="21" t="n"/>
      <c r="M257" s="21" t="n"/>
      <c r="N257" s="21" t="n"/>
      <c r="O257" s="27">
        <f>IF(B257="","",IFERROR(IF(VLOOKUP(B257,Lists!$A$2:$B$12,2,FALSE)="","",HYPERLINK(VLOOKUP(B257,Lists!$A$2:$B$12,2,FALSE),"How long valid?")),""))</f>
        <v/>
      </c>
      <c r="P257" s="21" t="n"/>
    </row>
    <row r="258">
      <c r="A258" s="21" t="n"/>
      <c r="B258" s="21" t="n"/>
      <c r="C258" s="22" t="n"/>
      <c r="D258" s="22" t="n"/>
      <c r="E258" s="23" t="n"/>
      <c r="F258" s="24">
        <f>IF(ISNUMBER(D258),D258-IF(ISNUMBER(E258),E258,30),"")</f>
        <v/>
      </c>
      <c r="G258" s="25">
        <f>IF(D258="","",IF(ISNUMBER(D258),D258-TODAY(),"Check date"))</f>
        <v/>
      </c>
      <c r="H258" s="26">
        <f>IF(G258="","",IF(ISNUMBER(G258),IF(G258&lt;0,"Expired",IF(G258&lt;=30,"Due ≤30 days",IF(G258&lt;=90,"Due ≤90 days","OK"))),"Check date"))</f>
        <v/>
      </c>
      <c r="I258" s="21" t="n"/>
      <c r="J258" s="21" t="n"/>
      <c r="K258" s="22" t="n"/>
      <c r="L258" s="21" t="n"/>
      <c r="M258" s="21" t="n"/>
      <c r="N258" s="21" t="n"/>
      <c r="O258" s="27">
        <f>IF(B258="","",IFERROR(IF(VLOOKUP(B258,Lists!$A$2:$B$12,2,FALSE)="","",HYPERLINK(VLOOKUP(B258,Lists!$A$2:$B$12,2,FALSE),"How long valid?")),""))</f>
        <v/>
      </c>
      <c r="P258" s="21" t="n"/>
    </row>
    <row r="259">
      <c r="A259" s="21" t="n"/>
      <c r="B259" s="21" t="n"/>
      <c r="C259" s="22" t="n"/>
      <c r="D259" s="22" t="n"/>
      <c r="E259" s="23" t="n"/>
      <c r="F259" s="24">
        <f>IF(ISNUMBER(D259),D259-IF(ISNUMBER(E259),E259,30),"")</f>
        <v/>
      </c>
      <c r="G259" s="25">
        <f>IF(D259="","",IF(ISNUMBER(D259),D259-TODAY(),"Check date"))</f>
        <v/>
      </c>
      <c r="H259" s="26">
        <f>IF(G259="","",IF(ISNUMBER(G259),IF(G259&lt;0,"Expired",IF(G259&lt;=30,"Due ≤30 days",IF(G259&lt;=90,"Due ≤90 days","OK"))),"Check date"))</f>
        <v/>
      </c>
      <c r="I259" s="21" t="n"/>
      <c r="J259" s="21" t="n"/>
      <c r="K259" s="22" t="n"/>
      <c r="L259" s="21" t="n"/>
      <c r="M259" s="21" t="n"/>
      <c r="N259" s="21" t="n"/>
      <c r="O259" s="27">
        <f>IF(B259="","",IFERROR(IF(VLOOKUP(B259,Lists!$A$2:$B$12,2,FALSE)="","",HYPERLINK(VLOOKUP(B259,Lists!$A$2:$B$12,2,FALSE),"How long valid?")),""))</f>
        <v/>
      </c>
      <c r="P259" s="21" t="n"/>
    </row>
    <row r="260">
      <c r="A260" s="21" t="n"/>
      <c r="B260" s="21" t="n"/>
      <c r="C260" s="22" t="n"/>
      <c r="D260" s="22" t="n"/>
      <c r="E260" s="23" t="n"/>
      <c r="F260" s="24">
        <f>IF(ISNUMBER(D260),D260-IF(ISNUMBER(E260),E260,30),"")</f>
        <v/>
      </c>
      <c r="G260" s="25">
        <f>IF(D260="","",IF(ISNUMBER(D260),D260-TODAY(),"Check date"))</f>
        <v/>
      </c>
      <c r="H260" s="26">
        <f>IF(G260="","",IF(ISNUMBER(G260),IF(G260&lt;0,"Expired",IF(G260&lt;=30,"Due ≤30 days",IF(G260&lt;=90,"Due ≤90 days","OK"))),"Check date"))</f>
        <v/>
      </c>
      <c r="I260" s="21" t="n"/>
      <c r="J260" s="21" t="n"/>
      <c r="K260" s="22" t="n"/>
      <c r="L260" s="21" t="n"/>
      <c r="M260" s="21" t="n"/>
      <c r="N260" s="21" t="n"/>
      <c r="O260" s="27">
        <f>IF(B260="","",IFERROR(IF(VLOOKUP(B260,Lists!$A$2:$B$12,2,FALSE)="","",HYPERLINK(VLOOKUP(B260,Lists!$A$2:$B$12,2,FALSE),"How long valid?")),""))</f>
        <v/>
      </c>
      <c r="P260" s="21" t="n"/>
    </row>
    <row r="261">
      <c r="A261" s="21" t="n"/>
      <c r="B261" s="21" t="n"/>
      <c r="C261" s="22" t="n"/>
      <c r="D261" s="22" t="n"/>
      <c r="E261" s="23" t="n"/>
      <c r="F261" s="24">
        <f>IF(ISNUMBER(D261),D261-IF(ISNUMBER(E261),E261,30),"")</f>
        <v/>
      </c>
      <c r="G261" s="25">
        <f>IF(D261="","",IF(ISNUMBER(D261),D261-TODAY(),"Check date"))</f>
        <v/>
      </c>
      <c r="H261" s="26">
        <f>IF(G261="","",IF(ISNUMBER(G261),IF(G261&lt;0,"Expired",IF(G261&lt;=30,"Due ≤30 days",IF(G261&lt;=90,"Due ≤90 days","OK"))),"Check date"))</f>
        <v/>
      </c>
      <c r="I261" s="21" t="n"/>
      <c r="J261" s="21" t="n"/>
      <c r="K261" s="22" t="n"/>
      <c r="L261" s="21" t="n"/>
      <c r="M261" s="21" t="n"/>
      <c r="N261" s="21" t="n"/>
      <c r="O261" s="27">
        <f>IF(B261="","",IFERROR(IF(VLOOKUP(B261,Lists!$A$2:$B$12,2,FALSE)="","",HYPERLINK(VLOOKUP(B261,Lists!$A$2:$B$12,2,FALSE),"How long valid?")),""))</f>
        <v/>
      </c>
      <c r="P261" s="21" t="n"/>
    </row>
    <row r="262">
      <c r="A262" s="21" t="n"/>
      <c r="B262" s="21" t="n"/>
      <c r="C262" s="22" t="n"/>
      <c r="D262" s="22" t="n"/>
      <c r="E262" s="23" t="n"/>
      <c r="F262" s="24">
        <f>IF(ISNUMBER(D262),D262-IF(ISNUMBER(E262),E262,30),"")</f>
        <v/>
      </c>
      <c r="G262" s="25">
        <f>IF(D262="","",IF(ISNUMBER(D262),D262-TODAY(),"Check date"))</f>
        <v/>
      </c>
      <c r="H262" s="26">
        <f>IF(G262="","",IF(ISNUMBER(G262),IF(G262&lt;0,"Expired",IF(G262&lt;=30,"Due ≤30 days",IF(G262&lt;=90,"Due ≤90 days","OK"))),"Check date"))</f>
        <v/>
      </c>
      <c r="I262" s="21" t="n"/>
      <c r="J262" s="21" t="n"/>
      <c r="K262" s="22" t="n"/>
      <c r="L262" s="21" t="n"/>
      <c r="M262" s="21" t="n"/>
      <c r="N262" s="21" t="n"/>
      <c r="O262" s="27">
        <f>IF(B262="","",IFERROR(IF(VLOOKUP(B262,Lists!$A$2:$B$12,2,FALSE)="","",HYPERLINK(VLOOKUP(B262,Lists!$A$2:$B$12,2,FALSE),"How long valid?")),""))</f>
        <v/>
      </c>
      <c r="P262" s="21" t="n"/>
    </row>
    <row r="263">
      <c r="A263" s="21" t="n"/>
      <c r="B263" s="21" t="n"/>
      <c r="C263" s="22" t="n"/>
      <c r="D263" s="22" t="n"/>
      <c r="E263" s="23" t="n"/>
      <c r="F263" s="24">
        <f>IF(ISNUMBER(D263),D263-IF(ISNUMBER(E263),E263,30),"")</f>
        <v/>
      </c>
      <c r="G263" s="25">
        <f>IF(D263="","",IF(ISNUMBER(D263),D263-TODAY(),"Check date"))</f>
        <v/>
      </c>
      <c r="H263" s="26">
        <f>IF(G263="","",IF(ISNUMBER(G263),IF(G263&lt;0,"Expired",IF(G263&lt;=30,"Due ≤30 days",IF(G263&lt;=90,"Due ≤90 days","OK"))),"Check date"))</f>
        <v/>
      </c>
      <c r="I263" s="21" t="n"/>
      <c r="J263" s="21" t="n"/>
      <c r="K263" s="22" t="n"/>
      <c r="L263" s="21" t="n"/>
      <c r="M263" s="21" t="n"/>
      <c r="N263" s="21" t="n"/>
      <c r="O263" s="27">
        <f>IF(B263="","",IFERROR(IF(VLOOKUP(B263,Lists!$A$2:$B$12,2,FALSE)="","",HYPERLINK(VLOOKUP(B263,Lists!$A$2:$B$12,2,FALSE),"How long valid?")),""))</f>
        <v/>
      </c>
      <c r="P263" s="21" t="n"/>
    </row>
    <row r="264">
      <c r="A264" s="21" t="n"/>
      <c r="B264" s="21" t="n"/>
      <c r="C264" s="22" t="n"/>
      <c r="D264" s="22" t="n"/>
      <c r="E264" s="23" t="n"/>
      <c r="F264" s="24">
        <f>IF(ISNUMBER(D264),D264-IF(ISNUMBER(E264),E264,30),"")</f>
        <v/>
      </c>
      <c r="G264" s="25">
        <f>IF(D264="","",IF(ISNUMBER(D264),D264-TODAY(),"Check date"))</f>
        <v/>
      </c>
      <c r="H264" s="26">
        <f>IF(G264="","",IF(ISNUMBER(G264),IF(G264&lt;0,"Expired",IF(G264&lt;=30,"Due ≤30 days",IF(G264&lt;=90,"Due ≤90 days","OK"))),"Check date"))</f>
        <v/>
      </c>
      <c r="I264" s="21" t="n"/>
      <c r="J264" s="21" t="n"/>
      <c r="K264" s="22" t="n"/>
      <c r="L264" s="21" t="n"/>
      <c r="M264" s="21" t="n"/>
      <c r="N264" s="21" t="n"/>
      <c r="O264" s="27">
        <f>IF(B264="","",IFERROR(IF(VLOOKUP(B264,Lists!$A$2:$B$12,2,FALSE)="","",HYPERLINK(VLOOKUP(B264,Lists!$A$2:$B$12,2,FALSE),"How long valid?")),""))</f>
        <v/>
      </c>
      <c r="P264" s="21" t="n"/>
    </row>
    <row r="265">
      <c r="A265" s="21" t="n"/>
      <c r="B265" s="21" t="n"/>
      <c r="C265" s="22" t="n"/>
      <c r="D265" s="22" t="n"/>
      <c r="E265" s="23" t="n"/>
      <c r="F265" s="24">
        <f>IF(ISNUMBER(D265),D265-IF(ISNUMBER(E265),E265,30),"")</f>
        <v/>
      </c>
      <c r="G265" s="25">
        <f>IF(D265="","",IF(ISNUMBER(D265),D265-TODAY(),"Check date"))</f>
        <v/>
      </c>
      <c r="H265" s="26">
        <f>IF(G265="","",IF(ISNUMBER(G265),IF(G265&lt;0,"Expired",IF(G265&lt;=30,"Due ≤30 days",IF(G265&lt;=90,"Due ≤90 days","OK"))),"Check date"))</f>
        <v/>
      </c>
      <c r="I265" s="21" t="n"/>
      <c r="J265" s="21" t="n"/>
      <c r="K265" s="22" t="n"/>
      <c r="L265" s="21" t="n"/>
      <c r="M265" s="21" t="n"/>
      <c r="N265" s="21" t="n"/>
      <c r="O265" s="27">
        <f>IF(B265="","",IFERROR(IF(VLOOKUP(B265,Lists!$A$2:$B$12,2,FALSE)="","",HYPERLINK(VLOOKUP(B265,Lists!$A$2:$B$12,2,FALSE),"How long valid?")),""))</f>
        <v/>
      </c>
      <c r="P265" s="21" t="n"/>
    </row>
    <row r="266">
      <c r="A266" s="21" t="n"/>
      <c r="B266" s="21" t="n"/>
      <c r="C266" s="22" t="n"/>
      <c r="D266" s="22" t="n"/>
      <c r="E266" s="23" t="n"/>
      <c r="F266" s="24">
        <f>IF(ISNUMBER(D266),D266-IF(ISNUMBER(E266),E266,30),"")</f>
        <v/>
      </c>
      <c r="G266" s="25">
        <f>IF(D266="","",IF(ISNUMBER(D266),D266-TODAY(),"Check date"))</f>
        <v/>
      </c>
      <c r="H266" s="26">
        <f>IF(G266="","",IF(ISNUMBER(G266),IF(G266&lt;0,"Expired",IF(G266&lt;=30,"Due ≤30 days",IF(G266&lt;=90,"Due ≤90 days","OK"))),"Check date"))</f>
        <v/>
      </c>
      <c r="I266" s="21" t="n"/>
      <c r="J266" s="21" t="n"/>
      <c r="K266" s="22" t="n"/>
      <c r="L266" s="21" t="n"/>
      <c r="M266" s="21" t="n"/>
      <c r="N266" s="21" t="n"/>
      <c r="O266" s="27">
        <f>IF(B266="","",IFERROR(IF(VLOOKUP(B266,Lists!$A$2:$B$12,2,FALSE)="","",HYPERLINK(VLOOKUP(B266,Lists!$A$2:$B$12,2,FALSE),"How long valid?")),""))</f>
        <v/>
      </c>
      <c r="P266" s="21" t="n"/>
    </row>
    <row r="267">
      <c r="A267" s="21" t="n"/>
      <c r="B267" s="21" t="n"/>
      <c r="C267" s="22" t="n"/>
      <c r="D267" s="22" t="n"/>
      <c r="E267" s="23" t="n"/>
      <c r="F267" s="24">
        <f>IF(ISNUMBER(D267),D267-IF(ISNUMBER(E267),E267,30),"")</f>
        <v/>
      </c>
      <c r="G267" s="25">
        <f>IF(D267="","",IF(ISNUMBER(D267),D267-TODAY(),"Check date"))</f>
        <v/>
      </c>
      <c r="H267" s="26">
        <f>IF(G267="","",IF(ISNUMBER(G267),IF(G267&lt;0,"Expired",IF(G267&lt;=30,"Due ≤30 days",IF(G267&lt;=90,"Due ≤90 days","OK"))),"Check date"))</f>
        <v/>
      </c>
      <c r="I267" s="21" t="n"/>
      <c r="J267" s="21" t="n"/>
      <c r="K267" s="22" t="n"/>
      <c r="L267" s="21" t="n"/>
      <c r="M267" s="21" t="n"/>
      <c r="N267" s="21" t="n"/>
      <c r="O267" s="27">
        <f>IF(B267="","",IFERROR(IF(VLOOKUP(B267,Lists!$A$2:$B$12,2,FALSE)="","",HYPERLINK(VLOOKUP(B267,Lists!$A$2:$B$12,2,FALSE),"How long valid?")),""))</f>
        <v/>
      </c>
      <c r="P267" s="21" t="n"/>
    </row>
    <row r="268">
      <c r="A268" s="21" t="n"/>
      <c r="B268" s="21" t="n"/>
      <c r="C268" s="22" t="n"/>
      <c r="D268" s="22" t="n"/>
      <c r="E268" s="23" t="n"/>
      <c r="F268" s="24">
        <f>IF(ISNUMBER(D268),D268-IF(ISNUMBER(E268),E268,30),"")</f>
        <v/>
      </c>
      <c r="G268" s="25">
        <f>IF(D268="","",IF(ISNUMBER(D268),D268-TODAY(),"Check date"))</f>
        <v/>
      </c>
      <c r="H268" s="26">
        <f>IF(G268="","",IF(ISNUMBER(G268),IF(G268&lt;0,"Expired",IF(G268&lt;=30,"Due ≤30 days",IF(G268&lt;=90,"Due ≤90 days","OK"))),"Check date"))</f>
        <v/>
      </c>
      <c r="I268" s="21" t="n"/>
      <c r="J268" s="21" t="n"/>
      <c r="K268" s="22" t="n"/>
      <c r="L268" s="21" t="n"/>
      <c r="M268" s="21" t="n"/>
      <c r="N268" s="21" t="n"/>
      <c r="O268" s="27">
        <f>IF(B268="","",IFERROR(IF(VLOOKUP(B268,Lists!$A$2:$B$12,2,FALSE)="","",HYPERLINK(VLOOKUP(B268,Lists!$A$2:$B$12,2,FALSE),"How long valid?")),""))</f>
        <v/>
      </c>
      <c r="P268" s="21" t="n"/>
    </row>
    <row r="269">
      <c r="A269" s="21" t="n"/>
      <c r="B269" s="21" t="n"/>
      <c r="C269" s="22" t="n"/>
      <c r="D269" s="22" t="n"/>
      <c r="E269" s="23" t="n"/>
      <c r="F269" s="24">
        <f>IF(ISNUMBER(D269),D269-IF(ISNUMBER(E269),E269,30),"")</f>
        <v/>
      </c>
      <c r="G269" s="25">
        <f>IF(D269="","",IF(ISNUMBER(D269),D269-TODAY(),"Check date"))</f>
        <v/>
      </c>
      <c r="H269" s="26">
        <f>IF(G269="","",IF(ISNUMBER(G269),IF(G269&lt;0,"Expired",IF(G269&lt;=30,"Due ≤30 days",IF(G269&lt;=90,"Due ≤90 days","OK"))),"Check date"))</f>
        <v/>
      </c>
      <c r="I269" s="21" t="n"/>
      <c r="J269" s="21" t="n"/>
      <c r="K269" s="22" t="n"/>
      <c r="L269" s="21" t="n"/>
      <c r="M269" s="21" t="n"/>
      <c r="N269" s="21" t="n"/>
      <c r="O269" s="27">
        <f>IF(B269="","",IFERROR(IF(VLOOKUP(B269,Lists!$A$2:$B$12,2,FALSE)="","",HYPERLINK(VLOOKUP(B269,Lists!$A$2:$B$12,2,FALSE),"How long valid?")),""))</f>
        <v/>
      </c>
      <c r="P269" s="21" t="n"/>
    </row>
    <row r="270">
      <c r="A270" s="21" t="n"/>
      <c r="B270" s="21" t="n"/>
      <c r="C270" s="22" t="n"/>
      <c r="D270" s="22" t="n"/>
      <c r="E270" s="23" t="n"/>
      <c r="F270" s="24">
        <f>IF(ISNUMBER(D270),D270-IF(ISNUMBER(E270),E270,30),"")</f>
        <v/>
      </c>
      <c r="G270" s="25">
        <f>IF(D270="","",IF(ISNUMBER(D270),D270-TODAY(),"Check date"))</f>
        <v/>
      </c>
      <c r="H270" s="26">
        <f>IF(G270="","",IF(ISNUMBER(G270),IF(G270&lt;0,"Expired",IF(G270&lt;=30,"Due ≤30 days",IF(G270&lt;=90,"Due ≤90 days","OK"))),"Check date"))</f>
        <v/>
      </c>
      <c r="I270" s="21" t="n"/>
      <c r="J270" s="21" t="n"/>
      <c r="K270" s="22" t="n"/>
      <c r="L270" s="21" t="n"/>
      <c r="M270" s="21" t="n"/>
      <c r="N270" s="21" t="n"/>
      <c r="O270" s="27">
        <f>IF(B270="","",IFERROR(IF(VLOOKUP(B270,Lists!$A$2:$B$12,2,FALSE)="","",HYPERLINK(VLOOKUP(B270,Lists!$A$2:$B$12,2,FALSE),"How long valid?")),""))</f>
        <v/>
      </c>
      <c r="P270" s="21" t="n"/>
    </row>
    <row r="271">
      <c r="A271" s="21" t="n"/>
      <c r="B271" s="21" t="n"/>
      <c r="C271" s="22" t="n"/>
      <c r="D271" s="22" t="n"/>
      <c r="E271" s="23" t="n"/>
      <c r="F271" s="24">
        <f>IF(ISNUMBER(D271),D271-IF(ISNUMBER(E271),E271,30),"")</f>
        <v/>
      </c>
      <c r="G271" s="25">
        <f>IF(D271="","",IF(ISNUMBER(D271),D271-TODAY(),"Check date"))</f>
        <v/>
      </c>
      <c r="H271" s="26">
        <f>IF(G271="","",IF(ISNUMBER(G271),IF(G271&lt;0,"Expired",IF(G271&lt;=30,"Due ≤30 days",IF(G271&lt;=90,"Due ≤90 days","OK"))),"Check date"))</f>
        <v/>
      </c>
      <c r="I271" s="21" t="n"/>
      <c r="J271" s="21" t="n"/>
      <c r="K271" s="22" t="n"/>
      <c r="L271" s="21" t="n"/>
      <c r="M271" s="21" t="n"/>
      <c r="N271" s="21" t="n"/>
      <c r="O271" s="27">
        <f>IF(B271="","",IFERROR(IF(VLOOKUP(B271,Lists!$A$2:$B$12,2,FALSE)="","",HYPERLINK(VLOOKUP(B271,Lists!$A$2:$B$12,2,FALSE),"How long valid?")),""))</f>
        <v/>
      </c>
      <c r="P271" s="21" t="n"/>
    </row>
    <row r="272">
      <c r="A272" s="21" t="n"/>
      <c r="B272" s="21" t="n"/>
      <c r="C272" s="22" t="n"/>
      <c r="D272" s="22" t="n"/>
      <c r="E272" s="23" t="n"/>
      <c r="F272" s="24">
        <f>IF(ISNUMBER(D272),D272-IF(ISNUMBER(E272),E272,30),"")</f>
        <v/>
      </c>
      <c r="G272" s="25">
        <f>IF(D272="","",IF(ISNUMBER(D272),D272-TODAY(),"Check date"))</f>
        <v/>
      </c>
      <c r="H272" s="26">
        <f>IF(G272="","",IF(ISNUMBER(G272),IF(G272&lt;0,"Expired",IF(G272&lt;=30,"Due ≤30 days",IF(G272&lt;=90,"Due ≤90 days","OK"))),"Check date"))</f>
        <v/>
      </c>
      <c r="I272" s="21" t="n"/>
      <c r="J272" s="21" t="n"/>
      <c r="K272" s="22" t="n"/>
      <c r="L272" s="21" t="n"/>
      <c r="M272" s="21" t="n"/>
      <c r="N272" s="21" t="n"/>
      <c r="O272" s="27">
        <f>IF(B272="","",IFERROR(IF(VLOOKUP(B272,Lists!$A$2:$B$12,2,FALSE)="","",HYPERLINK(VLOOKUP(B272,Lists!$A$2:$B$12,2,FALSE),"How long valid?")),""))</f>
        <v/>
      </c>
      <c r="P272" s="21" t="n"/>
    </row>
    <row r="273">
      <c r="A273" s="21" t="n"/>
      <c r="B273" s="21" t="n"/>
      <c r="C273" s="22" t="n"/>
      <c r="D273" s="22" t="n"/>
      <c r="E273" s="23" t="n"/>
      <c r="F273" s="24">
        <f>IF(ISNUMBER(D273),D273-IF(ISNUMBER(E273),E273,30),"")</f>
        <v/>
      </c>
      <c r="G273" s="25">
        <f>IF(D273="","",IF(ISNUMBER(D273),D273-TODAY(),"Check date"))</f>
        <v/>
      </c>
      <c r="H273" s="26">
        <f>IF(G273="","",IF(ISNUMBER(G273),IF(G273&lt;0,"Expired",IF(G273&lt;=30,"Due ≤30 days",IF(G273&lt;=90,"Due ≤90 days","OK"))),"Check date"))</f>
        <v/>
      </c>
      <c r="I273" s="21" t="n"/>
      <c r="J273" s="21" t="n"/>
      <c r="K273" s="22" t="n"/>
      <c r="L273" s="21" t="n"/>
      <c r="M273" s="21" t="n"/>
      <c r="N273" s="21" t="n"/>
      <c r="O273" s="27">
        <f>IF(B273="","",IFERROR(IF(VLOOKUP(B273,Lists!$A$2:$B$12,2,FALSE)="","",HYPERLINK(VLOOKUP(B273,Lists!$A$2:$B$12,2,FALSE),"How long valid?")),""))</f>
        <v/>
      </c>
      <c r="P273" s="21" t="n"/>
    </row>
    <row r="274">
      <c r="A274" s="21" t="n"/>
      <c r="B274" s="21" t="n"/>
      <c r="C274" s="22" t="n"/>
      <c r="D274" s="22" t="n"/>
      <c r="E274" s="23" t="n"/>
      <c r="F274" s="24">
        <f>IF(ISNUMBER(D274),D274-IF(ISNUMBER(E274),E274,30),"")</f>
        <v/>
      </c>
      <c r="G274" s="25">
        <f>IF(D274="","",IF(ISNUMBER(D274),D274-TODAY(),"Check date"))</f>
        <v/>
      </c>
      <c r="H274" s="26">
        <f>IF(G274="","",IF(ISNUMBER(G274),IF(G274&lt;0,"Expired",IF(G274&lt;=30,"Due ≤30 days",IF(G274&lt;=90,"Due ≤90 days","OK"))),"Check date"))</f>
        <v/>
      </c>
      <c r="I274" s="21" t="n"/>
      <c r="J274" s="21" t="n"/>
      <c r="K274" s="22" t="n"/>
      <c r="L274" s="21" t="n"/>
      <c r="M274" s="21" t="n"/>
      <c r="N274" s="21" t="n"/>
      <c r="O274" s="27">
        <f>IF(B274="","",IFERROR(IF(VLOOKUP(B274,Lists!$A$2:$B$12,2,FALSE)="","",HYPERLINK(VLOOKUP(B274,Lists!$A$2:$B$12,2,FALSE),"How long valid?")),""))</f>
        <v/>
      </c>
      <c r="P274" s="21" t="n"/>
    </row>
    <row r="275">
      <c r="A275" s="21" t="n"/>
      <c r="B275" s="21" t="n"/>
      <c r="C275" s="22" t="n"/>
      <c r="D275" s="22" t="n"/>
      <c r="E275" s="23" t="n"/>
      <c r="F275" s="24">
        <f>IF(ISNUMBER(D275),D275-IF(ISNUMBER(E275),E275,30),"")</f>
        <v/>
      </c>
      <c r="G275" s="25">
        <f>IF(D275="","",IF(ISNUMBER(D275),D275-TODAY(),"Check date"))</f>
        <v/>
      </c>
      <c r="H275" s="26">
        <f>IF(G275="","",IF(ISNUMBER(G275),IF(G275&lt;0,"Expired",IF(G275&lt;=30,"Due ≤30 days",IF(G275&lt;=90,"Due ≤90 days","OK"))),"Check date"))</f>
        <v/>
      </c>
      <c r="I275" s="21" t="n"/>
      <c r="J275" s="21" t="n"/>
      <c r="K275" s="22" t="n"/>
      <c r="L275" s="21" t="n"/>
      <c r="M275" s="21" t="n"/>
      <c r="N275" s="21" t="n"/>
      <c r="O275" s="27">
        <f>IF(B275="","",IFERROR(IF(VLOOKUP(B275,Lists!$A$2:$B$12,2,FALSE)="","",HYPERLINK(VLOOKUP(B275,Lists!$A$2:$B$12,2,FALSE),"How long valid?")),""))</f>
        <v/>
      </c>
      <c r="P275" s="21" t="n"/>
    </row>
    <row r="276">
      <c r="A276" s="21" t="n"/>
      <c r="B276" s="21" t="n"/>
      <c r="C276" s="22" t="n"/>
      <c r="D276" s="22" t="n"/>
      <c r="E276" s="23" t="n"/>
      <c r="F276" s="24">
        <f>IF(ISNUMBER(D276),D276-IF(ISNUMBER(E276),E276,30),"")</f>
        <v/>
      </c>
      <c r="G276" s="25">
        <f>IF(D276="","",IF(ISNUMBER(D276),D276-TODAY(),"Check date"))</f>
        <v/>
      </c>
      <c r="H276" s="26">
        <f>IF(G276="","",IF(ISNUMBER(G276),IF(G276&lt;0,"Expired",IF(G276&lt;=30,"Due ≤30 days",IF(G276&lt;=90,"Due ≤90 days","OK"))),"Check date"))</f>
        <v/>
      </c>
      <c r="I276" s="21" t="n"/>
      <c r="J276" s="21" t="n"/>
      <c r="K276" s="22" t="n"/>
      <c r="L276" s="21" t="n"/>
      <c r="M276" s="21" t="n"/>
      <c r="N276" s="21" t="n"/>
      <c r="O276" s="27">
        <f>IF(B276="","",IFERROR(IF(VLOOKUP(B276,Lists!$A$2:$B$12,2,FALSE)="","",HYPERLINK(VLOOKUP(B276,Lists!$A$2:$B$12,2,FALSE),"How long valid?")),""))</f>
        <v/>
      </c>
      <c r="P276" s="21" t="n"/>
    </row>
    <row r="277">
      <c r="A277" s="21" t="n"/>
      <c r="B277" s="21" t="n"/>
      <c r="C277" s="22" t="n"/>
      <c r="D277" s="22" t="n"/>
      <c r="E277" s="23" t="n"/>
      <c r="F277" s="24">
        <f>IF(ISNUMBER(D277),D277-IF(ISNUMBER(E277),E277,30),"")</f>
        <v/>
      </c>
      <c r="G277" s="25">
        <f>IF(D277="","",IF(ISNUMBER(D277),D277-TODAY(),"Check date"))</f>
        <v/>
      </c>
      <c r="H277" s="26">
        <f>IF(G277="","",IF(ISNUMBER(G277),IF(G277&lt;0,"Expired",IF(G277&lt;=30,"Due ≤30 days",IF(G277&lt;=90,"Due ≤90 days","OK"))),"Check date"))</f>
        <v/>
      </c>
      <c r="I277" s="21" t="n"/>
      <c r="J277" s="21" t="n"/>
      <c r="K277" s="22" t="n"/>
      <c r="L277" s="21" t="n"/>
      <c r="M277" s="21" t="n"/>
      <c r="N277" s="21" t="n"/>
      <c r="O277" s="27">
        <f>IF(B277="","",IFERROR(IF(VLOOKUP(B277,Lists!$A$2:$B$12,2,FALSE)="","",HYPERLINK(VLOOKUP(B277,Lists!$A$2:$B$12,2,FALSE),"How long valid?")),""))</f>
        <v/>
      </c>
      <c r="P277" s="21" t="n"/>
    </row>
    <row r="278">
      <c r="A278" s="21" t="n"/>
      <c r="B278" s="21" t="n"/>
      <c r="C278" s="22" t="n"/>
      <c r="D278" s="22" t="n"/>
      <c r="E278" s="23" t="n"/>
      <c r="F278" s="24">
        <f>IF(ISNUMBER(D278),D278-IF(ISNUMBER(E278),E278,30),"")</f>
        <v/>
      </c>
      <c r="G278" s="25">
        <f>IF(D278="","",IF(ISNUMBER(D278),D278-TODAY(),"Check date"))</f>
        <v/>
      </c>
      <c r="H278" s="26">
        <f>IF(G278="","",IF(ISNUMBER(G278),IF(G278&lt;0,"Expired",IF(G278&lt;=30,"Due ≤30 days",IF(G278&lt;=90,"Due ≤90 days","OK"))),"Check date"))</f>
        <v/>
      </c>
      <c r="I278" s="21" t="n"/>
      <c r="J278" s="21" t="n"/>
      <c r="K278" s="22" t="n"/>
      <c r="L278" s="21" t="n"/>
      <c r="M278" s="21" t="n"/>
      <c r="N278" s="21" t="n"/>
      <c r="O278" s="27">
        <f>IF(B278="","",IFERROR(IF(VLOOKUP(B278,Lists!$A$2:$B$12,2,FALSE)="","",HYPERLINK(VLOOKUP(B278,Lists!$A$2:$B$12,2,FALSE),"How long valid?")),""))</f>
        <v/>
      </c>
      <c r="P278" s="21" t="n"/>
    </row>
    <row r="279">
      <c r="A279" s="21" t="n"/>
      <c r="B279" s="21" t="n"/>
      <c r="C279" s="22" t="n"/>
      <c r="D279" s="22" t="n"/>
      <c r="E279" s="23" t="n"/>
      <c r="F279" s="24">
        <f>IF(ISNUMBER(D279),D279-IF(ISNUMBER(E279),E279,30),"")</f>
        <v/>
      </c>
      <c r="G279" s="25">
        <f>IF(D279="","",IF(ISNUMBER(D279),D279-TODAY(),"Check date"))</f>
        <v/>
      </c>
      <c r="H279" s="26">
        <f>IF(G279="","",IF(ISNUMBER(G279),IF(G279&lt;0,"Expired",IF(G279&lt;=30,"Due ≤30 days",IF(G279&lt;=90,"Due ≤90 days","OK"))),"Check date"))</f>
        <v/>
      </c>
      <c r="I279" s="21" t="n"/>
      <c r="J279" s="21" t="n"/>
      <c r="K279" s="22" t="n"/>
      <c r="L279" s="21" t="n"/>
      <c r="M279" s="21" t="n"/>
      <c r="N279" s="21" t="n"/>
      <c r="O279" s="27">
        <f>IF(B279="","",IFERROR(IF(VLOOKUP(B279,Lists!$A$2:$B$12,2,FALSE)="","",HYPERLINK(VLOOKUP(B279,Lists!$A$2:$B$12,2,FALSE),"How long valid?")),""))</f>
        <v/>
      </c>
      <c r="P279" s="21" t="n"/>
    </row>
    <row r="280">
      <c r="A280" s="21" t="n"/>
      <c r="B280" s="21" t="n"/>
      <c r="C280" s="22" t="n"/>
      <c r="D280" s="22" t="n"/>
      <c r="E280" s="23" t="n"/>
      <c r="F280" s="24">
        <f>IF(ISNUMBER(D280),D280-IF(ISNUMBER(E280),E280,30),"")</f>
        <v/>
      </c>
      <c r="G280" s="25">
        <f>IF(D280="","",IF(ISNUMBER(D280),D280-TODAY(),"Check date"))</f>
        <v/>
      </c>
      <c r="H280" s="26">
        <f>IF(G280="","",IF(ISNUMBER(G280),IF(G280&lt;0,"Expired",IF(G280&lt;=30,"Due ≤30 days",IF(G280&lt;=90,"Due ≤90 days","OK"))),"Check date"))</f>
        <v/>
      </c>
      <c r="I280" s="21" t="n"/>
      <c r="J280" s="21" t="n"/>
      <c r="K280" s="22" t="n"/>
      <c r="L280" s="21" t="n"/>
      <c r="M280" s="21" t="n"/>
      <c r="N280" s="21" t="n"/>
      <c r="O280" s="27">
        <f>IF(B280="","",IFERROR(IF(VLOOKUP(B280,Lists!$A$2:$B$12,2,FALSE)="","",HYPERLINK(VLOOKUP(B280,Lists!$A$2:$B$12,2,FALSE),"How long valid?")),""))</f>
        <v/>
      </c>
      <c r="P280" s="21" t="n"/>
    </row>
    <row r="281">
      <c r="A281" s="21" t="n"/>
      <c r="B281" s="21" t="n"/>
      <c r="C281" s="22" t="n"/>
      <c r="D281" s="22" t="n"/>
      <c r="E281" s="23" t="n"/>
      <c r="F281" s="24">
        <f>IF(ISNUMBER(D281),D281-IF(ISNUMBER(E281),E281,30),"")</f>
        <v/>
      </c>
      <c r="G281" s="25">
        <f>IF(D281="","",IF(ISNUMBER(D281),D281-TODAY(),"Check date"))</f>
        <v/>
      </c>
      <c r="H281" s="26">
        <f>IF(G281="","",IF(ISNUMBER(G281),IF(G281&lt;0,"Expired",IF(G281&lt;=30,"Due ≤30 days",IF(G281&lt;=90,"Due ≤90 days","OK"))),"Check date"))</f>
        <v/>
      </c>
      <c r="I281" s="21" t="n"/>
      <c r="J281" s="21" t="n"/>
      <c r="K281" s="22" t="n"/>
      <c r="L281" s="21" t="n"/>
      <c r="M281" s="21" t="n"/>
      <c r="N281" s="21" t="n"/>
      <c r="O281" s="27">
        <f>IF(B281="","",IFERROR(IF(VLOOKUP(B281,Lists!$A$2:$B$12,2,FALSE)="","",HYPERLINK(VLOOKUP(B281,Lists!$A$2:$B$12,2,FALSE),"How long valid?")),""))</f>
        <v/>
      </c>
      <c r="P281" s="21" t="n"/>
    </row>
    <row r="282">
      <c r="A282" s="21" t="n"/>
      <c r="B282" s="21" t="n"/>
      <c r="C282" s="22" t="n"/>
      <c r="D282" s="22" t="n"/>
      <c r="E282" s="23" t="n"/>
      <c r="F282" s="24">
        <f>IF(ISNUMBER(D282),D282-IF(ISNUMBER(E282),E282,30),"")</f>
        <v/>
      </c>
      <c r="G282" s="25">
        <f>IF(D282="","",IF(ISNUMBER(D282),D282-TODAY(),"Check date"))</f>
        <v/>
      </c>
      <c r="H282" s="26">
        <f>IF(G282="","",IF(ISNUMBER(G282),IF(G282&lt;0,"Expired",IF(G282&lt;=30,"Due ≤30 days",IF(G282&lt;=90,"Due ≤90 days","OK"))),"Check date"))</f>
        <v/>
      </c>
      <c r="I282" s="21" t="n"/>
      <c r="J282" s="21" t="n"/>
      <c r="K282" s="22" t="n"/>
      <c r="L282" s="21" t="n"/>
      <c r="M282" s="21" t="n"/>
      <c r="N282" s="21" t="n"/>
      <c r="O282" s="27">
        <f>IF(B282="","",IFERROR(IF(VLOOKUP(B282,Lists!$A$2:$B$12,2,FALSE)="","",HYPERLINK(VLOOKUP(B282,Lists!$A$2:$B$12,2,FALSE),"How long valid?")),""))</f>
        <v/>
      </c>
      <c r="P282" s="21" t="n"/>
    </row>
    <row r="283">
      <c r="A283" s="21" t="n"/>
      <c r="B283" s="21" t="n"/>
      <c r="C283" s="22" t="n"/>
      <c r="D283" s="22" t="n"/>
      <c r="E283" s="23" t="n"/>
      <c r="F283" s="24">
        <f>IF(ISNUMBER(D283),D283-IF(ISNUMBER(E283),E283,30),"")</f>
        <v/>
      </c>
      <c r="G283" s="25">
        <f>IF(D283="","",IF(ISNUMBER(D283),D283-TODAY(),"Check date"))</f>
        <v/>
      </c>
      <c r="H283" s="26">
        <f>IF(G283="","",IF(ISNUMBER(G283),IF(G283&lt;0,"Expired",IF(G283&lt;=30,"Due ≤30 days",IF(G283&lt;=90,"Due ≤90 days","OK"))),"Check date"))</f>
        <v/>
      </c>
      <c r="I283" s="21" t="n"/>
      <c r="J283" s="21" t="n"/>
      <c r="K283" s="22" t="n"/>
      <c r="L283" s="21" t="n"/>
      <c r="M283" s="21" t="n"/>
      <c r="N283" s="21" t="n"/>
      <c r="O283" s="27">
        <f>IF(B283="","",IFERROR(IF(VLOOKUP(B283,Lists!$A$2:$B$12,2,FALSE)="","",HYPERLINK(VLOOKUP(B283,Lists!$A$2:$B$12,2,FALSE),"How long valid?")),""))</f>
        <v/>
      </c>
      <c r="P283" s="21" t="n"/>
    </row>
    <row r="284">
      <c r="A284" s="21" t="n"/>
      <c r="B284" s="21" t="n"/>
      <c r="C284" s="22" t="n"/>
      <c r="D284" s="22" t="n"/>
      <c r="E284" s="23" t="n"/>
      <c r="F284" s="24">
        <f>IF(ISNUMBER(D284),D284-IF(ISNUMBER(E284),E284,30),"")</f>
        <v/>
      </c>
      <c r="G284" s="25">
        <f>IF(D284="","",IF(ISNUMBER(D284),D284-TODAY(),"Check date"))</f>
        <v/>
      </c>
      <c r="H284" s="26">
        <f>IF(G284="","",IF(ISNUMBER(G284),IF(G284&lt;0,"Expired",IF(G284&lt;=30,"Due ≤30 days",IF(G284&lt;=90,"Due ≤90 days","OK"))),"Check date"))</f>
        <v/>
      </c>
      <c r="I284" s="21" t="n"/>
      <c r="J284" s="21" t="n"/>
      <c r="K284" s="22" t="n"/>
      <c r="L284" s="21" t="n"/>
      <c r="M284" s="21" t="n"/>
      <c r="N284" s="21" t="n"/>
      <c r="O284" s="27">
        <f>IF(B284="","",IFERROR(IF(VLOOKUP(B284,Lists!$A$2:$B$12,2,FALSE)="","",HYPERLINK(VLOOKUP(B284,Lists!$A$2:$B$12,2,FALSE),"How long valid?")),""))</f>
        <v/>
      </c>
      <c r="P284" s="21" t="n"/>
    </row>
    <row r="285">
      <c r="A285" s="21" t="n"/>
      <c r="B285" s="21" t="n"/>
      <c r="C285" s="22" t="n"/>
      <c r="D285" s="22" t="n"/>
      <c r="E285" s="23" t="n"/>
      <c r="F285" s="24">
        <f>IF(ISNUMBER(D285),D285-IF(ISNUMBER(E285),E285,30),"")</f>
        <v/>
      </c>
      <c r="G285" s="25">
        <f>IF(D285="","",IF(ISNUMBER(D285),D285-TODAY(),"Check date"))</f>
        <v/>
      </c>
      <c r="H285" s="26">
        <f>IF(G285="","",IF(ISNUMBER(G285),IF(G285&lt;0,"Expired",IF(G285&lt;=30,"Due ≤30 days",IF(G285&lt;=90,"Due ≤90 days","OK"))),"Check date"))</f>
        <v/>
      </c>
      <c r="I285" s="21" t="n"/>
      <c r="J285" s="21" t="n"/>
      <c r="K285" s="22" t="n"/>
      <c r="L285" s="21" t="n"/>
      <c r="M285" s="21" t="n"/>
      <c r="N285" s="21" t="n"/>
      <c r="O285" s="27">
        <f>IF(B285="","",IFERROR(IF(VLOOKUP(B285,Lists!$A$2:$B$12,2,FALSE)="","",HYPERLINK(VLOOKUP(B285,Lists!$A$2:$B$12,2,FALSE),"How long valid?")),""))</f>
        <v/>
      </c>
      <c r="P285" s="21" t="n"/>
    </row>
    <row r="286">
      <c r="A286" s="21" t="n"/>
      <c r="B286" s="21" t="n"/>
      <c r="C286" s="22" t="n"/>
      <c r="D286" s="22" t="n"/>
      <c r="E286" s="23" t="n"/>
      <c r="F286" s="24">
        <f>IF(ISNUMBER(D286),D286-IF(ISNUMBER(E286),E286,30),"")</f>
        <v/>
      </c>
      <c r="G286" s="25">
        <f>IF(D286="","",IF(ISNUMBER(D286),D286-TODAY(),"Check date"))</f>
        <v/>
      </c>
      <c r="H286" s="26">
        <f>IF(G286="","",IF(ISNUMBER(G286),IF(G286&lt;0,"Expired",IF(G286&lt;=30,"Due ≤30 days",IF(G286&lt;=90,"Due ≤90 days","OK"))),"Check date"))</f>
        <v/>
      </c>
      <c r="I286" s="21" t="n"/>
      <c r="J286" s="21" t="n"/>
      <c r="K286" s="22" t="n"/>
      <c r="L286" s="21" t="n"/>
      <c r="M286" s="21" t="n"/>
      <c r="N286" s="21" t="n"/>
      <c r="O286" s="27">
        <f>IF(B286="","",IFERROR(IF(VLOOKUP(B286,Lists!$A$2:$B$12,2,FALSE)="","",HYPERLINK(VLOOKUP(B286,Lists!$A$2:$B$12,2,FALSE),"How long valid?")),""))</f>
        <v/>
      </c>
      <c r="P286" s="21" t="n"/>
    </row>
    <row r="287">
      <c r="A287" s="21" t="n"/>
      <c r="B287" s="21" t="n"/>
      <c r="C287" s="22" t="n"/>
      <c r="D287" s="22" t="n"/>
      <c r="E287" s="23" t="n"/>
      <c r="F287" s="24">
        <f>IF(ISNUMBER(D287),D287-IF(ISNUMBER(E287),E287,30),"")</f>
        <v/>
      </c>
      <c r="G287" s="25">
        <f>IF(D287="","",IF(ISNUMBER(D287),D287-TODAY(),"Check date"))</f>
        <v/>
      </c>
      <c r="H287" s="26">
        <f>IF(G287="","",IF(ISNUMBER(G287),IF(G287&lt;0,"Expired",IF(G287&lt;=30,"Due ≤30 days",IF(G287&lt;=90,"Due ≤90 days","OK"))),"Check date"))</f>
        <v/>
      </c>
      <c r="I287" s="21" t="n"/>
      <c r="J287" s="21" t="n"/>
      <c r="K287" s="22" t="n"/>
      <c r="L287" s="21" t="n"/>
      <c r="M287" s="21" t="n"/>
      <c r="N287" s="21" t="n"/>
      <c r="O287" s="27">
        <f>IF(B287="","",IFERROR(IF(VLOOKUP(B287,Lists!$A$2:$B$12,2,FALSE)="","",HYPERLINK(VLOOKUP(B287,Lists!$A$2:$B$12,2,FALSE),"How long valid?")),""))</f>
        <v/>
      </c>
      <c r="P287" s="21" t="n"/>
    </row>
    <row r="288">
      <c r="A288" s="21" t="n"/>
      <c r="B288" s="21" t="n"/>
      <c r="C288" s="22" t="n"/>
      <c r="D288" s="22" t="n"/>
      <c r="E288" s="23" t="n"/>
      <c r="F288" s="24">
        <f>IF(ISNUMBER(D288),D288-IF(ISNUMBER(E288),E288,30),"")</f>
        <v/>
      </c>
      <c r="G288" s="25">
        <f>IF(D288="","",IF(ISNUMBER(D288),D288-TODAY(),"Check date"))</f>
        <v/>
      </c>
      <c r="H288" s="26">
        <f>IF(G288="","",IF(ISNUMBER(G288),IF(G288&lt;0,"Expired",IF(G288&lt;=30,"Due ≤30 days",IF(G288&lt;=90,"Due ≤90 days","OK"))),"Check date"))</f>
        <v/>
      </c>
      <c r="I288" s="21" t="n"/>
      <c r="J288" s="21" t="n"/>
      <c r="K288" s="22" t="n"/>
      <c r="L288" s="21" t="n"/>
      <c r="M288" s="21" t="n"/>
      <c r="N288" s="21" t="n"/>
      <c r="O288" s="27">
        <f>IF(B288="","",IFERROR(IF(VLOOKUP(B288,Lists!$A$2:$B$12,2,FALSE)="","",HYPERLINK(VLOOKUP(B288,Lists!$A$2:$B$12,2,FALSE),"How long valid?")),""))</f>
        <v/>
      </c>
      <c r="P288" s="21" t="n"/>
    </row>
    <row r="289">
      <c r="A289" s="21" t="n"/>
      <c r="B289" s="21" t="n"/>
      <c r="C289" s="22" t="n"/>
      <c r="D289" s="22" t="n"/>
      <c r="E289" s="23" t="n"/>
      <c r="F289" s="24">
        <f>IF(ISNUMBER(D289),D289-IF(ISNUMBER(E289),E289,30),"")</f>
        <v/>
      </c>
      <c r="G289" s="25">
        <f>IF(D289="","",IF(ISNUMBER(D289),D289-TODAY(),"Check date"))</f>
        <v/>
      </c>
      <c r="H289" s="26">
        <f>IF(G289="","",IF(ISNUMBER(G289),IF(G289&lt;0,"Expired",IF(G289&lt;=30,"Due ≤30 days",IF(G289&lt;=90,"Due ≤90 days","OK"))),"Check date"))</f>
        <v/>
      </c>
      <c r="I289" s="21" t="n"/>
      <c r="J289" s="21" t="n"/>
      <c r="K289" s="22" t="n"/>
      <c r="L289" s="21" t="n"/>
      <c r="M289" s="21" t="n"/>
      <c r="N289" s="21" t="n"/>
      <c r="O289" s="27">
        <f>IF(B289="","",IFERROR(IF(VLOOKUP(B289,Lists!$A$2:$B$12,2,FALSE)="","",HYPERLINK(VLOOKUP(B289,Lists!$A$2:$B$12,2,FALSE),"How long valid?")),""))</f>
        <v/>
      </c>
      <c r="P289" s="21" t="n"/>
    </row>
    <row r="290">
      <c r="A290" s="21" t="n"/>
      <c r="B290" s="21" t="n"/>
      <c r="C290" s="22" t="n"/>
      <c r="D290" s="22" t="n"/>
      <c r="E290" s="23" t="n"/>
      <c r="F290" s="24">
        <f>IF(ISNUMBER(D290),D290-IF(ISNUMBER(E290),E290,30),"")</f>
        <v/>
      </c>
      <c r="G290" s="25">
        <f>IF(D290="","",IF(ISNUMBER(D290),D290-TODAY(),"Check date"))</f>
        <v/>
      </c>
      <c r="H290" s="26">
        <f>IF(G290="","",IF(ISNUMBER(G290),IF(G290&lt;0,"Expired",IF(G290&lt;=30,"Due ≤30 days",IF(G290&lt;=90,"Due ≤90 days","OK"))),"Check date"))</f>
        <v/>
      </c>
      <c r="I290" s="21" t="n"/>
      <c r="J290" s="21" t="n"/>
      <c r="K290" s="22" t="n"/>
      <c r="L290" s="21" t="n"/>
      <c r="M290" s="21" t="n"/>
      <c r="N290" s="21" t="n"/>
      <c r="O290" s="27">
        <f>IF(B290="","",IFERROR(IF(VLOOKUP(B290,Lists!$A$2:$B$12,2,FALSE)="","",HYPERLINK(VLOOKUP(B290,Lists!$A$2:$B$12,2,FALSE),"How long valid?")),""))</f>
        <v/>
      </c>
      <c r="P290" s="21" t="n"/>
    </row>
    <row r="291">
      <c r="A291" s="21" t="n"/>
      <c r="B291" s="21" t="n"/>
      <c r="C291" s="22" t="n"/>
      <c r="D291" s="22" t="n"/>
      <c r="E291" s="23" t="n"/>
      <c r="F291" s="24">
        <f>IF(ISNUMBER(D291),D291-IF(ISNUMBER(E291),E291,30),"")</f>
        <v/>
      </c>
      <c r="G291" s="25">
        <f>IF(D291="","",IF(ISNUMBER(D291),D291-TODAY(),"Check date"))</f>
        <v/>
      </c>
      <c r="H291" s="26">
        <f>IF(G291="","",IF(ISNUMBER(G291),IF(G291&lt;0,"Expired",IF(G291&lt;=30,"Due ≤30 days",IF(G291&lt;=90,"Due ≤90 days","OK"))),"Check date"))</f>
        <v/>
      </c>
      <c r="I291" s="21" t="n"/>
      <c r="J291" s="21" t="n"/>
      <c r="K291" s="22" t="n"/>
      <c r="L291" s="21" t="n"/>
      <c r="M291" s="21" t="n"/>
      <c r="N291" s="21" t="n"/>
      <c r="O291" s="27">
        <f>IF(B291="","",IFERROR(IF(VLOOKUP(B291,Lists!$A$2:$B$12,2,FALSE)="","",HYPERLINK(VLOOKUP(B291,Lists!$A$2:$B$12,2,FALSE),"How long valid?")),""))</f>
        <v/>
      </c>
      <c r="P291" s="21" t="n"/>
    </row>
    <row r="292">
      <c r="A292" s="21" t="n"/>
      <c r="B292" s="21" t="n"/>
      <c r="C292" s="22" t="n"/>
      <c r="D292" s="22" t="n"/>
      <c r="E292" s="23" t="n"/>
      <c r="F292" s="24">
        <f>IF(ISNUMBER(D292),D292-IF(ISNUMBER(E292),E292,30),"")</f>
        <v/>
      </c>
      <c r="G292" s="25">
        <f>IF(D292="","",IF(ISNUMBER(D292),D292-TODAY(),"Check date"))</f>
        <v/>
      </c>
      <c r="H292" s="26">
        <f>IF(G292="","",IF(ISNUMBER(G292),IF(G292&lt;0,"Expired",IF(G292&lt;=30,"Due ≤30 days",IF(G292&lt;=90,"Due ≤90 days","OK"))),"Check date"))</f>
        <v/>
      </c>
      <c r="I292" s="21" t="n"/>
      <c r="J292" s="21" t="n"/>
      <c r="K292" s="22" t="n"/>
      <c r="L292" s="21" t="n"/>
      <c r="M292" s="21" t="n"/>
      <c r="N292" s="21" t="n"/>
      <c r="O292" s="27">
        <f>IF(B292="","",IFERROR(IF(VLOOKUP(B292,Lists!$A$2:$B$12,2,FALSE)="","",HYPERLINK(VLOOKUP(B292,Lists!$A$2:$B$12,2,FALSE),"How long valid?")),""))</f>
        <v/>
      </c>
      <c r="P292" s="21" t="n"/>
    </row>
    <row r="293">
      <c r="A293" s="21" t="n"/>
      <c r="B293" s="21" t="n"/>
      <c r="C293" s="22" t="n"/>
      <c r="D293" s="22" t="n"/>
      <c r="E293" s="23" t="n"/>
      <c r="F293" s="24">
        <f>IF(ISNUMBER(D293),D293-IF(ISNUMBER(E293),E293,30),"")</f>
        <v/>
      </c>
      <c r="G293" s="25">
        <f>IF(D293="","",IF(ISNUMBER(D293),D293-TODAY(),"Check date"))</f>
        <v/>
      </c>
      <c r="H293" s="26">
        <f>IF(G293="","",IF(ISNUMBER(G293),IF(G293&lt;0,"Expired",IF(G293&lt;=30,"Due ≤30 days",IF(G293&lt;=90,"Due ≤90 days","OK"))),"Check date"))</f>
        <v/>
      </c>
      <c r="I293" s="21" t="n"/>
      <c r="J293" s="21" t="n"/>
      <c r="K293" s="22" t="n"/>
      <c r="L293" s="21" t="n"/>
      <c r="M293" s="21" t="n"/>
      <c r="N293" s="21" t="n"/>
      <c r="O293" s="27">
        <f>IF(B293="","",IFERROR(IF(VLOOKUP(B293,Lists!$A$2:$B$12,2,FALSE)="","",HYPERLINK(VLOOKUP(B293,Lists!$A$2:$B$12,2,FALSE),"How long valid?")),""))</f>
        <v/>
      </c>
      <c r="P293" s="21" t="n"/>
    </row>
    <row r="294">
      <c r="A294" s="21" t="n"/>
      <c r="B294" s="21" t="n"/>
      <c r="C294" s="22" t="n"/>
      <c r="D294" s="22" t="n"/>
      <c r="E294" s="23" t="n"/>
      <c r="F294" s="24">
        <f>IF(ISNUMBER(D294),D294-IF(ISNUMBER(E294),E294,30),"")</f>
        <v/>
      </c>
      <c r="G294" s="25">
        <f>IF(D294="","",IF(ISNUMBER(D294),D294-TODAY(),"Check date"))</f>
        <v/>
      </c>
      <c r="H294" s="26">
        <f>IF(G294="","",IF(ISNUMBER(G294),IF(G294&lt;0,"Expired",IF(G294&lt;=30,"Due ≤30 days",IF(G294&lt;=90,"Due ≤90 days","OK"))),"Check date"))</f>
        <v/>
      </c>
      <c r="I294" s="21" t="n"/>
      <c r="J294" s="21" t="n"/>
      <c r="K294" s="22" t="n"/>
      <c r="L294" s="21" t="n"/>
      <c r="M294" s="21" t="n"/>
      <c r="N294" s="21" t="n"/>
      <c r="O294" s="27">
        <f>IF(B294="","",IFERROR(IF(VLOOKUP(B294,Lists!$A$2:$B$12,2,FALSE)="","",HYPERLINK(VLOOKUP(B294,Lists!$A$2:$B$12,2,FALSE),"How long valid?")),""))</f>
        <v/>
      </c>
      <c r="P294" s="21" t="n"/>
    </row>
    <row r="295">
      <c r="A295" s="21" t="n"/>
      <c r="B295" s="21" t="n"/>
      <c r="C295" s="22" t="n"/>
      <c r="D295" s="22" t="n"/>
      <c r="E295" s="23" t="n"/>
      <c r="F295" s="24">
        <f>IF(ISNUMBER(D295),D295-IF(ISNUMBER(E295),E295,30),"")</f>
        <v/>
      </c>
      <c r="G295" s="25">
        <f>IF(D295="","",IF(ISNUMBER(D295),D295-TODAY(),"Check date"))</f>
        <v/>
      </c>
      <c r="H295" s="26">
        <f>IF(G295="","",IF(ISNUMBER(G295),IF(G295&lt;0,"Expired",IF(G295&lt;=30,"Due ≤30 days",IF(G295&lt;=90,"Due ≤90 days","OK"))),"Check date"))</f>
        <v/>
      </c>
      <c r="I295" s="21" t="n"/>
      <c r="J295" s="21" t="n"/>
      <c r="K295" s="22" t="n"/>
      <c r="L295" s="21" t="n"/>
      <c r="M295" s="21" t="n"/>
      <c r="N295" s="21" t="n"/>
      <c r="O295" s="27">
        <f>IF(B295="","",IFERROR(IF(VLOOKUP(B295,Lists!$A$2:$B$12,2,FALSE)="","",HYPERLINK(VLOOKUP(B295,Lists!$A$2:$B$12,2,FALSE),"How long valid?")),""))</f>
        <v/>
      </c>
      <c r="P295" s="21" t="n"/>
    </row>
    <row r="296">
      <c r="A296" s="21" t="n"/>
      <c r="B296" s="21" t="n"/>
      <c r="C296" s="22" t="n"/>
      <c r="D296" s="22" t="n"/>
      <c r="E296" s="23" t="n"/>
      <c r="F296" s="24">
        <f>IF(ISNUMBER(D296),D296-IF(ISNUMBER(E296),E296,30),"")</f>
        <v/>
      </c>
      <c r="G296" s="25">
        <f>IF(D296="","",IF(ISNUMBER(D296),D296-TODAY(),"Check date"))</f>
        <v/>
      </c>
      <c r="H296" s="26">
        <f>IF(G296="","",IF(ISNUMBER(G296),IF(G296&lt;0,"Expired",IF(G296&lt;=30,"Due ≤30 days",IF(G296&lt;=90,"Due ≤90 days","OK"))),"Check date"))</f>
        <v/>
      </c>
      <c r="I296" s="21" t="n"/>
      <c r="J296" s="21" t="n"/>
      <c r="K296" s="22" t="n"/>
      <c r="L296" s="21" t="n"/>
      <c r="M296" s="21" t="n"/>
      <c r="N296" s="21" t="n"/>
      <c r="O296" s="27">
        <f>IF(B296="","",IFERROR(IF(VLOOKUP(B296,Lists!$A$2:$B$12,2,FALSE)="","",HYPERLINK(VLOOKUP(B296,Lists!$A$2:$B$12,2,FALSE),"How long valid?")),""))</f>
        <v/>
      </c>
      <c r="P296" s="21" t="n"/>
    </row>
    <row r="297">
      <c r="A297" s="21" t="n"/>
      <c r="B297" s="21" t="n"/>
      <c r="C297" s="22" t="n"/>
      <c r="D297" s="22" t="n"/>
      <c r="E297" s="23" t="n"/>
      <c r="F297" s="24">
        <f>IF(ISNUMBER(D297),D297-IF(ISNUMBER(E297),E297,30),"")</f>
        <v/>
      </c>
      <c r="G297" s="25">
        <f>IF(D297="","",IF(ISNUMBER(D297),D297-TODAY(),"Check date"))</f>
        <v/>
      </c>
      <c r="H297" s="26">
        <f>IF(G297="","",IF(ISNUMBER(G297),IF(G297&lt;0,"Expired",IF(G297&lt;=30,"Due ≤30 days",IF(G297&lt;=90,"Due ≤90 days","OK"))),"Check date"))</f>
        <v/>
      </c>
      <c r="I297" s="21" t="n"/>
      <c r="J297" s="21" t="n"/>
      <c r="K297" s="22" t="n"/>
      <c r="L297" s="21" t="n"/>
      <c r="M297" s="21" t="n"/>
      <c r="N297" s="21" t="n"/>
      <c r="O297" s="27">
        <f>IF(B297="","",IFERROR(IF(VLOOKUP(B297,Lists!$A$2:$B$12,2,FALSE)="","",HYPERLINK(VLOOKUP(B297,Lists!$A$2:$B$12,2,FALSE),"How long valid?")),""))</f>
        <v/>
      </c>
      <c r="P297" s="21" t="n"/>
    </row>
    <row r="298">
      <c r="A298" s="21" t="n"/>
      <c r="B298" s="21" t="n"/>
      <c r="C298" s="22" t="n"/>
      <c r="D298" s="22" t="n"/>
      <c r="E298" s="23" t="n"/>
      <c r="F298" s="24">
        <f>IF(ISNUMBER(D298),D298-IF(ISNUMBER(E298),E298,30),"")</f>
        <v/>
      </c>
      <c r="G298" s="25">
        <f>IF(D298="","",IF(ISNUMBER(D298),D298-TODAY(),"Check date"))</f>
        <v/>
      </c>
      <c r="H298" s="26">
        <f>IF(G298="","",IF(ISNUMBER(G298),IF(G298&lt;0,"Expired",IF(G298&lt;=30,"Due ≤30 days",IF(G298&lt;=90,"Due ≤90 days","OK"))),"Check date"))</f>
        <v/>
      </c>
      <c r="I298" s="21" t="n"/>
      <c r="J298" s="21" t="n"/>
      <c r="K298" s="22" t="n"/>
      <c r="L298" s="21" t="n"/>
      <c r="M298" s="21" t="n"/>
      <c r="N298" s="21" t="n"/>
      <c r="O298" s="27">
        <f>IF(B298="","",IFERROR(IF(VLOOKUP(B298,Lists!$A$2:$B$12,2,FALSE)="","",HYPERLINK(VLOOKUP(B298,Lists!$A$2:$B$12,2,FALSE),"How long valid?")),""))</f>
        <v/>
      </c>
      <c r="P298" s="21" t="n"/>
    </row>
    <row r="299">
      <c r="A299" s="21" t="n"/>
      <c r="B299" s="21" t="n"/>
      <c r="C299" s="22" t="n"/>
      <c r="D299" s="22" t="n"/>
      <c r="E299" s="23" t="n"/>
      <c r="F299" s="24">
        <f>IF(ISNUMBER(D299),D299-IF(ISNUMBER(E299),E299,30),"")</f>
        <v/>
      </c>
      <c r="G299" s="25">
        <f>IF(D299="","",IF(ISNUMBER(D299),D299-TODAY(),"Check date"))</f>
        <v/>
      </c>
      <c r="H299" s="26">
        <f>IF(G299="","",IF(ISNUMBER(G299),IF(G299&lt;0,"Expired",IF(G299&lt;=30,"Due ≤30 days",IF(G299&lt;=90,"Due ≤90 days","OK"))),"Check date"))</f>
        <v/>
      </c>
      <c r="I299" s="21" t="n"/>
      <c r="J299" s="21" t="n"/>
      <c r="K299" s="22" t="n"/>
      <c r="L299" s="21" t="n"/>
      <c r="M299" s="21" t="n"/>
      <c r="N299" s="21" t="n"/>
      <c r="O299" s="27">
        <f>IF(B299="","",IFERROR(IF(VLOOKUP(B299,Lists!$A$2:$B$12,2,FALSE)="","",HYPERLINK(VLOOKUP(B299,Lists!$A$2:$B$12,2,FALSE),"How long valid?")),""))</f>
        <v/>
      </c>
      <c r="P299" s="21" t="n"/>
    </row>
    <row r="300">
      <c r="A300" s="21" t="n"/>
      <c r="B300" s="21" t="n"/>
      <c r="C300" s="22" t="n"/>
      <c r="D300" s="22" t="n"/>
      <c r="E300" s="23" t="n"/>
      <c r="F300" s="24">
        <f>IF(ISNUMBER(D300),D300-IF(ISNUMBER(E300),E300,30),"")</f>
        <v/>
      </c>
      <c r="G300" s="25">
        <f>IF(D300="","",IF(ISNUMBER(D300),D300-TODAY(),"Check date"))</f>
        <v/>
      </c>
      <c r="H300" s="26">
        <f>IF(G300="","",IF(ISNUMBER(G300),IF(G300&lt;0,"Expired",IF(G300&lt;=30,"Due ≤30 days",IF(G300&lt;=90,"Due ≤90 days","OK"))),"Check date"))</f>
        <v/>
      </c>
      <c r="I300" s="21" t="n"/>
      <c r="J300" s="21" t="n"/>
      <c r="K300" s="22" t="n"/>
      <c r="L300" s="21" t="n"/>
      <c r="M300" s="21" t="n"/>
      <c r="N300" s="21" t="n"/>
      <c r="O300" s="27">
        <f>IF(B300="","",IFERROR(IF(VLOOKUP(B300,Lists!$A$2:$B$12,2,FALSE)="","",HYPERLINK(VLOOKUP(B300,Lists!$A$2:$B$12,2,FALSE),"How long valid?")),""))</f>
        <v/>
      </c>
      <c r="P300" s="21" t="n"/>
    </row>
    <row r="301">
      <c r="A301" s="21" t="n"/>
      <c r="B301" s="21" t="n"/>
      <c r="C301" s="22" t="n"/>
      <c r="D301" s="22" t="n"/>
      <c r="E301" s="23" t="n"/>
      <c r="F301" s="24">
        <f>IF(ISNUMBER(D301),D301-IF(ISNUMBER(E301),E301,30),"")</f>
        <v/>
      </c>
      <c r="G301" s="25">
        <f>IF(D301="","",IF(ISNUMBER(D301),D301-TODAY(),"Check date"))</f>
        <v/>
      </c>
      <c r="H301" s="26">
        <f>IF(G301="","",IF(ISNUMBER(G301),IF(G301&lt;0,"Expired",IF(G301&lt;=30,"Due ≤30 days",IF(G301&lt;=90,"Due ≤90 days","OK"))),"Check date"))</f>
        <v/>
      </c>
      <c r="I301" s="21" t="n"/>
      <c r="J301" s="21" t="n"/>
      <c r="K301" s="22" t="n"/>
      <c r="L301" s="21" t="n"/>
      <c r="M301" s="21" t="n"/>
      <c r="N301" s="21" t="n"/>
      <c r="O301" s="27">
        <f>IF(B301="","",IFERROR(IF(VLOOKUP(B301,Lists!$A$2:$B$12,2,FALSE)="","",HYPERLINK(VLOOKUP(B301,Lists!$A$2:$B$12,2,FALSE),"How long valid?")),""))</f>
        <v/>
      </c>
      <c r="P301" s="21" t="n"/>
    </row>
    <row r="302">
      <c r="A302" s="21" t="n"/>
      <c r="B302" s="21" t="n"/>
      <c r="C302" s="22" t="n"/>
      <c r="D302" s="22" t="n"/>
      <c r="E302" s="23" t="n"/>
      <c r="F302" s="24">
        <f>IF(ISNUMBER(D302),D302-IF(ISNUMBER(E302),E302,30),"")</f>
        <v/>
      </c>
      <c r="G302" s="25">
        <f>IF(D302="","",IF(ISNUMBER(D302),D302-TODAY(),"Check date"))</f>
        <v/>
      </c>
      <c r="H302" s="26">
        <f>IF(G302="","",IF(ISNUMBER(G302),IF(G302&lt;0,"Expired",IF(G302&lt;=30,"Due ≤30 days",IF(G302&lt;=90,"Due ≤90 days","OK"))),"Check date"))</f>
        <v/>
      </c>
      <c r="I302" s="21" t="n"/>
      <c r="J302" s="21" t="n"/>
      <c r="K302" s="22" t="n"/>
      <c r="L302" s="21" t="n"/>
      <c r="M302" s="21" t="n"/>
      <c r="N302" s="21" t="n"/>
      <c r="O302" s="27">
        <f>IF(B302="","",IFERROR(IF(VLOOKUP(B302,Lists!$A$2:$B$12,2,FALSE)="","",HYPERLINK(VLOOKUP(B302,Lists!$A$2:$B$12,2,FALSE),"How long valid?")),""))</f>
        <v/>
      </c>
      <c r="P302" s="21" t="n"/>
    </row>
    <row r="303">
      <c r="A303" s="21" t="n"/>
      <c r="B303" s="21" t="n"/>
      <c r="C303" s="22" t="n"/>
      <c r="D303" s="22" t="n"/>
      <c r="E303" s="23" t="n"/>
      <c r="F303" s="24">
        <f>IF(ISNUMBER(D303),D303-IF(ISNUMBER(E303),E303,30),"")</f>
        <v/>
      </c>
      <c r="G303" s="25">
        <f>IF(D303="","",IF(ISNUMBER(D303),D303-TODAY(),"Check date"))</f>
        <v/>
      </c>
      <c r="H303" s="26">
        <f>IF(G303="","",IF(ISNUMBER(G303),IF(G303&lt;0,"Expired",IF(G303&lt;=30,"Due ≤30 days",IF(G303&lt;=90,"Due ≤90 days","OK"))),"Check date"))</f>
        <v/>
      </c>
      <c r="I303" s="21" t="n"/>
      <c r="J303" s="21" t="n"/>
      <c r="K303" s="22" t="n"/>
      <c r="L303" s="21" t="n"/>
      <c r="M303" s="21" t="n"/>
      <c r="N303" s="21" t="n"/>
      <c r="O303" s="27">
        <f>IF(B303="","",IFERROR(IF(VLOOKUP(B303,Lists!$A$2:$B$12,2,FALSE)="","",HYPERLINK(VLOOKUP(B303,Lists!$A$2:$B$12,2,FALSE),"How long valid?")),""))</f>
        <v/>
      </c>
      <c r="P303" s="21" t="n"/>
    </row>
    <row r="304">
      <c r="A304" s="21" t="n"/>
      <c r="B304" s="21" t="n"/>
      <c r="C304" s="22" t="n"/>
      <c r="D304" s="22" t="n"/>
      <c r="E304" s="23" t="n"/>
      <c r="F304" s="24">
        <f>IF(ISNUMBER(D304),D304-IF(ISNUMBER(E304),E304,30),"")</f>
        <v/>
      </c>
      <c r="G304" s="25">
        <f>IF(D304="","",IF(ISNUMBER(D304),D304-TODAY(),"Check date"))</f>
        <v/>
      </c>
      <c r="H304" s="26">
        <f>IF(G304="","",IF(ISNUMBER(G304),IF(G304&lt;0,"Expired",IF(G304&lt;=30,"Due ≤30 days",IF(G304&lt;=90,"Due ≤90 days","OK"))),"Check date"))</f>
        <v/>
      </c>
      <c r="I304" s="21" t="n"/>
      <c r="J304" s="21" t="n"/>
      <c r="K304" s="22" t="n"/>
      <c r="L304" s="21" t="n"/>
      <c r="M304" s="21" t="n"/>
      <c r="N304" s="21" t="n"/>
      <c r="O304" s="27">
        <f>IF(B304="","",IFERROR(IF(VLOOKUP(B304,Lists!$A$2:$B$12,2,FALSE)="","",HYPERLINK(VLOOKUP(B304,Lists!$A$2:$B$12,2,FALSE),"How long valid?")),""))</f>
        <v/>
      </c>
      <c r="P304" s="21" t="n"/>
    </row>
    <row r="305">
      <c r="A305" s="21" t="n"/>
      <c r="B305" s="21" t="n"/>
      <c r="C305" s="22" t="n"/>
      <c r="D305" s="22" t="n"/>
      <c r="E305" s="23" t="n"/>
      <c r="F305" s="24">
        <f>IF(ISNUMBER(D305),D305-IF(ISNUMBER(E305),E305,30),"")</f>
        <v/>
      </c>
      <c r="G305" s="25">
        <f>IF(D305="","",IF(ISNUMBER(D305),D305-TODAY(),"Check date"))</f>
        <v/>
      </c>
      <c r="H305" s="26">
        <f>IF(G305="","",IF(ISNUMBER(G305),IF(G305&lt;0,"Expired",IF(G305&lt;=30,"Due ≤30 days",IF(G305&lt;=90,"Due ≤90 days","OK"))),"Check date"))</f>
        <v/>
      </c>
      <c r="I305" s="21" t="n"/>
      <c r="J305" s="21" t="n"/>
      <c r="K305" s="22" t="n"/>
      <c r="L305" s="21" t="n"/>
      <c r="M305" s="21" t="n"/>
      <c r="N305" s="21" t="n"/>
      <c r="O305" s="27">
        <f>IF(B305="","",IFERROR(IF(VLOOKUP(B305,Lists!$A$2:$B$12,2,FALSE)="","",HYPERLINK(VLOOKUP(B305,Lists!$A$2:$B$12,2,FALSE),"How long valid?")),""))</f>
        <v/>
      </c>
      <c r="P305" s="21" t="n"/>
    </row>
    <row r="306">
      <c r="A306" s="21" t="n"/>
      <c r="B306" s="21" t="n"/>
      <c r="C306" s="22" t="n"/>
      <c r="D306" s="22" t="n"/>
      <c r="E306" s="23" t="n"/>
      <c r="F306" s="24">
        <f>IF(ISNUMBER(D306),D306-IF(ISNUMBER(E306),E306,30),"")</f>
        <v/>
      </c>
      <c r="G306" s="25">
        <f>IF(D306="","",IF(ISNUMBER(D306),D306-TODAY(),"Check date"))</f>
        <v/>
      </c>
      <c r="H306" s="26">
        <f>IF(G306="","",IF(ISNUMBER(G306),IF(G306&lt;0,"Expired",IF(G306&lt;=30,"Due ≤30 days",IF(G306&lt;=90,"Due ≤90 days","OK"))),"Check date"))</f>
        <v/>
      </c>
      <c r="I306" s="21" t="n"/>
      <c r="J306" s="21" t="n"/>
      <c r="K306" s="22" t="n"/>
      <c r="L306" s="21" t="n"/>
      <c r="M306" s="21" t="n"/>
      <c r="N306" s="21" t="n"/>
      <c r="O306" s="27">
        <f>IF(B306="","",IFERROR(IF(VLOOKUP(B306,Lists!$A$2:$B$12,2,FALSE)="","",HYPERLINK(VLOOKUP(B306,Lists!$A$2:$B$12,2,FALSE),"How long valid?")),""))</f>
        <v/>
      </c>
      <c r="P306" s="21" t="n"/>
    </row>
    <row r="307">
      <c r="A307" s="21" t="n"/>
      <c r="B307" s="21" t="n"/>
      <c r="C307" s="22" t="n"/>
      <c r="D307" s="22" t="n"/>
      <c r="E307" s="23" t="n"/>
      <c r="F307" s="24">
        <f>IF(ISNUMBER(D307),D307-IF(ISNUMBER(E307),E307,30),"")</f>
        <v/>
      </c>
      <c r="G307" s="25">
        <f>IF(D307="","",IF(ISNUMBER(D307),D307-TODAY(),"Check date"))</f>
        <v/>
      </c>
      <c r="H307" s="26">
        <f>IF(G307="","",IF(ISNUMBER(G307),IF(G307&lt;0,"Expired",IF(G307&lt;=30,"Due ≤30 days",IF(G307&lt;=90,"Due ≤90 days","OK"))),"Check date"))</f>
        <v/>
      </c>
      <c r="I307" s="21" t="n"/>
      <c r="J307" s="21" t="n"/>
      <c r="K307" s="22" t="n"/>
      <c r="L307" s="21" t="n"/>
      <c r="M307" s="21" t="n"/>
      <c r="N307" s="21" t="n"/>
      <c r="O307" s="27">
        <f>IF(B307="","",IFERROR(IF(VLOOKUP(B307,Lists!$A$2:$B$12,2,FALSE)="","",HYPERLINK(VLOOKUP(B307,Lists!$A$2:$B$12,2,FALSE),"How long valid?")),""))</f>
        <v/>
      </c>
      <c r="P307" s="21" t="n"/>
    </row>
    <row r="308">
      <c r="A308" s="21" t="n"/>
      <c r="B308" s="21" t="n"/>
      <c r="C308" s="22" t="n"/>
      <c r="D308" s="22" t="n"/>
      <c r="E308" s="23" t="n"/>
      <c r="F308" s="24">
        <f>IF(ISNUMBER(D308),D308-IF(ISNUMBER(E308),E308,30),"")</f>
        <v/>
      </c>
      <c r="G308" s="25">
        <f>IF(D308="","",IF(ISNUMBER(D308),D308-TODAY(),"Check date"))</f>
        <v/>
      </c>
      <c r="H308" s="26">
        <f>IF(G308="","",IF(ISNUMBER(G308),IF(G308&lt;0,"Expired",IF(G308&lt;=30,"Due ≤30 days",IF(G308&lt;=90,"Due ≤90 days","OK"))),"Check date"))</f>
        <v/>
      </c>
      <c r="I308" s="21" t="n"/>
      <c r="J308" s="21" t="n"/>
      <c r="K308" s="22" t="n"/>
      <c r="L308" s="21" t="n"/>
      <c r="M308" s="21" t="n"/>
      <c r="N308" s="21" t="n"/>
      <c r="O308" s="27">
        <f>IF(B308="","",IFERROR(IF(VLOOKUP(B308,Lists!$A$2:$B$12,2,FALSE)="","",HYPERLINK(VLOOKUP(B308,Lists!$A$2:$B$12,2,FALSE),"How long valid?")),""))</f>
        <v/>
      </c>
      <c r="P308" s="21" t="n"/>
    </row>
    <row r="309">
      <c r="A309" s="21" t="n"/>
      <c r="B309" s="21" t="n"/>
      <c r="C309" s="22" t="n"/>
      <c r="D309" s="22" t="n"/>
      <c r="E309" s="23" t="n"/>
      <c r="F309" s="24">
        <f>IF(ISNUMBER(D309),D309-IF(ISNUMBER(E309),E309,30),"")</f>
        <v/>
      </c>
      <c r="G309" s="25">
        <f>IF(D309="","",IF(ISNUMBER(D309),D309-TODAY(),"Check date"))</f>
        <v/>
      </c>
      <c r="H309" s="26">
        <f>IF(G309="","",IF(ISNUMBER(G309),IF(G309&lt;0,"Expired",IF(G309&lt;=30,"Due ≤30 days",IF(G309&lt;=90,"Due ≤90 days","OK"))),"Check date"))</f>
        <v/>
      </c>
      <c r="I309" s="21" t="n"/>
      <c r="J309" s="21" t="n"/>
      <c r="K309" s="22" t="n"/>
      <c r="L309" s="21" t="n"/>
      <c r="M309" s="21" t="n"/>
      <c r="N309" s="21" t="n"/>
      <c r="O309" s="27">
        <f>IF(B309="","",IFERROR(IF(VLOOKUP(B309,Lists!$A$2:$B$12,2,FALSE)="","",HYPERLINK(VLOOKUP(B309,Lists!$A$2:$B$12,2,FALSE),"How long valid?")),""))</f>
        <v/>
      </c>
      <c r="P309" s="21" t="n"/>
    </row>
    <row r="310">
      <c r="A310" s="21" t="n"/>
      <c r="B310" s="21" t="n"/>
      <c r="C310" s="22" t="n"/>
      <c r="D310" s="22" t="n"/>
      <c r="E310" s="23" t="n"/>
      <c r="F310" s="24">
        <f>IF(ISNUMBER(D310),D310-IF(ISNUMBER(E310),E310,30),"")</f>
        <v/>
      </c>
      <c r="G310" s="25">
        <f>IF(D310="","",IF(ISNUMBER(D310),D310-TODAY(),"Check date"))</f>
        <v/>
      </c>
      <c r="H310" s="26">
        <f>IF(G310="","",IF(ISNUMBER(G310),IF(G310&lt;0,"Expired",IF(G310&lt;=30,"Due ≤30 days",IF(G310&lt;=90,"Due ≤90 days","OK"))),"Check date"))</f>
        <v/>
      </c>
      <c r="I310" s="21" t="n"/>
      <c r="J310" s="21" t="n"/>
      <c r="K310" s="22" t="n"/>
      <c r="L310" s="21" t="n"/>
      <c r="M310" s="21" t="n"/>
      <c r="N310" s="21" t="n"/>
      <c r="O310" s="27">
        <f>IF(B310="","",IFERROR(IF(VLOOKUP(B310,Lists!$A$2:$B$12,2,FALSE)="","",HYPERLINK(VLOOKUP(B310,Lists!$A$2:$B$12,2,FALSE),"How long valid?")),""))</f>
        <v/>
      </c>
      <c r="P310" s="21" t="n"/>
    </row>
    <row r="311">
      <c r="A311" s="21" t="n"/>
      <c r="B311" s="21" t="n"/>
      <c r="C311" s="22" t="n"/>
      <c r="D311" s="22" t="n"/>
      <c r="E311" s="23" t="n"/>
      <c r="F311" s="24">
        <f>IF(ISNUMBER(D311),D311-IF(ISNUMBER(E311),E311,30),"")</f>
        <v/>
      </c>
      <c r="G311" s="25">
        <f>IF(D311="","",IF(ISNUMBER(D311),D311-TODAY(),"Check date"))</f>
        <v/>
      </c>
      <c r="H311" s="26">
        <f>IF(G311="","",IF(ISNUMBER(G311),IF(G311&lt;0,"Expired",IF(G311&lt;=30,"Due ≤30 days",IF(G311&lt;=90,"Due ≤90 days","OK"))),"Check date"))</f>
        <v/>
      </c>
      <c r="I311" s="21" t="n"/>
      <c r="J311" s="21" t="n"/>
      <c r="K311" s="22" t="n"/>
      <c r="L311" s="21" t="n"/>
      <c r="M311" s="21" t="n"/>
      <c r="N311" s="21" t="n"/>
      <c r="O311" s="27">
        <f>IF(B311="","",IFERROR(IF(VLOOKUP(B311,Lists!$A$2:$B$12,2,FALSE)="","",HYPERLINK(VLOOKUP(B311,Lists!$A$2:$B$12,2,FALSE),"How long valid?")),""))</f>
        <v/>
      </c>
      <c r="P311" s="21" t="n"/>
    </row>
    <row r="312">
      <c r="A312" s="21" t="n"/>
      <c r="B312" s="21" t="n"/>
      <c r="C312" s="22" t="n"/>
      <c r="D312" s="22" t="n"/>
      <c r="E312" s="23" t="n"/>
      <c r="F312" s="24">
        <f>IF(ISNUMBER(D312),D312-IF(ISNUMBER(E312),E312,30),"")</f>
        <v/>
      </c>
      <c r="G312" s="25">
        <f>IF(D312="","",IF(ISNUMBER(D312),D312-TODAY(),"Check date"))</f>
        <v/>
      </c>
      <c r="H312" s="26">
        <f>IF(G312="","",IF(ISNUMBER(G312),IF(G312&lt;0,"Expired",IF(G312&lt;=30,"Due ≤30 days",IF(G312&lt;=90,"Due ≤90 days","OK"))),"Check date"))</f>
        <v/>
      </c>
      <c r="I312" s="21" t="n"/>
      <c r="J312" s="21" t="n"/>
      <c r="K312" s="22" t="n"/>
      <c r="L312" s="21" t="n"/>
      <c r="M312" s="21" t="n"/>
      <c r="N312" s="21" t="n"/>
      <c r="O312" s="27">
        <f>IF(B312="","",IFERROR(IF(VLOOKUP(B312,Lists!$A$2:$B$12,2,FALSE)="","",HYPERLINK(VLOOKUP(B312,Lists!$A$2:$B$12,2,FALSE),"How long valid?")),""))</f>
        <v/>
      </c>
      <c r="P312" s="21" t="n"/>
    </row>
    <row r="313">
      <c r="A313" s="21" t="n"/>
      <c r="B313" s="21" t="n"/>
      <c r="C313" s="22" t="n"/>
      <c r="D313" s="22" t="n"/>
      <c r="E313" s="23" t="n"/>
      <c r="F313" s="24">
        <f>IF(ISNUMBER(D313),D313-IF(ISNUMBER(E313),E313,30),"")</f>
        <v/>
      </c>
      <c r="G313" s="25">
        <f>IF(D313="","",IF(ISNUMBER(D313),D313-TODAY(),"Check date"))</f>
        <v/>
      </c>
      <c r="H313" s="26">
        <f>IF(G313="","",IF(ISNUMBER(G313),IF(G313&lt;0,"Expired",IF(G313&lt;=30,"Due ≤30 days",IF(G313&lt;=90,"Due ≤90 days","OK"))),"Check date"))</f>
        <v/>
      </c>
      <c r="I313" s="21" t="n"/>
      <c r="J313" s="21" t="n"/>
      <c r="K313" s="22" t="n"/>
      <c r="L313" s="21" t="n"/>
      <c r="M313" s="21" t="n"/>
      <c r="N313" s="21" t="n"/>
      <c r="O313" s="27">
        <f>IF(B313="","",IFERROR(IF(VLOOKUP(B313,Lists!$A$2:$B$12,2,FALSE)="","",HYPERLINK(VLOOKUP(B313,Lists!$A$2:$B$12,2,FALSE),"How long valid?")),""))</f>
        <v/>
      </c>
      <c r="P313" s="21" t="n"/>
    </row>
    <row r="314">
      <c r="A314" s="21" t="n"/>
      <c r="B314" s="21" t="n"/>
      <c r="C314" s="22" t="n"/>
      <c r="D314" s="22" t="n"/>
      <c r="E314" s="23" t="n"/>
      <c r="F314" s="24">
        <f>IF(ISNUMBER(D314),D314-IF(ISNUMBER(E314),E314,30),"")</f>
        <v/>
      </c>
      <c r="G314" s="25">
        <f>IF(D314="","",IF(ISNUMBER(D314),D314-TODAY(),"Check date"))</f>
        <v/>
      </c>
      <c r="H314" s="26">
        <f>IF(G314="","",IF(ISNUMBER(G314),IF(G314&lt;0,"Expired",IF(G314&lt;=30,"Due ≤30 days",IF(G314&lt;=90,"Due ≤90 days","OK"))),"Check date"))</f>
        <v/>
      </c>
      <c r="I314" s="21" t="n"/>
      <c r="J314" s="21" t="n"/>
      <c r="K314" s="22" t="n"/>
      <c r="L314" s="21" t="n"/>
      <c r="M314" s="21" t="n"/>
      <c r="N314" s="21" t="n"/>
      <c r="O314" s="27">
        <f>IF(B314="","",IFERROR(IF(VLOOKUP(B314,Lists!$A$2:$B$12,2,FALSE)="","",HYPERLINK(VLOOKUP(B314,Lists!$A$2:$B$12,2,FALSE),"How long valid?")),""))</f>
        <v/>
      </c>
      <c r="P314" s="21" t="n"/>
    </row>
    <row r="315">
      <c r="A315" s="21" t="n"/>
      <c r="B315" s="21" t="n"/>
      <c r="C315" s="22" t="n"/>
      <c r="D315" s="22" t="n"/>
      <c r="E315" s="23" t="n"/>
      <c r="F315" s="24">
        <f>IF(ISNUMBER(D315),D315-IF(ISNUMBER(E315),E315,30),"")</f>
        <v/>
      </c>
      <c r="G315" s="25">
        <f>IF(D315="","",IF(ISNUMBER(D315),D315-TODAY(),"Check date"))</f>
        <v/>
      </c>
      <c r="H315" s="26">
        <f>IF(G315="","",IF(ISNUMBER(G315),IF(G315&lt;0,"Expired",IF(G315&lt;=30,"Due ≤30 days",IF(G315&lt;=90,"Due ≤90 days","OK"))),"Check date"))</f>
        <v/>
      </c>
      <c r="I315" s="21" t="n"/>
      <c r="J315" s="21" t="n"/>
      <c r="K315" s="22" t="n"/>
      <c r="L315" s="21" t="n"/>
      <c r="M315" s="21" t="n"/>
      <c r="N315" s="21" t="n"/>
      <c r="O315" s="27">
        <f>IF(B315="","",IFERROR(IF(VLOOKUP(B315,Lists!$A$2:$B$12,2,FALSE)="","",HYPERLINK(VLOOKUP(B315,Lists!$A$2:$B$12,2,FALSE),"How long valid?")),""))</f>
        <v/>
      </c>
      <c r="P315" s="21" t="n"/>
    </row>
    <row r="316">
      <c r="A316" s="21" t="n"/>
      <c r="B316" s="21" t="n"/>
      <c r="C316" s="22" t="n"/>
      <c r="D316" s="22" t="n"/>
      <c r="E316" s="23" t="n"/>
      <c r="F316" s="24">
        <f>IF(ISNUMBER(D316),D316-IF(ISNUMBER(E316),E316,30),"")</f>
        <v/>
      </c>
      <c r="G316" s="25">
        <f>IF(D316="","",IF(ISNUMBER(D316),D316-TODAY(),"Check date"))</f>
        <v/>
      </c>
      <c r="H316" s="26">
        <f>IF(G316="","",IF(ISNUMBER(G316),IF(G316&lt;0,"Expired",IF(G316&lt;=30,"Due ≤30 days",IF(G316&lt;=90,"Due ≤90 days","OK"))),"Check date"))</f>
        <v/>
      </c>
      <c r="I316" s="21" t="n"/>
      <c r="J316" s="21" t="n"/>
      <c r="K316" s="22" t="n"/>
      <c r="L316" s="21" t="n"/>
      <c r="M316" s="21" t="n"/>
      <c r="N316" s="21" t="n"/>
      <c r="O316" s="27">
        <f>IF(B316="","",IFERROR(IF(VLOOKUP(B316,Lists!$A$2:$B$12,2,FALSE)="","",HYPERLINK(VLOOKUP(B316,Lists!$A$2:$B$12,2,FALSE),"How long valid?")),""))</f>
        <v/>
      </c>
      <c r="P316" s="21" t="n"/>
    </row>
    <row r="317">
      <c r="A317" s="21" t="n"/>
      <c r="B317" s="21" t="n"/>
      <c r="C317" s="22" t="n"/>
      <c r="D317" s="22" t="n"/>
      <c r="E317" s="23" t="n"/>
      <c r="F317" s="24">
        <f>IF(ISNUMBER(D317),D317-IF(ISNUMBER(E317),E317,30),"")</f>
        <v/>
      </c>
      <c r="G317" s="25">
        <f>IF(D317="","",IF(ISNUMBER(D317),D317-TODAY(),"Check date"))</f>
        <v/>
      </c>
      <c r="H317" s="26">
        <f>IF(G317="","",IF(ISNUMBER(G317),IF(G317&lt;0,"Expired",IF(G317&lt;=30,"Due ≤30 days",IF(G317&lt;=90,"Due ≤90 days","OK"))),"Check date"))</f>
        <v/>
      </c>
      <c r="I317" s="21" t="n"/>
      <c r="J317" s="21" t="n"/>
      <c r="K317" s="22" t="n"/>
      <c r="L317" s="21" t="n"/>
      <c r="M317" s="21" t="n"/>
      <c r="N317" s="21" t="n"/>
      <c r="O317" s="27">
        <f>IF(B317="","",IFERROR(IF(VLOOKUP(B317,Lists!$A$2:$B$12,2,FALSE)="","",HYPERLINK(VLOOKUP(B317,Lists!$A$2:$B$12,2,FALSE),"How long valid?")),""))</f>
        <v/>
      </c>
      <c r="P317" s="21" t="n"/>
    </row>
    <row r="318">
      <c r="A318" s="21" t="n"/>
      <c r="B318" s="21" t="n"/>
      <c r="C318" s="22" t="n"/>
      <c r="D318" s="22" t="n"/>
      <c r="E318" s="23" t="n"/>
      <c r="F318" s="24">
        <f>IF(ISNUMBER(D318),D318-IF(ISNUMBER(E318),E318,30),"")</f>
        <v/>
      </c>
      <c r="G318" s="25">
        <f>IF(D318="","",IF(ISNUMBER(D318),D318-TODAY(),"Check date"))</f>
        <v/>
      </c>
      <c r="H318" s="26">
        <f>IF(G318="","",IF(ISNUMBER(G318),IF(G318&lt;0,"Expired",IF(G318&lt;=30,"Due ≤30 days",IF(G318&lt;=90,"Due ≤90 days","OK"))),"Check date"))</f>
        <v/>
      </c>
      <c r="I318" s="21" t="n"/>
      <c r="J318" s="21" t="n"/>
      <c r="K318" s="22" t="n"/>
      <c r="L318" s="21" t="n"/>
      <c r="M318" s="21" t="n"/>
      <c r="N318" s="21" t="n"/>
      <c r="O318" s="27">
        <f>IF(B318="","",IFERROR(IF(VLOOKUP(B318,Lists!$A$2:$B$12,2,FALSE)="","",HYPERLINK(VLOOKUP(B318,Lists!$A$2:$B$12,2,FALSE),"How long valid?")),""))</f>
        <v/>
      </c>
      <c r="P318" s="21" t="n"/>
    </row>
    <row r="319">
      <c r="A319" s="21" t="n"/>
      <c r="B319" s="21" t="n"/>
      <c r="C319" s="22" t="n"/>
      <c r="D319" s="22" t="n"/>
      <c r="E319" s="23" t="n"/>
      <c r="F319" s="24">
        <f>IF(ISNUMBER(D319),D319-IF(ISNUMBER(E319),E319,30),"")</f>
        <v/>
      </c>
      <c r="G319" s="25">
        <f>IF(D319="","",IF(ISNUMBER(D319),D319-TODAY(),"Check date"))</f>
        <v/>
      </c>
      <c r="H319" s="26">
        <f>IF(G319="","",IF(ISNUMBER(G319),IF(G319&lt;0,"Expired",IF(G319&lt;=30,"Due ≤30 days",IF(G319&lt;=90,"Due ≤90 days","OK"))),"Check date"))</f>
        <v/>
      </c>
      <c r="I319" s="21" t="n"/>
      <c r="J319" s="21" t="n"/>
      <c r="K319" s="22" t="n"/>
      <c r="L319" s="21" t="n"/>
      <c r="M319" s="21" t="n"/>
      <c r="N319" s="21" t="n"/>
      <c r="O319" s="27">
        <f>IF(B319="","",IFERROR(IF(VLOOKUP(B319,Lists!$A$2:$B$12,2,FALSE)="","",HYPERLINK(VLOOKUP(B319,Lists!$A$2:$B$12,2,FALSE),"How long valid?")),""))</f>
        <v/>
      </c>
      <c r="P319" s="21" t="n"/>
    </row>
    <row r="320">
      <c r="A320" s="21" t="n"/>
      <c r="B320" s="21" t="n"/>
      <c r="C320" s="22" t="n"/>
      <c r="D320" s="22" t="n"/>
      <c r="E320" s="23" t="n"/>
      <c r="F320" s="24">
        <f>IF(ISNUMBER(D320),D320-IF(ISNUMBER(E320),E320,30),"")</f>
        <v/>
      </c>
      <c r="G320" s="25">
        <f>IF(D320="","",IF(ISNUMBER(D320),D320-TODAY(),"Check date"))</f>
        <v/>
      </c>
      <c r="H320" s="26">
        <f>IF(G320="","",IF(ISNUMBER(G320),IF(G320&lt;0,"Expired",IF(G320&lt;=30,"Due ≤30 days",IF(G320&lt;=90,"Due ≤90 days","OK"))),"Check date"))</f>
        <v/>
      </c>
      <c r="I320" s="21" t="n"/>
      <c r="J320" s="21" t="n"/>
      <c r="K320" s="22" t="n"/>
      <c r="L320" s="21" t="n"/>
      <c r="M320" s="21" t="n"/>
      <c r="N320" s="21" t="n"/>
      <c r="O320" s="27">
        <f>IF(B320="","",IFERROR(IF(VLOOKUP(B320,Lists!$A$2:$B$12,2,FALSE)="","",HYPERLINK(VLOOKUP(B320,Lists!$A$2:$B$12,2,FALSE),"How long valid?")),""))</f>
        <v/>
      </c>
      <c r="P320" s="21" t="n"/>
    </row>
    <row r="321">
      <c r="A321" s="21" t="n"/>
      <c r="B321" s="21" t="n"/>
      <c r="C321" s="22" t="n"/>
      <c r="D321" s="22" t="n"/>
      <c r="E321" s="23" t="n"/>
      <c r="F321" s="24">
        <f>IF(ISNUMBER(D321),D321-IF(ISNUMBER(E321),E321,30),"")</f>
        <v/>
      </c>
      <c r="G321" s="25">
        <f>IF(D321="","",IF(ISNUMBER(D321),D321-TODAY(),"Check date"))</f>
        <v/>
      </c>
      <c r="H321" s="26">
        <f>IF(G321="","",IF(ISNUMBER(G321),IF(G321&lt;0,"Expired",IF(G321&lt;=30,"Due ≤30 days",IF(G321&lt;=90,"Due ≤90 days","OK"))),"Check date"))</f>
        <v/>
      </c>
      <c r="I321" s="21" t="n"/>
      <c r="J321" s="21" t="n"/>
      <c r="K321" s="22" t="n"/>
      <c r="L321" s="21" t="n"/>
      <c r="M321" s="21" t="n"/>
      <c r="N321" s="21" t="n"/>
      <c r="O321" s="27">
        <f>IF(B321="","",IFERROR(IF(VLOOKUP(B321,Lists!$A$2:$B$12,2,FALSE)="","",HYPERLINK(VLOOKUP(B321,Lists!$A$2:$B$12,2,FALSE),"How long valid?")),""))</f>
        <v/>
      </c>
      <c r="P321" s="21" t="n"/>
    </row>
    <row r="322">
      <c r="A322" s="21" t="n"/>
      <c r="B322" s="21" t="n"/>
      <c r="C322" s="22" t="n"/>
      <c r="D322" s="22" t="n"/>
      <c r="E322" s="23" t="n"/>
      <c r="F322" s="24">
        <f>IF(ISNUMBER(D322),D322-IF(ISNUMBER(E322),E322,30),"")</f>
        <v/>
      </c>
      <c r="G322" s="25">
        <f>IF(D322="","",IF(ISNUMBER(D322),D322-TODAY(),"Check date"))</f>
        <v/>
      </c>
      <c r="H322" s="26">
        <f>IF(G322="","",IF(ISNUMBER(G322),IF(G322&lt;0,"Expired",IF(G322&lt;=30,"Due ≤30 days",IF(G322&lt;=90,"Due ≤90 days","OK"))),"Check date"))</f>
        <v/>
      </c>
      <c r="I322" s="21" t="n"/>
      <c r="J322" s="21" t="n"/>
      <c r="K322" s="22" t="n"/>
      <c r="L322" s="21" t="n"/>
      <c r="M322" s="21" t="n"/>
      <c r="N322" s="21" t="n"/>
      <c r="O322" s="27">
        <f>IF(B322="","",IFERROR(IF(VLOOKUP(B322,Lists!$A$2:$B$12,2,FALSE)="","",HYPERLINK(VLOOKUP(B322,Lists!$A$2:$B$12,2,FALSE),"How long valid?")),""))</f>
        <v/>
      </c>
      <c r="P322" s="21" t="n"/>
    </row>
    <row r="323">
      <c r="A323" s="21" t="n"/>
      <c r="B323" s="21" t="n"/>
      <c r="C323" s="22" t="n"/>
      <c r="D323" s="22" t="n"/>
      <c r="E323" s="23" t="n"/>
      <c r="F323" s="24">
        <f>IF(ISNUMBER(D323),D323-IF(ISNUMBER(E323),E323,30),"")</f>
        <v/>
      </c>
      <c r="G323" s="25">
        <f>IF(D323="","",IF(ISNUMBER(D323),D323-TODAY(),"Check date"))</f>
        <v/>
      </c>
      <c r="H323" s="26">
        <f>IF(G323="","",IF(ISNUMBER(G323),IF(G323&lt;0,"Expired",IF(G323&lt;=30,"Due ≤30 days",IF(G323&lt;=90,"Due ≤90 days","OK"))),"Check date"))</f>
        <v/>
      </c>
      <c r="I323" s="21" t="n"/>
      <c r="J323" s="21" t="n"/>
      <c r="K323" s="22" t="n"/>
      <c r="L323" s="21" t="n"/>
      <c r="M323" s="21" t="n"/>
      <c r="N323" s="21" t="n"/>
      <c r="O323" s="27">
        <f>IF(B323="","",IFERROR(IF(VLOOKUP(B323,Lists!$A$2:$B$12,2,FALSE)="","",HYPERLINK(VLOOKUP(B323,Lists!$A$2:$B$12,2,FALSE),"How long valid?")),""))</f>
        <v/>
      </c>
      <c r="P323" s="21" t="n"/>
    </row>
    <row r="324">
      <c r="A324" s="21" t="n"/>
      <c r="B324" s="21" t="n"/>
      <c r="C324" s="22" t="n"/>
      <c r="D324" s="22" t="n"/>
      <c r="E324" s="23" t="n"/>
      <c r="F324" s="24">
        <f>IF(ISNUMBER(D324),D324-IF(ISNUMBER(E324),E324,30),"")</f>
        <v/>
      </c>
      <c r="G324" s="25">
        <f>IF(D324="","",IF(ISNUMBER(D324),D324-TODAY(),"Check date"))</f>
        <v/>
      </c>
      <c r="H324" s="26">
        <f>IF(G324="","",IF(ISNUMBER(G324),IF(G324&lt;0,"Expired",IF(G324&lt;=30,"Due ≤30 days",IF(G324&lt;=90,"Due ≤90 days","OK"))),"Check date"))</f>
        <v/>
      </c>
      <c r="I324" s="21" t="n"/>
      <c r="J324" s="21" t="n"/>
      <c r="K324" s="22" t="n"/>
      <c r="L324" s="21" t="n"/>
      <c r="M324" s="21" t="n"/>
      <c r="N324" s="21" t="n"/>
      <c r="O324" s="27">
        <f>IF(B324="","",IFERROR(IF(VLOOKUP(B324,Lists!$A$2:$B$12,2,FALSE)="","",HYPERLINK(VLOOKUP(B324,Lists!$A$2:$B$12,2,FALSE),"How long valid?")),""))</f>
        <v/>
      </c>
      <c r="P324" s="21" t="n"/>
    </row>
    <row r="325">
      <c r="A325" s="21" t="n"/>
      <c r="B325" s="21" t="n"/>
      <c r="C325" s="22" t="n"/>
      <c r="D325" s="22" t="n"/>
      <c r="E325" s="23" t="n"/>
      <c r="F325" s="24">
        <f>IF(ISNUMBER(D325),D325-IF(ISNUMBER(E325),E325,30),"")</f>
        <v/>
      </c>
      <c r="G325" s="25">
        <f>IF(D325="","",IF(ISNUMBER(D325),D325-TODAY(),"Check date"))</f>
        <v/>
      </c>
      <c r="H325" s="26">
        <f>IF(G325="","",IF(ISNUMBER(G325),IF(G325&lt;0,"Expired",IF(G325&lt;=30,"Due ≤30 days",IF(G325&lt;=90,"Due ≤90 days","OK"))),"Check date"))</f>
        <v/>
      </c>
      <c r="I325" s="21" t="n"/>
      <c r="J325" s="21" t="n"/>
      <c r="K325" s="22" t="n"/>
      <c r="L325" s="21" t="n"/>
      <c r="M325" s="21" t="n"/>
      <c r="N325" s="21" t="n"/>
      <c r="O325" s="27">
        <f>IF(B325="","",IFERROR(IF(VLOOKUP(B325,Lists!$A$2:$B$12,2,FALSE)="","",HYPERLINK(VLOOKUP(B325,Lists!$A$2:$B$12,2,FALSE),"How long valid?")),""))</f>
        <v/>
      </c>
      <c r="P325" s="21" t="n"/>
    </row>
    <row r="326">
      <c r="A326" s="21" t="n"/>
      <c r="B326" s="21" t="n"/>
      <c r="C326" s="22" t="n"/>
      <c r="D326" s="22" t="n"/>
      <c r="E326" s="23" t="n"/>
      <c r="F326" s="24">
        <f>IF(ISNUMBER(D326),D326-IF(ISNUMBER(E326),E326,30),"")</f>
        <v/>
      </c>
      <c r="G326" s="25">
        <f>IF(D326="","",IF(ISNUMBER(D326),D326-TODAY(),"Check date"))</f>
        <v/>
      </c>
      <c r="H326" s="26">
        <f>IF(G326="","",IF(ISNUMBER(G326),IF(G326&lt;0,"Expired",IF(G326&lt;=30,"Due ≤30 days",IF(G326&lt;=90,"Due ≤90 days","OK"))),"Check date"))</f>
        <v/>
      </c>
      <c r="I326" s="21" t="n"/>
      <c r="J326" s="21" t="n"/>
      <c r="K326" s="22" t="n"/>
      <c r="L326" s="21" t="n"/>
      <c r="M326" s="21" t="n"/>
      <c r="N326" s="21" t="n"/>
      <c r="O326" s="27">
        <f>IF(B326="","",IFERROR(IF(VLOOKUP(B326,Lists!$A$2:$B$12,2,FALSE)="","",HYPERLINK(VLOOKUP(B326,Lists!$A$2:$B$12,2,FALSE),"How long valid?")),""))</f>
        <v/>
      </c>
      <c r="P326" s="21" t="n"/>
    </row>
    <row r="327">
      <c r="A327" s="21" t="n"/>
      <c r="B327" s="21" t="n"/>
      <c r="C327" s="22" t="n"/>
      <c r="D327" s="22" t="n"/>
      <c r="E327" s="23" t="n"/>
      <c r="F327" s="24">
        <f>IF(ISNUMBER(D327),D327-IF(ISNUMBER(E327),E327,30),"")</f>
        <v/>
      </c>
      <c r="G327" s="25">
        <f>IF(D327="","",IF(ISNUMBER(D327),D327-TODAY(),"Check date"))</f>
        <v/>
      </c>
      <c r="H327" s="26">
        <f>IF(G327="","",IF(ISNUMBER(G327),IF(G327&lt;0,"Expired",IF(G327&lt;=30,"Due ≤30 days",IF(G327&lt;=90,"Due ≤90 days","OK"))),"Check date"))</f>
        <v/>
      </c>
      <c r="I327" s="21" t="n"/>
      <c r="J327" s="21" t="n"/>
      <c r="K327" s="22" t="n"/>
      <c r="L327" s="21" t="n"/>
      <c r="M327" s="21" t="n"/>
      <c r="N327" s="21" t="n"/>
      <c r="O327" s="27">
        <f>IF(B327="","",IFERROR(IF(VLOOKUP(B327,Lists!$A$2:$B$12,2,FALSE)="","",HYPERLINK(VLOOKUP(B327,Lists!$A$2:$B$12,2,FALSE),"How long valid?")),""))</f>
        <v/>
      </c>
      <c r="P327" s="21" t="n"/>
    </row>
    <row r="328">
      <c r="A328" s="21" t="n"/>
      <c r="B328" s="21" t="n"/>
      <c r="C328" s="22" t="n"/>
      <c r="D328" s="22" t="n"/>
      <c r="E328" s="23" t="n"/>
      <c r="F328" s="24">
        <f>IF(ISNUMBER(D328),D328-IF(ISNUMBER(E328),E328,30),"")</f>
        <v/>
      </c>
      <c r="G328" s="25">
        <f>IF(D328="","",IF(ISNUMBER(D328),D328-TODAY(),"Check date"))</f>
        <v/>
      </c>
      <c r="H328" s="26">
        <f>IF(G328="","",IF(ISNUMBER(G328),IF(G328&lt;0,"Expired",IF(G328&lt;=30,"Due ≤30 days",IF(G328&lt;=90,"Due ≤90 days","OK"))),"Check date"))</f>
        <v/>
      </c>
      <c r="I328" s="21" t="n"/>
      <c r="J328" s="21" t="n"/>
      <c r="K328" s="22" t="n"/>
      <c r="L328" s="21" t="n"/>
      <c r="M328" s="21" t="n"/>
      <c r="N328" s="21" t="n"/>
      <c r="O328" s="27">
        <f>IF(B328="","",IFERROR(IF(VLOOKUP(B328,Lists!$A$2:$B$12,2,FALSE)="","",HYPERLINK(VLOOKUP(B328,Lists!$A$2:$B$12,2,FALSE),"How long valid?")),""))</f>
        <v/>
      </c>
      <c r="P328" s="21" t="n"/>
    </row>
    <row r="329">
      <c r="A329" s="21" t="n"/>
      <c r="B329" s="21" t="n"/>
      <c r="C329" s="22" t="n"/>
      <c r="D329" s="22" t="n"/>
      <c r="E329" s="23" t="n"/>
      <c r="F329" s="24">
        <f>IF(ISNUMBER(D329),D329-IF(ISNUMBER(E329),E329,30),"")</f>
        <v/>
      </c>
      <c r="G329" s="25">
        <f>IF(D329="","",IF(ISNUMBER(D329),D329-TODAY(),"Check date"))</f>
        <v/>
      </c>
      <c r="H329" s="26">
        <f>IF(G329="","",IF(ISNUMBER(G329),IF(G329&lt;0,"Expired",IF(G329&lt;=30,"Due ≤30 days",IF(G329&lt;=90,"Due ≤90 days","OK"))),"Check date"))</f>
        <v/>
      </c>
      <c r="I329" s="21" t="n"/>
      <c r="J329" s="21" t="n"/>
      <c r="K329" s="22" t="n"/>
      <c r="L329" s="21" t="n"/>
      <c r="M329" s="21" t="n"/>
      <c r="N329" s="21" t="n"/>
      <c r="O329" s="27">
        <f>IF(B329="","",IFERROR(IF(VLOOKUP(B329,Lists!$A$2:$B$12,2,FALSE)="","",HYPERLINK(VLOOKUP(B329,Lists!$A$2:$B$12,2,FALSE),"How long valid?")),""))</f>
        <v/>
      </c>
      <c r="P329" s="21" t="n"/>
    </row>
    <row r="330">
      <c r="A330" s="21" t="n"/>
      <c r="B330" s="21" t="n"/>
      <c r="C330" s="22" t="n"/>
      <c r="D330" s="22" t="n"/>
      <c r="E330" s="23" t="n"/>
      <c r="F330" s="24">
        <f>IF(ISNUMBER(D330),D330-IF(ISNUMBER(E330),E330,30),"")</f>
        <v/>
      </c>
      <c r="G330" s="25">
        <f>IF(D330="","",IF(ISNUMBER(D330),D330-TODAY(),"Check date"))</f>
        <v/>
      </c>
      <c r="H330" s="26">
        <f>IF(G330="","",IF(ISNUMBER(G330),IF(G330&lt;0,"Expired",IF(G330&lt;=30,"Due ≤30 days",IF(G330&lt;=90,"Due ≤90 days","OK"))),"Check date"))</f>
        <v/>
      </c>
      <c r="I330" s="21" t="n"/>
      <c r="J330" s="21" t="n"/>
      <c r="K330" s="22" t="n"/>
      <c r="L330" s="21" t="n"/>
      <c r="M330" s="21" t="n"/>
      <c r="N330" s="21" t="n"/>
      <c r="O330" s="27">
        <f>IF(B330="","",IFERROR(IF(VLOOKUP(B330,Lists!$A$2:$B$12,2,FALSE)="","",HYPERLINK(VLOOKUP(B330,Lists!$A$2:$B$12,2,FALSE),"How long valid?")),""))</f>
        <v/>
      </c>
      <c r="P330" s="21" t="n"/>
    </row>
    <row r="331">
      <c r="A331" s="21" t="n"/>
      <c r="B331" s="21" t="n"/>
      <c r="C331" s="22" t="n"/>
      <c r="D331" s="22" t="n"/>
      <c r="E331" s="23" t="n"/>
      <c r="F331" s="24">
        <f>IF(ISNUMBER(D331),D331-IF(ISNUMBER(E331),E331,30),"")</f>
        <v/>
      </c>
      <c r="G331" s="25">
        <f>IF(D331="","",IF(ISNUMBER(D331),D331-TODAY(),"Check date"))</f>
        <v/>
      </c>
      <c r="H331" s="26">
        <f>IF(G331="","",IF(ISNUMBER(G331),IF(G331&lt;0,"Expired",IF(G331&lt;=30,"Due ≤30 days",IF(G331&lt;=90,"Due ≤90 days","OK"))),"Check date"))</f>
        <v/>
      </c>
      <c r="I331" s="21" t="n"/>
      <c r="J331" s="21" t="n"/>
      <c r="K331" s="22" t="n"/>
      <c r="L331" s="21" t="n"/>
      <c r="M331" s="21" t="n"/>
      <c r="N331" s="21" t="n"/>
      <c r="O331" s="27">
        <f>IF(B331="","",IFERROR(IF(VLOOKUP(B331,Lists!$A$2:$B$12,2,FALSE)="","",HYPERLINK(VLOOKUP(B331,Lists!$A$2:$B$12,2,FALSE),"How long valid?")),""))</f>
        <v/>
      </c>
      <c r="P331" s="21" t="n"/>
    </row>
    <row r="332">
      <c r="A332" s="21" t="n"/>
      <c r="B332" s="21" t="n"/>
      <c r="C332" s="22" t="n"/>
      <c r="D332" s="22" t="n"/>
      <c r="E332" s="23" t="n"/>
      <c r="F332" s="24">
        <f>IF(ISNUMBER(D332),D332-IF(ISNUMBER(E332),E332,30),"")</f>
        <v/>
      </c>
      <c r="G332" s="25">
        <f>IF(D332="","",IF(ISNUMBER(D332),D332-TODAY(),"Check date"))</f>
        <v/>
      </c>
      <c r="H332" s="26">
        <f>IF(G332="","",IF(ISNUMBER(G332),IF(G332&lt;0,"Expired",IF(G332&lt;=30,"Due ≤30 days",IF(G332&lt;=90,"Due ≤90 days","OK"))),"Check date"))</f>
        <v/>
      </c>
      <c r="I332" s="21" t="n"/>
      <c r="J332" s="21" t="n"/>
      <c r="K332" s="22" t="n"/>
      <c r="L332" s="21" t="n"/>
      <c r="M332" s="21" t="n"/>
      <c r="N332" s="21" t="n"/>
      <c r="O332" s="27">
        <f>IF(B332="","",IFERROR(IF(VLOOKUP(B332,Lists!$A$2:$B$12,2,FALSE)="","",HYPERLINK(VLOOKUP(B332,Lists!$A$2:$B$12,2,FALSE),"How long valid?")),""))</f>
        <v/>
      </c>
      <c r="P332" s="21" t="n"/>
    </row>
    <row r="333">
      <c r="A333" s="21" t="n"/>
      <c r="B333" s="21" t="n"/>
      <c r="C333" s="22" t="n"/>
      <c r="D333" s="22" t="n"/>
      <c r="E333" s="23" t="n"/>
      <c r="F333" s="24">
        <f>IF(ISNUMBER(D333),D333-IF(ISNUMBER(E333),E333,30),"")</f>
        <v/>
      </c>
      <c r="G333" s="25">
        <f>IF(D333="","",IF(ISNUMBER(D333),D333-TODAY(),"Check date"))</f>
        <v/>
      </c>
      <c r="H333" s="26">
        <f>IF(G333="","",IF(ISNUMBER(G333),IF(G333&lt;0,"Expired",IF(G333&lt;=30,"Due ≤30 days",IF(G333&lt;=90,"Due ≤90 days","OK"))),"Check date"))</f>
        <v/>
      </c>
      <c r="I333" s="21" t="n"/>
      <c r="J333" s="21" t="n"/>
      <c r="K333" s="22" t="n"/>
      <c r="L333" s="21" t="n"/>
      <c r="M333" s="21" t="n"/>
      <c r="N333" s="21" t="n"/>
      <c r="O333" s="27">
        <f>IF(B333="","",IFERROR(IF(VLOOKUP(B333,Lists!$A$2:$B$12,2,FALSE)="","",HYPERLINK(VLOOKUP(B333,Lists!$A$2:$B$12,2,FALSE),"How long valid?")),""))</f>
        <v/>
      </c>
      <c r="P333" s="21" t="n"/>
    </row>
    <row r="334">
      <c r="A334" s="21" t="n"/>
      <c r="B334" s="21" t="n"/>
      <c r="C334" s="22" t="n"/>
      <c r="D334" s="22" t="n"/>
      <c r="E334" s="23" t="n"/>
      <c r="F334" s="24">
        <f>IF(ISNUMBER(D334),D334-IF(ISNUMBER(E334),E334,30),"")</f>
        <v/>
      </c>
      <c r="G334" s="25">
        <f>IF(D334="","",IF(ISNUMBER(D334),D334-TODAY(),"Check date"))</f>
        <v/>
      </c>
      <c r="H334" s="26">
        <f>IF(G334="","",IF(ISNUMBER(G334),IF(G334&lt;0,"Expired",IF(G334&lt;=30,"Due ≤30 days",IF(G334&lt;=90,"Due ≤90 days","OK"))),"Check date"))</f>
        <v/>
      </c>
      <c r="I334" s="21" t="n"/>
      <c r="J334" s="21" t="n"/>
      <c r="K334" s="22" t="n"/>
      <c r="L334" s="21" t="n"/>
      <c r="M334" s="21" t="n"/>
      <c r="N334" s="21" t="n"/>
      <c r="O334" s="27">
        <f>IF(B334="","",IFERROR(IF(VLOOKUP(B334,Lists!$A$2:$B$12,2,FALSE)="","",HYPERLINK(VLOOKUP(B334,Lists!$A$2:$B$12,2,FALSE),"How long valid?")),""))</f>
        <v/>
      </c>
      <c r="P334" s="21" t="n"/>
    </row>
    <row r="335">
      <c r="A335" s="21" t="n"/>
      <c r="B335" s="21" t="n"/>
      <c r="C335" s="22" t="n"/>
      <c r="D335" s="22" t="n"/>
      <c r="E335" s="23" t="n"/>
      <c r="F335" s="24">
        <f>IF(ISNUMBER(D335),D335-IF(ISNUMBER(E335),E335,30),"")</f>
        <v/>
      </c>
      <c r="G335" s="25">
        <f>IF(D335="","",IF(ISNUMBER(D335),D335-TODAY(),"Check date"))</f>
        <v/>
      </c>
      <c r="H335" s="26">
        <f>IF(G335="","",IF(ISNUMBER(G335),IF(G335&lt;0,"Expired",IF(G335&lt;=30,"Due ≤30 days",IF(G335&lt;=90,"Due ≤90 days","OK"))),"Check date"))</f>
        <v/>
      </c>
      <c r="I335" s="21" t="n"/>
      <c r="J335" s="21" t="n"/>
      <c r="K335" s="22" t="n"/>
      <c r="L335" s="21" t="n"/>
      <c r="M335" s="21" t="n"/>
      <c r="N335" s="21" t="n"/>
      <c r="O335" s="27">
        <f>IF(B335="","",IFERROR(IF(VLOOKUP(B335,Lists!$A$2:$B$12,2,FALSE)="","",HYPERLINK(VLOOKUP(B335,Lists!$A$2:$B$12,2,FALSE),"How long valid?")),""))</f>
        <v/>
      </c>
      <c r="P335" s="21" t="n"/>
    </row>
    <row r="336">
      <c r="A336" s="21" t="n"/>
      <c r="B336" s="21" t="n"/>
      <c r="C336" s="22" t="n"/>
      <c r="D336" s="22" t="n"/>
      <c r="E336" s="23" t="n"/>
      <c r="F336" s="24">
        <f>IF(ISNUMBER(D336),D336-IF(ISNUMBER(E336),E336,30),"")</f>
        <v/>
      </c>
      <c r="G336" s="25">
        <f>IF(D336="","",IF(ISNUMBER(D336),D336-TODAY(),"Check date"))</f>
        <v/>
      </c>
      <c r="H336" s="26">
        <f>IF(G336="","",IF(ISNUMBER(G336),IF(G336&lt;0,"Expired",IF(G336&lt;=30,"Due ≤30 days",IF(G336&lt;=90,"Due ≤90 days","OK"))),"Check date"))</f>
        <v/>
      </c>
      <c r="I336" s="21" t="n"/>
      <c r="J336" s="21" t="n"/>
      <c r="K336" s="22" t="n"/>
      <c r="L336" s="21" t="n"/>
      <c r="M336" s="21" t="n"/>
      <c r="N336" s="21" t="n"/>
      <c r="O336" s="27">
        <f>IF(B336="","",IFERROR(IF(VLOOKUP(B336,Lists!$A$2:$B$12,2,FALSE)="","",HYPERLINK(VLOOKUP(B336,Lists!$A$2:$B$12,2,FALSE),"How long valid?")),""))</f>
        <v/>
      </c>
      <c r="P336" s="21" t="n"/>
    </row>
    <row r="337">
      <c r="A337" s="21" t="n"/>
      <c r="B337" s="21" t="n"/>
      <c r="C337" s="22" t="n"/>
      <c r="D337" s="22" t="n"/>
      <c r="E337" s="23" t="n"/>
      <c r="F337" s="24">
        <f>IF(ISNUMBER(D337),D337-IF(ISNUMBER(E337),E337,30),"")</f>
        <v/>
      </c>
      <c r="G337" s="25">
        <f>IF(D337="","",IF(ISNUMBER(D337),D337-TODAY(),"Check date"))</f>
        <v/>
      </c>
      <c r="H337" s="26">
        <f>IF(G337="","",IF(ISNUMBER(G337),IF(G337&lt;0,"Expired",IF(G337&lt;=30,"Due ≤30 days",IF(G337&lt;=90,"Due ≤90 days","OK"))),"Check date"))</f>
        <v/>
      </c>
      <c r="I337" s="21" t="n"/>
      <c r="J337" s="21" t="n"/>
      <c r="K337" s="22" t="n"/>
      <c r="L337" s="21" t="n"/>
      <c r="M337" s="21" t="n"/>
      <c r="N337" s="21" t="n"/>
      <c r="O337" s="27">
        <f>IF(B337="","",IFERROR(IF(VLOOKUP(B337,Lists!$A$2:$B$12,2,FALSE)="","",HYPERLINK(VLOOKUP(B337,Lists!$A$2:$B$12,2,FALSE),"How long valid?")),""))</f>
        <v/>
      </c>
      <c r="P337" s="21" t="n"/>
    </row>
    <row r="338">
      <c r="A338" s="21" t="n"/>
      <c r="B338" s="21" t="n"/>
      <c r="C338" s="22" t="n"/>
      <c r="D338" s="22" t="n"/>
      <c r="E338" s="23" t="n"/>
      <c r="F338" s="24">
        <f>IF(ISNUMBER(D338),D338-IF(ISNUMBER(E338),E338,30),"")</f>
        <v/>
      </c>
      <c r="G338" s="25">
        <f>IF(D338="","",IF(ISNUMBER(D338),D338-TODAY(),"Check date"))</f>
        <v/>
      </c>
      <c r="H338" s="26">
        <f>IF(G338="","",IF(ISNUMBER(G338),IF(G338&lt;0,"Expired",IF(G338&lt;=30,"Due ≤30 days",IF(G338&lt;=90,"Due ≤90 days","OK"))),"Check date"))</f>
        <v/>
      </c>
      <c r="I338" s="21" t="n"/>
      <c r="J338" s="21" t="n"/>
      <c r="K338" s="22" t="n"/>
      <c r="L338" s="21" t="n"/>
      <c r="M338" s="21" t="n"/>
      <c r="N338" s="21" t="n"/>
      <c r="O338" s="27">
        <f>IF(B338="","",IFERROR(IF(VLOOKUP(B338,Lists!$A$2:$B$12,2,FALSE)="","",HYPERLINK(VLOOKUP(B338,Lists!$A$2:$B$12,2,FALSE),"How long valid?")),""))</f>
        <v/>
      </c>
      <c r="P338" s="21" t="n"/>
    </row>
    <row r="339">
      <c r="A339" s="21" t="n"/>
      <c r="B339" s="21" t="n"/>
      <c r="C339" s="22" t="n"/>
      <c r="D339" s="22" t="n"/>
      <c r="E339" s="23" t="n"/>
      <c r="F339" s="24">
        <f>IF(ISNUMBER(D339),D339-IF(ISNUMBER(E339),E339,30),"")</f>
        <v/>
      </c>
      <c r="G339" s="25">
        <f>IF(D339="","",IF(ISNUMBER(D339),D339-TODAY(),"Check date"))</f>
        <v/>
      </c>
      <c r="H339" s="26">
        <f>IF(G339="","",IF(ISNUMBER(G339),IF(G339&lt;0,"Expired",IF(G339&lt;=30,"Due ≤30 days",IF(G339&lt;=90,"Due ≤90 days","OK"))),"Check date"))</f>
        <v/>
      </c>
      <c r="I339" s="21" t="n"/>
      <c r="J339" s="21" t="n"/>
      <c r="K339" s="22" t="n"/>
      <c r="L339" s="21" t="n"/>
      <c r="M339" s="21" t="n"/>
      <c r="N339" s="21" t="n"/>
      <c r="O339" s="27">
        <f>IF(B339="","",IFERROR(IF(VLOOKUP(B339,Lists!$A$2:$B$12,2,FALSE)="","",HYPERLINK(VLOOKUP(B339,Lists!$A$2:$B$12,2,FALSE),"How long valid?")),""))</f>
        <v/>
      </c>
      <c r="P339" s="21" t="n"/>
    </row>
    <row r="340">
      <c r="A340" s="21" t="n"/>
      <c r="B340" s="21" t="n"/>
      <c r="C340" s="22" t="n"/>
      <c r="D340" s="22" t="n"/>
      <c r="E340" s="23" t="n"/>
      <c r="F340" s="24">
        <f>IF(ISNUMBER(D340),D340-IF(ISNUMBER(E340),E340,30),"")</f>
        <v/>
      </c>
      <c r="G340" s="25">
        <f>IF(D340="","",IF(ISNUMBER(D340),D340-TODAY(),"Check date"))</f>
        <v/>
      </c>
      <c r="H340" s="26">
        <f>IF(G340="","",IF(ISNUMBER(G340),IF(G340&lt;0,"Expired",IF(G340&lt;=30,"Due ≤30 days",IF(G340&lt;=90,"Due ≤90 days","OK"))),"Check date"))</f>
        <v/>
      </c>
      <c r="I340" s="21" t="n"/>
      <c r="J340" s="21" t="n"/>
      <c r="K340" s="22" t="n"/>
      <c r="L340" s="21" t="n"/>
      <c r="M340" s="21" t="n"/>
      <c r="N340" s="21" t="n"/>
      <c r="O340" s="27">
        <f>IF(B340="","",IFERROR(IF(VLOOKUP(B340,Lists!$A$2:$B$12,2,FALSE)="","",HYPERLINK(VLOOKUP(B340,Lists!$A$2:$B$12,2,FALSE),"How long valid?")),""))</f>
        <v/>
      </c>
      <c r="P340" s="21" t="n"/>
    </row>
    <row r="341">
      <c r="A341" s="21" t="n"/>
      <c r="B341" s="21" t="n"/>
      <c r="C341" s="22" t="n"/>
      <c r="D341" s="22" t="n"/>
      <c r="E341" s="23" t="n"/>
      <c r="F341" s="24">
        <f>IF(ISNUMBER(D341),D341-IF(ISNUMBER(E341),E341,30),"")</f>
        <v/>
      </c>
      <c r="G341" s="25">
        <f>IF(D341="","",IF(ISNUMBER(D341),D341-TODAY(),"Check date"))</f>
        <v/>
      </c>
      <c r="H341" s="26">
        <f>IF(G341="","",IF(ISNUMBER(G341),IF(G341&lt;0,"Expired",IF(G341&lt;=30,"Due ≤30 days",IF(G341&lt;=90,"Due ≤90 days","OK"))),"Check date"))</f>
        <v/>
      </c>
      <c r="I341" s="21" t="n"/>
      <c r="J341" s="21" t="n"/>
      <c r="K341" s="22" t="n"/>
      <c r="L341" s="21" t="n"/>
      <c r="M341" s="21" t="n"/>
      <c r="N341" s="21" t="n"/>
      <c r="O341" s="27">
        <f>IF(B341="","",IFERROR(IF(VLOOKUP(B341,Lists!$A$2:$B$12,2,FALSE)="","",HYPERLINK(VLOOKUP(B341,Lists!$A$2:$B$12,2,FALSE),"How long valid?")),""))</f>
        <v/>
      </c>
      <c r="P341" s="21" t="n"/>
    </row>
    <row r="342">
      <c r="A342" s="21" t="n"/>
      <c r="B342" s="21" t="n"/>
      <c r="C342" s="22" t="n"/>
      <c r="D342" s="22" t="n"/>
      <c r="E342" s="23" t="n"/>
      <c r="F342" s="24">
        <f>IF(ISNUMBER(D342),D342-IF(ISNUMBER(E342),E342,30),"")</f>
        <v/>
      </c>
      <c r="G342" s="25">
        <f>IF(D342="","",IF(ISNUMBER(D342),D342-TODAY(),"Check date"))</f>
        <v/>
      </c>
      <c r="H342" s="26">
        <f>IF(G342="","",IF(ISNUMBER(G342),IF(G342&lt;0,"Expired",IF(G342&lt;=30,"Due ≤30 days",IF(G342&lt;=90,"Due ≤90 days","OK"))),"Check date"))</f>
        <v/>
      </c>
      <c r="I342" s="21" t="n"/>
      <c r="J342" s="21" t="n"/>
      <c r="K342" s="22" t="n"/>
      <c r="L342" s="21" t="n"/>
      <c r="M342" s="21" t="n"/>
      <c r="N342" s="21" t="n"/>
      <c r="O342" s="27">
        <f>IF(B342="","",IFERROR(IF(VLOOKUP(B342,Lists!$A$2:$B$12,2,FALSE)="","",HYPERLINK(VLOOKUP(B342,Lists!$A$2:$B$12,2,FALSE),"How long valid?")),""))</f>
        <v/>
      </c>
      <c r="P342" s="21" t="n"/>
    </row>
    <row r="343">
      <c r="A343" s="21" t="n"/>
      <c r="B343" s="21" t="n"/>
      <c r="C343" s="22" t="n"/>
      <c r="D343" s="22" t="n"/>
      <c r="E343" s="23" t="n"/>
      <c r="F343" s="24">
        <f>IF(ISNUMBER(D343),D343-IF(ISNUMBER(E343),E343,30),"")</f>
        <v/>
      </c>
      <c r="G343" s="25">
        <f>IF(D343="","",IF(ISNUMBER(D343),D343-TODAY(),"Check date"))</f>
        <v/>
      </c>
      <c r="H343" s="26">
        <f>IF(G343="","",IF(ISNUMBER(G343),IF(G343&lt;0,"Expired",IF(G343&lt;=30,"Due ≤30 days",IF(G343&lt;=90,"Due ≤90 days","OK"))),"Check date"))</f>
        <v/>
      </c>
      <c r="I343" s="21" t="n"/>
      <c r="J343" s="21" t="n"/>
      <c r="K343" s="22" t="n"/>
      <c r="L343" s="21" t="n"/>
      <c r="M343" s="21" t="n"/>
      <c r="N343" s="21" t="n"/>
      <c r="O343" s="27">
        <f>IF(B343="","",IFERROR(IF(VLOOKUP(B343,Lists!$A$2:$B$12,2,FALSE)="","",HYPERLINK(VLOOKUP(B343,Lists!$A$2:$B$12,2,FALSE),"How long valid?")),""))</f>
        <v/>
      </c>
      <c r="P343" s="21" t="n"/>
    </row>
    <row r="344">
      <c r="A344" s="21" t="n"/>
      <c r="B344" s="21" t="n"/>
      <c r="C344" s="22" t="n"/>
      <c r="D344" s="22" t="n"/>
      <c r="E344" s="23" t="n"/>
      <c r="F344" s="24">
        <f>IF(ISNUMBER(D344),D344-IF(ISNUMBER(E344),E344,30),"")</f>
        <v/>
      </c>
      <c r="G344" s="25">
        <f>IF(D344="","",IF(ISNUMBER(D344),D344-TODAY(),"Check date"))</f>
        <v/>
      </c>
      <c r="H344" s="26">
        <f>IF(G344="","",IF(ISNUMBER(G344),IF(G344&lt;0,"Expired",IF(G344&lt;=30,"Due ≤30 days",IF(G344&lt;=90,"Due ≤90 days","OK"))),"Check date"))</f>
        <v/>
      </c>
      <c r="I344" s="21" t="n"/>
      <c r="J344" s="21" t="n"/>
      <c r="K344" s="22" t="n"/>
      <c r="L344" s="21" t="n"/>
      <c r="M344" s="21" t="n"/>
      <c r="N344" s="21" t="n"/>
      <c r="O344" s="27">
        <f>IF(B344="","",IFERROR(IF(VLOOKUP(B344,Lists!$A$2:$B$12,2,FALSE)="","",HYPERLINK(VLOOKUP(B344,Lists!$A$2:$B$12,2,FALSE),"How long valid?")),""))</f>
        <v/>
      </c>
      <c r="P344" s="21" t="n"/>
    </row>
    <row r="345">
      <c r="A345" s="21" t="n"/>
      <c r="B345" s="21" t="n"/>
      <c r="C345" s="22" t="n"/>
      <c r="D345" s="22" t="n"/>
      <c r="E345" s="23" t="n"/>
      <c r="F345" s="24">
        <f>IF(ISNUMBER(D345),D345-IF(ISNUMBER(E345),E345,30),"")</f>
        <v/>
      </c>
      <c r="G345" s="25">
        <f>IF(D345="","",IF(ISNUMBER(D345),D345-TODAY(),"Check date"))</f>
        <v/>
      </c>
      <c r="H345" s="26">
        <f>IF(G345="","",IF(ISNUMBER(G345),IF(G345&lt;0,"Expired",IF(G345&lt;=30,"Due ≤30 days",IF(G345&lt;=90,"Due ≤90 days","OK"))),"Check date"))</f>
        <v/>
      </c>
      <c r="I345" s="21" t="n"/>
      <c r="J345" s="21" t="n"/>
      <c r="K345" s="22" t="n"/>
      <c r="L345" s="21" t="n"/>
      <c r="M345" s="21" t="n"/>
      <c r="N345" s="21" t="n"/>
      <c r="O345" s="27">
        <f>IF(B345="","",IFERROR(IF(VLOOKUP(B345,Lists!$A$2:$B$12,2,FALSE)="","",HYPERLINK(VLOOKUP(B345,Lists!$A$2:$B$12,2,FALSE),"How long valid?")),""))</f>
        <v/>
      </c>
      <c r="P345" s="21" t="n"/>
    </row>
    <row r="346">
      <c r="A346" s="21" t="n"/>
      <c r="B346" s="21" t="n"/>
      <c r="C346" s="22" t="n"/>
      <c r="D346" s="22" t="n"/>
      <c r="E346" s="23" t="n"/>
      <c r="F346" s="24">
        <f>IF(ISNUMBER(D346),D346-IF(ISNUMBER(E346),E346,30),"")</f>
        <v/>
      </c>
      <c r="G346" s="25">
        <f>IF(D346="","",IF(ISNUMBER(D346),D346-TODAY(),"Check date"))</f>
        <v/>
      </c>
      <c r="H346" s="26">
        <f>IF(G346="","",IF(ISNUMBER(G346),IF(G346&lt;0,"Expired",IF(G346&lt;=30,"Due ≤30 days",IF(G346&lt;=90,"Due ≤90 days","OK"))),"Check date"))</f>
        <v/>
      </c>
      <c r="I346" s="21" t="n"/>
      <c r="J346" s="21" t="n"/>
      <c r="K346" s="22" t="n"/>
      <c r="L346" s="21" t="n"/>
      <c r="M346" s="21" t="n"/>
      <c r="N346" s="21" t="n"/>
      <c r="O346" s="27">
        <f>IF(B346="","",IFERROR(IF(VLOOKUP(B346,Lists!$A$2:$B$12,2,FALSE)="","",HYPERLINK(VLOOKUP(B346,Lists!$A$2:$B$12,2,FALSE),"How long valid?")),""))</f>
        <v/>
      </c>
      <c r="P346" s="21" t="n"/>
    </row>
    <row r="347">
      <c r="A347" s="21" t="n"/>
      <c r="B347" s="21" t="n"/>
      <c r="C347" s="22" t="n"/>
      <c r="D347" s="22" t="n"/>
      <c r="E347" s="23" t="n"/>
      <c r="F347" s="24">
        <f>IF(ISNUMBER(D347),D347-IF(ISNUMBER(E347),E347,30),"")</f>
        <v/>
      </c>
      <c r="G347" s="25">
        <f>IF(D347="","",IF(ISNUMBER(D347),D347-TODAY(),"Check date"))</f>
        <v/>
      </c>
      <c r="H347" s="26">
        <f>IF(G347="","",IF(ISNUMBER(G347),IF(G347&lt;0,"Expired",IF(G347&lt;=30,"Due ≤30 days",IF(G347&lt;=90,"Due ≤90 days","OK"))),"Check date"))</f>
        <v/>
      </c>
      <c r="I347" s="21" t="n"/>
      <c r="J347" s="21" t="n"/>
      <c r="K347" s="22" t="n"/>
      <c r="L347" s="21" t="n"/>
      <c r="M347" s="21" t="n"/>
      <c r="N347" s="21" t="n"/>
      <c r="O347" s="27">
        <f>IF(B347="","",IFERROR(IF(VLOOKUP(B347,Lists!$A$2:$B$12,2,FALSE)="","",HYPERLINK(VLOOKUP(B347,Lists!$A$2:$B$12,2,FALSE),"How long valid?")),""))</f>
        <v/>
      </c>
      <c r="P347" s="21" t="n"/>
    </row>
    <row r="348">
      <c r="A348" s="21" t="n"/>
      <c r="B348" s="21" t="n"/>
      <c r="C348" s="22" t="n"/>
      <c r="D348" s="22" t="n"/>
      <c r="E348" s="23" t="n"/>
      <c r="F348" s="24">
        <f>IF(ISNUMBER(D348),D348-IF(ISNUMBER(E348),E348,30),"")</f>
        <v/>
      </c>
      <c r="G348" s="25">
        <f>IF(D348="","",IF(ISNUMBER(D348),D348-TODAY(),"Check date"))</f>
        <v/>
      </c>
      <c r="H348" s="26">
        <f>IF(G348="","",IF(ISNUMBER(G348),IF(G348&lt;0,"Expired",IF(G348&lt;=30,"Due ≤30 days",IF(G348&lt;=90,"Due ≤90 days","OK"))),"Check date"))</f>
        <v/>
      </c>
      <c r="I348" s="21" t="n"/>
      <c r="J348" s="21" t="n"/>
      <c r="K348" s="22" t="n"/>
      <c r="L348" s="21" t="n"/>
      <c r="M348" s="21" t="n"/>
      <c r="N348" s="21" t="n"/>
      <c r="O348" s="27">
        <f>IF(B348="","",IFERROR(IF(VLOOKUP(B348,Lists!$A$2:$B$12,2,FALSE)="","",HYPERLINK(VLOOKUP(B348,Lists!$A$2:$B$12,2,FALSE),"How long valid?")),""))</f>
        <v/>
      </c>
      <c r="P348" s="21" t="n"/>
    </row>
    <row r="349">
      <c r="A349" s="21" t="n"/>
      <c r="B349" s="21" t="n"/>
      <c r="C349" s="22" t="n"/>
      <c r="D349" s="22" t="n"/>
      <c r="E349" s="23" t="n"/>
      <c r="F349" s="24">
        <f>IF(ISNUMBER(D349),D349-IF(ISNUMBER(E349),E349,30),"")</f>
        <v/>
      </c>
      <c r="G349" s="25">
        <f>IF(D349="","",IF(ISNUMBER(D349),D349-TODAY(),"Check date"))</f>
        <v/>
      </c>
      <c r="H349" s="26">
        <f>IF(G349="","",IF(ISNUMBER(G349),IF(G349&lt;0,"Expired",IF(G349&lt;=30,"Due ≤30 days",IF(G349&lt;=90,"Due ≤90 days","OK"))),"Check date"))</f>
        <v/>
      </c>
      <c r="I349" s="21" t="n"/>
      <c r="J349" s="21" t="n"/>
      <c r="K349" s="22" t="n"/>
      <c r="L349" s="21" t="n"/>
      <c r="M349" s="21" t="n"/>
      <c r="N349" s="21" t="n"/>
      <c r="O349" s="27">
        <f>IF(B349="","",IFERROR(IF(VLOOKUP(B349,Lists!$A$2:$B$12,2,FALSE)="","",HYPERLINK(VLOOKUP(B349,Lists!$A$2:$B$12,2,FALSE),"How long valid?")),""))</f>
        <v/>
      </c>
      <c r="P349" s="21" t="n"/>
    </row>
    <row r="350">
      <c r="A350" s="21" t="n"/>
      <c r="B350" s="21" t="n"/>
      <c r="C350" s="22" t="n"/>
      <c r="D350" s="22" t="n"/>
      <c r="E350" s="23" t="n"/>
      <c r="F350" s="24">
        <f>IF(ISNUMBER(D350),D350-IF(ISNUMBER(E350),E350,30),"")</f>
        <v/>
      </c>
      <c r="G350" s="25">
        <f>IF(D350="","",IF(ISNUMBER(D350),D350-TODAY(),"Check date"))</f>
        <v/>
      </c>
      <c r="H350" s="26">
        <f>IF(G350="","",IF(ISNUMBER(G350),IF(G350&lt;0,"Expired",IF(G350&lt;=30,"Due ≤30 days",IF(G350&lt;=90,"Due ≤90 days","OK"))),"Check date"))</f>
        <v/>
      </c>
      <c r="I350" s="21" t="n"/>
      <c r="J350" s="21" t="n"/>
      <c r="K350" s="22" t="n"/>
      <c r="L350" s="21" t="n"/>
      <c r="M350" s="21" t="n"/>
      <c r="N350" s="21" t="n"/>
      <c r="O350" s="27">
        <f>IF(B350="","",IFERROR(IF(VLOOKUP(B350,Lists!$A$2:$B$12,2,FALSE)="","",HYPERLINK(VLOOKUP(B350,Lists!$A$2:$B$12,2,FALSE),"How long valid?")),""))</f>
        <v/>
      </c>
      <c r="P350" s="21" t="n"/>
    </row>
    <row r="351">
      <c r="A351" s="21" t="n"/>
      <c r="B351" s="21" t="n"/>
      <c r="C351" s="22" t="n"/>
      <c r="D351" s="22" t="n"/>
      <c r="E351" s="23" t="n"/>
      <c r="F351" s="24">
        <f>IF(ISNUMBER(D351),D351-IF(ISNUMBER(E351),E351,30),"")</f>
        <v/>
      </c>
      <c r="G351" s="25">
        <f>IF(D351="","",IF(ISNUMBER(D351),D351-TODAY(),"Check date"))</f>
        <v/>
      </c>
      <c r="H351" s="26">
        <f>IF(G351="","",IF(ISNUMBER(G351),IF(G351&lt;0,"Expired",IF(G351&lt;=30,"Due ≤30 days",IF(G351&lt;=90,"Due ≤90 days","OK"))),"Check date"))</f>
        <v/>
      </c>
      <c r="I351" s="21" t="n"/>
      <c r="J351" s="21" t="n"/>
      <c r="K351" s="22" t="n"/>
      <c r="L351" s="21" t="n"/>
      <c r="M351" s="21" t="n"/>
      <c r="N351" s="21" t="n"/>
      <c r="O351" s="27">
        <f>IF(B351="","",IFERROR(IF(VLOOKUP(B351,Lists!$A$2:$B$12,2,FALSE)="","",HYPERLINK(VLOOKUP(B351,Lists!$A$2:$B$12,2,FALSE),"How long valid?")),""))</f>
        <v/>
      </c>
      <c r="P351" s="21" t="n"/>
    </row>
    <row r="352">
      <c r="A352" s="21" t="n"/>
      <c r="B352" s="21" t="n"/>
      <c r="C352" s="22" t="n"/>
      <c r="D352" s="22" t="n"/>
      <c r="E352" s="23" t="n"/>
      <c r="F352" s="24">
        <f>IF(ISNUMBER(D352),D352-IF(ISNUMBER(E352),E352,30),"")</f>
        <v/>
      </c>
      <c r="G352" s="25">
        <f>IF(D352="","",IF(ISNUMBER(D352),D352-TODAY(),"Check date"))</f>
        <v/>
      </c>
      <c r="H352" s="26">
        <f>IF(G352="","",IF(ISNUMBER(G352),IF(G352&lt;0,"Expired",IF(G352&lt;=30,"Due ≤30 days",IF(G352&lt;=90,"Due ≤90 days","OK"))),"Check date"))</f>
        <v/>
      </c>
      <c r="I352" s="21" t="n"/>
      <c r="J352" s="21" t="n"/>
      <c r="K352" s="22" t="n"/>
      <c r="L352" s="21" t="n"/>
      <c r="M352" s="21" t="n"/>
      <c r="N352" s="21" t="n"/>
      <c r="O352" s="27">
        <f>IF(B352="","",IFERROR(IF(VLOOKUP(B352,Lists!$A$2:$B$12,2,FALSE)="","",HYPERLINK(VLOOKUP(B352,Lists!$A$2:$B$12,2,FALSE),"How long valid?")),""))</f>
        <v/>
      </c>
      <c r="P352" s="21" t="n"/>
    </row>
    <row r="353">
      <c r="A353" s="21" t="n"/>
      <c r="B353" s="21" t="n"/>
      <c r="C353" s="22" t="n"/>
      <c r="D353" s="22" t="n"/>
      <c r="E353" s="23" t="n"/>
      <c r="F353" s="24">
        <f>IF(ISNUMBER(D353),D353-IF(ISNUMBER(E353),E353,30),"")</f>
        <v/>
      </c>
      <c r="G353" s="25">
        <f>IF(D353="","",IF(ISNUMBER(D353),D353-TODAY(),"Check date"))</f>
        <v/>
      </c>
      <c r="H353" s="26">
        <f>IF(G353="","",IF(ISNUMBER(G353),IF(G353&lt;0,"Expired",IF(G353&lt;=30,"Due ≤30 days",IF(G353&lt;=90,"Due ≤90 days","OK"))),"Check date"))</f>
        <v/>
      </c>
      <c r="I353" s="21" t="n"/>
      <c r="J353" s="21" t="n"/>
      <c r="K353" s="22" t="n"/>
      <c r="L353" s="21" t="n"/>
      <c r="M353" s="21" t="n"/>
      <c r="N353" s="21" t="n"/>
      <c r="O353" s="27">
        <f>IF(B353="","",IFERROR(IF(VLOOKUP(B353,Lists!$A$2:$B$12,2,FALSE)="","",HYPERLINK(VLOOKUP(B353,Lists!$A$2:$B$12,2,FALSE),"How long valid?")),""))</f>
        <v/>
      </c>
      <c r="P353" s="21" t="n"/>
    </row>
    <row r="354">
      <c r="A354" s="21" t="n"/>
      <c r="B354" s="21" t="n"/>
      <c r="C354" s="22" t="n"/>
      <c r="D354" s="22" t="n"/>
      <c r="E354" s="23" t="n"/>
      <c r="F354" s="24">
        <f>IF(ISNUMBER(D354),D354-IF(ISNUMBER(E354),E354,30),"")</f>
        <v/>
      </c>
      <c r="G354" s="25">
        <f>IF(D354="","",IF(ISNUMBER(D354),D354-TODAY(),"Check date"))</f>
        <v/>
      </c>
      <c r="H354" s="26">
        <f>IF(G354="","",IF(ISNUMBER(G354),IF(G354&lt;0,"Expired",IF(G354&lt;=30,"Due ≤30 days",IF(G354&lt;=90,"Due ≤90 days","OK"))),"Check date"))</f>
        <v/>
      </c>
      <c r="I354" s="21" t="n"/>
      <c r="J354" s="21" t="n"/>
      <c r="K354" s="22" t="n"/>
      <c r="L354" s="21" t="n"/>
      <c r="M354" s="21" t="n"/>
      <c r="N354" s="21" t="n"/>
      <c r="O354" s="27">
        <f>IF(B354="","",IFERROR(IF(VLOOKUP(B354,Lists!$A$2:$B$12,2,FALSE)="","",HYPERLINK(VLOOKUP(B354,Lists!$A$2:$B$12,2,FALSE),"How long valid?")),""))</f>
        <v/>
      </c>
      <c r="P354" s="21" t="n"/>
    </row>
    <row r="355">
      <c r="A355" s="21" t="n"/>
      <c r="B355" s="21" t="n"/>
      <c r="C355" s="22" t="n"/>
      <c r="D355" s="22" t="n"/>
      <c r="E355" s="23" t="n"/>
      <c r="F355" s="24">
        <f>IF(ISNUMBER(D355),D355-IF(ISNUMBER(E355),E355,30),"")</f>
        <v/>
      </c>
      <c r="G355" s="25">
        <f>IF(D355="","",IF(ISNUMBER(D355),D355-TODAY(),"Check date"))</f>
        <v/>
      </c>
      <c r="H355" s="26">
        <f>IF(G355="","",IF(ISNUMBER(G355),IF(G355&lt;0,"Expired",IF(G355&lt;=30,"Due ≤30 days",IF(G355&lt;=90,"Due ≤90 days","OK"))),"Check date"))</f>
        <v/>
      </c>
      <c r="I355" s="21" t="n"/>
      <c r="J355" s="21" t="n"/>
      <c r="K355" s="22" t="n"/>
      <c r="L355" s="21" t="n"/>
      <c r="M355" s="21" t="n"/>
      <c r="N355" s="21" t="n"/>
      <c r="O355" s="27">
        <f>IF(B355="","",IFERROR(IF(VLOOKUP(B355,Lists!$A$2:$B$12,2,FALSE)="","",HYPERLINK(VLOOKUP(B355,Lists!$A$2:$B$12,2,FALSE),"How long valid?")),""))</f>
        <v/>
      </c>
      <c r="P355" s="21" t="n"/>
    </row>
    <row r="356">
      <c r="A356" s="21" t="n"/>
      <c r="B356" s="21" t="n"/>
      <c r="C356" s="22" t="n"/>
      <c r="D356" s="22" t="n"/>
      <c r="E356" s="23" t="n"/>
      <c r="F356" s="24">
        <f>IF(ISNUMBER(D356),D356-IF(ISNUMBER(E356),E356,30),"")</f>
        <v/>
      </c>
      <c r="G356" s="25">
        <f>IF(D356="","",IF(ISNUMBER(D356),D356-TODAY(),"Check date"))</f>
        <v/>
      </c>
      <c r="H356" s="26">
        <f>IF(G356="","",IF(ISNUMBER(G356),IF(G356&lt;0,"Expired",IF(G356&lt;=30,"Due ≤30 days",IF(G356&lt;=90,"Due ≤90 days","OK"))),"Check date"))</f>
        <v/>
      </c>
      <c r="I356" s="21" t="n"/>
      <c r="J356" s="21" t="n"/>
      <c r="K356" s="22" t="n"/>
      <c r="L356" s="21" t="n"/>
      <c r="M356" s="21" t="n"/>
      <c r="N356" s="21" t="n"/>
      <c r="O356" s="27">
        <f>IF(B356="","",IFERROR(IF(VLOOKUP(B356,Lists!$A$2:$B$12,2,FALSE)="","",HYPERLINK(VLOOKUP(B356,Lists!$A$2:$B$12,2,FALSE),"How long valid?")),""))</f>
        <v/>
      </c>
      <c r="P356" s="21" t="n"/>
    </row>
    <row r="357">
      <c r="A357" s="21" t="n"/>
      <c r="B357" s="21" t="n"/>
      <c r="C357" s="22" t="n"/>
      <c r="D357" s="22" t="n"/>
      <c r="E357" s="23" t="n"/>
      <c r="F357" s="24">
        <f>IF(ISNUMBER(D357),D357-IF(ISNUMBER(E357),E357,30),"")</f>
        <v/>
      </c>
      <c r="G357" s="25">
        <f>IF(D357="","",IF(ISNUMBER(D357),D357-TODAY(),"Check date"))</f>
        <v/>
      </c>
      <c r="H357" s="26">
        <f>IF(G357="","",IF(ISNUMBER(G357),IF(G357&lt;0,"Expired",IF(G357&lt;=30,"Due ≤30 days",IF(G357&lt;=90,"Due ≤90 days","OK"))),"Check date"))</f>
        <v/>
      </c>
      <c r="I357" s="21" t="n"/>
      <c r="J357" s="21" t="n"/>
      <c r="K357" s="22" t="n"/>
      <c r="L357" s="21" t="n"/>
      <c r="M357" s="21" t="n"/>
      <c r="N357" s="21" t="n"/>
      <c r="O357" s="27">
        <f>IF(B357="","",IFERROR(IF(VLOOKUP(B357,Lists!$A$2:$B$12,2,FALSE)="","",HYPERLINK(VLOOKUP(B357,Lists!$A$2:$B$12,2,FALSE),"How long valid?")),""))</f>
        <v/>
      </c>
      <c r="P357" s="21" t="n"/>
    </row>
    <row r="358">
      <c r="A358" s="21" t="n"/>
      <c r="B358" s="21" t="n"/>
      <c r="C358" s="22" t="n"/>
      <c r="D358" s="22" t="n"/>
      <c r="E358" s="23" t="n"/>
      <c r="F358" s="24">
        <f>IF(ISNUMBER(D358),D358-IF(ISNUMBER(E358),E358,30),"")</f>
        <v/>
      </c>
      <c r="G358" s="25">
        <f>IF(D358="","",IF(ISNUMBER(D358),D358-TODAY(),"Check date"))</f>
        <v/>
      </c>
      <c r="H358" s="26">
        <f>IF(G358="","",IF(ISNUMBER(G358),IF(G358&lt;0,"Expired",IF(G358&lt;=30,"Due ≤30 days",IF(G358&lt;=90,"Due ≤90 days","OK"))),"Check date"))</f>
        <v/>
      </c>
      <c r="I358" s="21" t="n"/>
      <c r="J358" s="21" t="n"/>
      <c r="K358" s="22" t="n"/>
      <c r="L358" s="21" t="n"/>
      <c r="M358" s="21" t="n"/>
      <c r="N358" s="21" t="n"/>
      <c r="O358" s="27">
        <f>IF(B358="","",IFERROR(IF(VLOOKUP(B358,Lists!$A$2:$B$12,2,FALSE)="","",HYPERLINK(VLOOKUP(B358,Lists!$A$2:$B$12,2,FALSE),"How long valid?")),""))</f>
        <v/>
      </c>
      <c r="P358" s="21" t="n"/>
    </row>
    <row r="359">
      <c r="A359" s="21" t="n"/>
      <c r="B359" s="21" t="n"/>
      <c r="C359" s="22" t="n"/>
      <c r="D359" s="22" t="n"/>
      <c r="E359" s="23" t="n"/>
      <c r="F359" s="24">
        <f>IF(ISNUMBER(D359),D359-IF(ISNUMBER(E359),E359,30),"")</f>
        <v/>
      </c>
      <c r="G359" s="25">
        <f>IF(D359="","",IF(ISNUMBER(D359),D359-TODAY(),"Check date"))</f>
        <v/>
      </c>
      <c r="H359" s="26">
        <f>IF(G359="","",IF(ISNUMBER(G359),IF(G359&lt;0,"Expired",IF(G359&lt;=30,"Due ≤30 days",IF(G359&lt;=90,"Due ≤90 days","OK"))),"Check date"))</f>
        <v/>
      </c>
      <c r="I359" s="21" t="n"/>
      <c r="J359" s="21" t="n"/>
      <c r="K359" s="22" t="n"/>
      <c r="L359" s="21" t="n"/>
      <c r="M359" s="21" t="n"/>
      <c r="N359" s="21" t="n"/>
      <c r="O359" s="27">
        <f>IF(B359="","",IFERROR(IF(VLOOKUP(B359,Lists!$A$2:$B$12,2,FALSE)="","",HYPERLINK(VLOOKUP(B359,Lists!$A$2:$B$12,2,FALSE),"How long valid?")),""))</f>
        <v/>
      </c>
      <c r="P359" s="21" t="n"/>
    </row>
    <row r="360">
      <c r="A360" s="21" t="n"/>
      <c r="B360" s="21" t="n"/>
      <c r="C360" s="22" t="n"/>
      <c r="D360" s="22" t="n"/>
      <c r="E360" s="23" t="n"/>
      <c r="F360" s="24">
        <f>IF(ISNUMBER(D360),D360-IF(ISNUMBER(E360),E360,30),"")</f>
        <v/>
      </c>
      <c r="G360" s="25">
        <f>IF(D360="","",IF(ISNUMBER(D360),D360-TODAY(),"Check date"))</f>
        <v/>
      </c>
      <c r="H360" s="26">
        <f>IF(G360="","",IF(ISNUMBER(G360),IF(G360&lt;0,"Expired",IF(G360&lt;=30,"Due ≤30 days",IF(G360&lt;=90,"Due ≤90 days","OK"))),"Check date"))</f>
        <v/>
      </c>
      <c r="I360" s="21" t="n"/>
      <c r="J360" s="21" t="n"/>
      <c r="K360" s="22" t="n"/>
      <c r="L360" s="21" t="n"/>
      <c r="M360" s="21" t="n"/>
      <c r="N360" s="21" t="n"/>
      <c r="O360" s="27">
        <f>IF(B360="","",IFERROR(IF(VLOOKUP(B360,Lists!$A$2:$B$12,2,FALSE)="","",HYPERLINK(VLOOKUP(B360,Lists!$A$2:$B$12,2,FALSE),"How long valid?")),""))</f>
        <v/>
      </c>
      <c r="P360" s="21" t="n"/>
    </row>
    <row r="361">
      <c r="A361" s="21" t="n"/>
      <c r="B361" s="21" t="n"/>
      <c r="C361" s="22" t="n"/>
      <c r="D361" s="22" t="n"/>
      <c r="E361" s="23" t="n"/>
      <c r="F361" s="24">
        <f>IF(ISNUMBER(D361),D361-IF(ISNUMBER(E361),E361,30),"")</f>
        <v/>
      </c>
      <c r="G361" s="25">
        <f>IF(D361="","",IF(ISNUMBER(D361),D361-TODAY(),"Check date"))</f>
        <v/>
      </c>
      <c r="H361" s="26">
        <f>IF(G361="","",IF(ISNUMBER(G361),IF(G361&lt;0,"Expired",IF(G361&lt;=30,"Due ≤30 days",IF(G361&lt;=90,"Due ≤90 days","OK"))),"Check date"))</f>
        <v/>
      </c>
      <c r="I361" s="21" t="n"/>
      <c r="J361" s="21" t="n"/>
      <c r="K361" s="22" t="n"/>
      <c r="L361" s="21" t="n"/>
      <c r="M361" s="21" t="n"/>
      <c r="N361" s="21" t="n"/>
      <c r="O361" s="27">
        <f>IF(B361="","",IFERROR(IF(VLOOKUP(B361,Lists!$A$2:$B$12,2,FALSE)="","",HYPERLINK(VLOOKUP(B361,Lists!$A$2:$B$12,2,FALSE),"How long valid?")),""))</f>
        <v/>
      </c>
      <c r="P361" s="21" t="n"/>
    </row>
    <row r="362">
      <c r="A362" s="21" t="n"/>
      <c r="B362" s="21" t="n"/>
      <c r="C362" s="22" t="n"/>
      <c r="D362" s="22" t="n"/>
      <c r="E362" s="23" t="n"/>
      <c r="F362" s="24">
        <f>IF(ISNUMBER(D362),D362-IF(ISNUMBER(E362),E362,30),"")</f>
        <v/>
      </c>
      <c r="G362" s="25">
        <f>IF(D362="","",IF(ISNUMBER(D362),D362-TODAY(),"Check date"))</f>
        <v/>
      </c>
      <c r="H362" s="26">
        <f>IF(G362="","",IF(ISNUMBER(G362),IF(G362&lt;0,"Expired",IF(G362&lt;=30,"Due ≤30 days",IF(G362&lt;=90,"Due ≤90 days","OK"))),"Check date"))</f>
        <v/>
      </c>
      <c r="I362" s="21" t="n"/>
      <c r="J362" s="21" t="n"/>
      <c r="K362" s="22" t="n"/>
      <c r="L362" s="21" t="n"/>
      <c r="M362" s="21" t="n"/>
      <c r="N362" s="21" t="n"/>
      <c r="O362" s="27">
        <f>IF(B362="","",IFERROR(IF(VLOOKUP(B362,Lists!$A$2:$B$12,2,FALSE)="","",HYPERLINK(VLOOKUP(B362,Lists!$A$2:$B$12,2,FALSE),"How long valid?")),""))</f>
        <v/>
      </c>
      <c r="P362" s="21" t="n"/>
    </row>
    <row r="363">
      <c r="A363" s="21" t="n"/>
      <c r="B363" s="21" t="n"/>
      <c r="C363" s="22" t="n"/>
      <c r="D363" s="22" t="n"/>
      <c r="E363" s="23" t="n"/>
      <c r="F363" s="24">
        <f>IF(ISNUMBER(D363),D363-IF(ISNUMBER(E363),E363,30),"")</f>
        <v/>
      </c>
      <c r="G363" s="25">
        <f>IF(D363="","",IF(ISNUMBER(D363),D363-TODAY(),"Check date"))</f>
        <v/>
      </c>
      <c r="H363" s="26">
        <f>IF(G363="","",IF(ISNUMBER(G363),IF(G363&lt;0,"Expired",IF(G363&lt;=30,"Due ≤30 days",IF(G363&lt;=90,"Due ≤90 days","OK"))),"Check date"))</f>
        <v/>
      </c>
      <c r="I363" s="21" t="n"/>
      <c r="J363" s="21" t="n"/>
      <c r="K363" s="22" t="n"/>
      <c r="L363" s="21" t="n"/>
      <c r="M363" s="21" t="n"/>
      <c r="N363" s="21" t="n"/>
      <c r="O363" s="27">
        <f>IF(B363="","",IFERROR(IF(VLOOKUP(B363,Lists!$A$2:$B$12,2,FALSE)="","",HYPERLINK(VLOOKUP(B363,Lists!$A$2:$B$12,2,FALSE),"How long valid?")),""))</f>
        <v/>
      </c>
      <c r="P363" s="21" t="n"/>
    </row>
    <row r="364">
      <c r="A364" s="21" t="n"/>
      <c r="B364" s="21" t="n"/>
      <c r="C364" s="22" t="n"/>
      <c r="D364" s="22" t="n"/>
      <c r="E364" s="23" t="n"/>
      <c r="F364" s="24">
        <f>IF(ISNUMBER(D364),D364-IF(ISNUMBER(E364),E364,30),"")</f>
        <v/>
      </c>
      <c r="G364" s="25">
        <f>IF(D364="","",IF(ISNUMBER(D364),D364-TODAY(),"Check date"))</f>
        <v/>
      </c>
      <c r="H364" s="26">
        <f>IF(G364="","",IF(ISNUMBER(G364),IF(G364&lt;0,"Expired",IF(G364&lt;=30,"Due ≤30 days",IF(G364&lt;=90,"Due ≤90 days","OK"))),"Check date"))</f>
        <v/>
      </c>
      <c r="I364" s="21" t="n"/>
      <c r="J364" s="21" t="n"/>
      <c r="K364" s="22" t="n"/>
      <c r="L364" s="21" t="n"/>
      <c r="M364" s="21" t="n"/>
      <c r="N364" s="21" t="n"/>
      <c r="O364" s="27">
        <f>IF(B364="","",IFERROR(IF(VLOOKUP(B364,Lists!$A$2:$B$12,2,FALSE)="","",HYPERLINK(VLOOKUP(B364,Lists!$A$2:$B$12,2,FALSE),"How long valid?")),""))</f>
        <v/>
      </c>
      <c r="P364" s="21" t="n"/>
    </row>
    <row r="365">
      <c r="A365" s="21" t="n"/>
      <c r="B365" s="21" t="n"/>
      <c r="C365" s="22" t="n"/>
      <c r="D365" s="22" t="n"/>
      <c r="E365" s="23" t="n"/>
      <c r="F365" s="24">
        <f>IF(ISNUMBER(D365),D365-IF(ISNUMBER(E365),E365,30),"")</f>
        <v/>
      </c>
      <c r="G365" s="25">
        <f>IF(D365="","",IF(ISNUMBER(D365),D365-TODAY(),"Check date"))</f>
        <v/>
      </c>
      <c r="H365" s="26">
        <f>IF(G365="","",IF(ISNUMBER(G365),IF(G365&lt;0,"Expired",IF(G365&lt;=30,"Due ≤30 days",IF(G365&lt;=90,"Due ≤90 days","OK"))),"Check date"))</f>
        <v/>
      </c>
      <c r="I365" s="21" t="n"/>
      <c r="J365" s="21" t="n"/>
      <c r="K365" s="22" t="n"/>
      <c r="L365" s="21" t="n"/>
      <c r="M365" s="21" t="n"/>
      <c r="N365" s="21" t="n"/>
      <c r="O365" s="27">
        <f>IF(B365="","",IFERROR(IF(VLOOKUP(B365,Lists!$A$2:$B$12,2,FALSE)="","",HYPERLINK(VLOOKUP(B365,Lists!$A$2:$B$12,2,FALSE),"How long valid?")),""))</f>
        <v/>
      </c>
      <c r="P365" s="21" t="n"/>
    </row>
    <row r="366">
      <c r="A366" s="21" t="n"/>
      <c r="B366" s="21" t="n"/>
      <c r="C366" s="22" t="n"/>
      <c r="D366" s="22" t="n"/>
      <c r="E366" s="23" t="n"/>
      <c r="F366" s="24">
        <f>IF(ISNUMBER(D366),D366-IF(ISNUMBER(E366),E366,30),"")</f>
        <v/>
      </c>
      <c r="G366" s="25">
        <f>IF(D366="","",IF(ISNUMBER(D366),D366-TODAY(),"Check date"))</f>
        <v/>
      </c>
      <c r="H366" s="26">
        <f>IF(G366="","",IF(ISNUMBER(G366),IF(G366&lt;0,"Expired",IF(G366&lt;=30,"Due ≤30 days",IF(G366&lt;=90,"Due ≤90 days","OK"))),"Check date"))</f>
        <v/>
      </c>
      <c r="I366" s="21" t="n"/>
      <c r="J366" s="21" t="n"/>
      <c r="K366" s="22" t="n"/>
      <c r="L366" s="21" t="n"/>
      <c r="M366" s="21" t="n"/>
      <c r="N366" s="21" t="n"/>
      <c r="O366" s="27">
        <f>IF(B366="","",IFERROR(IF(VLOOKUP(B366,Lists!$A$2:$B$12,2,FALSE)="","",HYPERLINK(VLOOKUP(B366,Lists!$A$2:$B$12,2,FALSE),"How long valid?")),""))</f>
        <v/>
      </c>
      <c r="P366" s="21" t="n"/>
    </row>
    <row r="367">
      <c r="A367" s="21" t="n"/>
      <c r="B367" s="21" t="n"/>
      <c r="C367" s="22" t="n"/>
      <c r="D367" s="22" t="n"/>
      <c r="E367" s="23" t="n"/>
      <c r="F367" s="24">
        <f>IF(ISNUMBER(D367),D367-IF(ISNUMBER(E367),E367,30),"")</f>
        <v/>
      </c>
      <c r="G367" s="25">
        <f>IF(D367="","",IF(ISNUMBER(D367),D367-TODAY(),"Check date"))</f>
        <v/>
      </c>
      <c r="H367" s="26">
        <f>IF(G367="","",IF(ISNUMBER(G367),IF(G367&lt;0,"Expired",IF(G367&lt;=30,"Due ≤30 days",IF(G367&lt;=90,"Due ≤90 days","OK"))),"Check date"))</f>
        <v/>
      </c>
      <c r="I367" s="21" t="n"/>
      <c r="J367" s="21" t="n"/>
      <c r="K367" s="22" t="n"/>
      <c r="L367" s="21" t="n"/>
      <c r="M367" s="21" t="n"/>
      <c r="N367" s="21" t="n"/>
      <c r="O367" s="27">
        <f>IF(B367="","",IFERROR(IF(VLOOKUP(B367,Lists!$A$2:$B$12,2,FALSE)="","",HYPERLINK(VLOOKUP(B367,Lists!$A$2:$B$12,2,FALSE),"How long valid?")),""))</f>
        <v/>
      </c>
      <c r="P367" s="21" t="n"/>
    </row>
    <row r="368">
      <c r="A368" s="21" t="n"/>
      <c r="B368" s="21" t="n"/>
      <c r="C368" s="22" t="n"/>
      <c r="D368" s="22" t="n"/>
      <c r="E368" s="23" t="n"/>
      <c r="F368" s="24">
        <f>IF(ISNUMBER(D368),D368-IF(ISNUMBER(E368),E368,30),"")</f>
        <v/>
      </c>
      <c r="G368" s="25">
        <f>IF(D368="","",IF(ISNUMBER(D368),D368-TODAY(),"Check date"))</f>
        <v/>
      </c>
      <c r="H368" s="26">
        <f>IF(G368="","",IF(ISNUMBER(G368),IF(G368&lt;0,"Expired",IF(G368&lt;=30,"Due ≤30 days",IF(G368&lt;=90,"Due ≤90 days","OK"))),"Check date"))</f>
        <v/>
      </c>
      <c r="I368" s="21" t="n"/>
      <c r="J368" s="21" t="n"/>
      <c r="K368" s="22" t="n"/>
      <c r="L368" s="21" t="n"/>
      <c r="M368" s="21" t="n"/>
      <c r="N368" s="21" t="n"/>
      <c r="O368" s="27">
        <f>IF(B368="","",IFERROR(IF(VLOOKUP(B368,Lists!$A$2:$B$12,2,FALSE)="","",HYPERLINK(VLOOKUP(B368,Lists!$A$2:$B$12,2,FALSE),"How long valid?")),""))</f>
        <v/>
      </c>
      <c r="P368" s="21" t="n"/>
    </row>
    <row r="369">
      <c r="A369" s="21" t="n"/>
      <c r="B369" s="21" t="n"/>
      <c r="C369" s="22" t="n"/>
      <c r="D369" s="22" t="n"/>
      <c r="E369" s="23" t="n"/>
      <c r="F369" s="24">
        <f>IF(ISNUMBER(D369),D369-IF(ISNUMBER(E369),E369,30),"")</f>
        <v/>
      </c>
      <c r="G369" s="25">
        <f>IF(D369="","",IF(ISNUMBER(D369),D369-TODAY(),"Check date"))</f>
        <v/>
      </c>
      <c r="H369" s="26">
        <f>IF(G369="","",IF(ISNUMBER(G369),IF(G369&lt;0,"Expired",IF(G369&lt;=30,"Due ≤30 days",IF(G369&lt;=90,"Due ≤90 days","OK"))),"Check date"))</f>
        <v/>
      </c>
      <c r="I369" s="21" t="n"/>
      <c r="J369" s="21" t="n"/>
      <c r="K369" s="22" t="n"/>
      <c r="L369" s="21" t="n"/>
      <c r="M369" s="21" t="n"/>
      <c r="N369" s="21" t="n"/>
      <c r="O369" s="27">
        <f>IF(B369="","",IFERROR(IF(VLOOKUP(B369,Lists!$A$2:$B$12,2,FALSE)="","",HYPERLINK(VLOOKUP(B369,Lists!$A$2:$B$12,2,FALSE),"How long valid?")),""))</f>
        <v/>
      </c>
      <c r="P369" s="21" t="n"/>
    </row>
    <row r="370">
      <c r="A370" s="21" t="n"/>
      <c r="B370" s="21" t="n"/>
      <c r="C370" s="22" t="n"/>
      <c r="D370" s="22" t="n"/>
      <c r="E370" s="23" t="n"/>
      <c r="F370" s="24">
        <f>IF(ISNUMBER(D370),D370-IF(ISNUMBER(E370),E370,30),"")</f>
        <v/>
      </c>
      <c r="G370" s="25">
        <f>IF(D370="","",IF(ISNUMBER(D370),D370-TODAY(),"Check date"))</f>
        <v/>
      </c>
      <c r="H370" s="26">
        <f>IF(G370="","",IF(ISNUMBER(G370),IF(G370&lt;0,"Expired",IF(G370&lt;=30,"Due ≤30 days",IF(G370&lt;=90,"Due ≤90 days","OK"))),"Check date"))</f>
        <v/>
      </c>
      <c r="I370" s="21" t="n"/>
      <c r="J370" s="21" t="n"/>
      <c r="K370" s="22" t="n"/>
      <c r="L370" s="21" t="n"/>
      <c r="M370" s="21" t="n"/>
      <c r="N370" s="21" t="n"/>
      <c r="O370" s="27">
        <f>IF(B370="","",IFERROR(IF(VLOOKUP(B370,Lists!$A$2:$B$12,2,FALSE)="","",HYPERLINK(VLOOKUP(B370,Lists!$A$2:$B$12,2,FALSE),"How long valid?")),""))</f>
        <v/>
      </c>
      <c r="P370" s="21" t="n"/>
    </row>
    <row r="371">
      <c r="A371" s="21" t="n"/>
      <c r="B371" s="21" t="n"/>
      <c r="C371" s="22" t="n"/>
      <c r="D371" s="22" t="n"/>
      <c r="E371" s="23" t="n"/>
      <c r="F371" s="24">
        <f>IF(ISNUMBER(D371),D371-IF(ISNUMBER(E371),E371,30),"")</f>
        <v/>
      </c>
      <c r="G371" s="25">
        <f>IF(D371="","",IF(ISNUMBER(D371),D371-TODAY(),"Check date"))</f>
        <v/>
      </c>
      <c r="H371" s="26">
        <f>IF(G371="","",IF(ISNUMBER(G371),IF(G371&lt;0,"Expired",IF(G371&lt;=30,"Due ≤30 days",IF(G371&lt;=90,"Due ≤90 days","OK"))),"Check date"))</f>
        <v/>
      </c>
      <c r="I371" s="21" t="n"/>
      <c r="J371" s="21" t="n"/>
      <c r="K371" s="22" t="n"/>
      <c r="L371" s="21" t="n"/>
      <c r="M371" s="21" t="n"/>
      <c r="N371" s="21" t="n"/>
      <c r="O371" s="27">
        <f>IF(B371="","",IFERROR(IF(VLOOKUP(B371,Lists!$A$2:$B$12,2,FALSE)="","",HYPERLINK(VLOOKUP(B371,Lists!$A$2:$B$12,2,FALSE),"How long valid?")),""))</f>
        <v/>
      </c>
      <c r="P371" s="21" t="n"/>
    </row>
    <row r="372">
      <c r="A372" s="21" t="n"/>
      <c r="B372" s="21" t="n"/>
      <c r="C372" s="22" t="n"/>
      <c r="D372" s="22" t="n"/>
      <c r="E372" s="23" t="n"/>
      <c r="F372" s="24">
        <f>IF(ISNUMBER(D372),D372-IF(ISNUMBER(E372),E372,30),"")</f>
        <v/>
      </c>
      <c r="G372" s="25">
        <f>IF(D372="","",IF(ISNUMBER(D372),D372-TODAY(),"Check date"))</f>
        <v/>
      </c>
      <c r="H372" s="26">
        <f>IF(G372="","",IF(ISNUMBER(G372),IF(G372&lt;0,"Expired",IF(G372&lt;=30,"Due ≤30 days",IF(G372&lt;=90,"Due ≤90 days","OK"))),"Check date"))</f>
        <v/>
      </c>
      <c r="I372" s="21" t="n"/>
      <c r="J372" s="21" t="n"/>
      <c r="K372" s="22" t="n"/>
      <c r="L372" s="21" t="n"/>
      <c r="M372" s="21" t="n"/>
      <c r="N372" s="21" t="n"/>
      <c r="O372" s="27">
        <f>IF(B372="","",IFERROR(IF(VLOOKUP(B372,Lists!$A$2:$B$12,2,FALSE)="","",HYPERLINK(VLOOKUP(B372,Lists!$A$2:$B$12,2,FALSE),"How long valid?")),""))</f>
        <v/>
      </c>
      <c r="P372" s="21" t="n"/>
    </row>
    <row r="373">
      <c r="A373" s="21" t="n"/>
      <c r="B373" s="21" t="n"/>
      <c r="C373" s="22" t="n"/>
      <c r="D373" s="22" t="n"/>
      <c r="E373" s="23" t="n"/>
      <c r="F373" s="24">
        <f>IF(ISNUMBER(D373),D373-IF(ISNUMBER(E373),E373,30),"")</f>
        <v/>
      </c>
      <c r="G373" s="25">
        <f>IF(D373="","",IF(ISNUMBER(D373),D373-TODAY(),"Check date"))</f>
        <v/>
      </c>
      <c r="H373" s="26">
        <f>IF(G373="","",IF(ISNUMBER(G373),IF(G373&lt;0,"Expired",IF(G373&lt;=30,"Due ≤30 days",IF(G373&lt;=90,"Due ≤90 days","OK"))),"Check date"))</f>
        <v/>
      </c>
      <c r="I373" s="21" t="n"/>
      <c r="J373" s="21" t="n"/>
      <c r="K373" s="22" t="n"/>
      <c r="L373" s="21" t="n"/>
      <c r="M373" s="21" t="n"/>
      <c r="N373" s="21" t="n"/>
      <c r="O373" s="27">
        <f>IF(B373="","",IFERROR(IF(VLOOKUP(B373,Lists!$A$2:$B$12,2,FALSE)="","",HYPERLINK(VLOOKUP(B373,Lists!$A$2:$B$12,2,FALSE),"How long valid?")),""))</f>
        <v/>
      </c>
      <c r="P373" s="21" t="n"/>
    </row>
    <row r="374">
      <c r="A374" s="21" t="n"/>
      <c r="B374" s="21" t="n"/>
      <c r="C374" s="22" t="n"/>
      <c r="D374" s="22" t="n"/>
      <c r="E374" s="23" t="n"/>
      <c r="F374" s="24">
        <f>IF(ISNUMBER(D374),D374-IF(ISNUMBER(E374),E374,30),"")</f>
        <v/>
      </c>
      <c r="G374" s="25">
        <f>IF(D374="","",IF(ISNUMBER(D374),D374-TODAY(),"Check date"))</f>
        <v/>
      </c>
      <c r="H374" s="26">
        <f>IF(G374="","",IF(ISNUMBER(G374),IF(G374&lt;0,"Expired",IF(G374&lt;=30,"Due ≤30 days",IF(G374&lt;=90,"Due ≤90 days","OK"))),"Check date"))</f>
        <v/>
      </c>
      <c r="I374" s="21" t="n"/>
      <c r="J374" s="21" t="n"/>
      <c r="K374" s="22" t="n"/>
      <c r="L374" s="21" t="n"/>
      <c r="M374" s="21" t="n"/>
      <c r="N374" s="21" t="n"/>
      <c r="O374" s="27">
        <f>IF(B374="","",IFERROR(IF(VLOOKUP(B374,Lists!$A$2:$B$12,2,FALSE)="","",HYPERLINK(VLOOKUP(B374,Lists!$A$2:$B$12,2,FALSE),"How long valid?")),""))</f>
        <v/>
      </c>
      <c r="P374" s="21" t="n"/>
    </row>
    <row r="375">
      <c r="A375" s="21" t="n"/>
      <c r="B375" s="21" t="n"/>
      <c r="C375" s="22" t="n"/>
      <c r="D375" s="22" t="n"/>
      <c r="E375" s="23" t="n"/>
      <c r="F375" s="24">
        <f>IF(ISNUMBER(D375),D375-IF(ISNUMBER(E375),E375,30),"")</f>
        <v/>
      </c>
      <c r="G375" s="25">
        <f>IF(D375="","",IF(ISNUMBER(D375),D375-TODAY(),"Check date"))</f>
        <v/>
      </c>
      <c r="H375" s="26">
        <f>IF(G375="","",IF(ISNUMBER(G375),IF(G375&lt;0,"Expired",IF(G375&lt;=30,"Due ≤30 days",IF(G375&lt;=90,"Due ≤90 days","OK"))),"Check date"))</f>
        <v/>
      </c>
      <c r="I375" s="21" t="n"/>
      <c r="J375" s="21" t="n"/>
      <c r="K375" s="22" t="n"/>
      <c r="L375" s="21" t="n"/>
      <c r="M375" s="21" t="n"/>
      <c r="N375" s="21" t="n"/>
      <c r="O375" s="27">
        <f>IF(B375="","",IFERROR(IF(VLOOKUP(B375,Lists!$A$2:$B$12,2,FALSE)="","",HYPERLINK(VLOOKUP(B375,Lists!$A$2:$B$12,2,FALSE),"How long valid?")),""))</f>
        <v/>
      </c>
      <c r="P375" s="21" t="n"/>
    </row>
    <row r="376">
      <c r="A376" s="21" t="n"/>
      <c r="B376" s="21" t="n"/>
      <c r="C376" s="22" t="n"/>
      <c r="D376" s="22" t="n"/>
      <c r="E376" s="23" t="n"/>
      <c r="F376" s="24">
        <f>IF(ISNUMBER(D376),D376-IF(ISNUMBER(E376),E376,30),"")</f>
        <v/>
      </c>
      <c r="G376" s="25">
        <f>IF(D376="","",IF(ISNUMBER(D376),D376-TODAY(),"Check date"))</f>
        <v/>
      </c>
      <c r="H376" s="26">
        <f>IF(G376="","",IF(ISNUMBER(G376),IF(G376&lt;0,"Expired",IF(G376&lt;=30,"Due ≤30 days",IF(G376&lt;=90,"Due ≤90 days","OK"))),"Check date"))</f>
        <v/>
      </c>
      <c r="I376" s="21" t="n"/>
      <c r="J376" s="21" t="n"/>
      <c r="K376" s="22" t="n"/>
      <c r="L376" s="21" t="n"/>
      <c r="M376" s="21" t="n"/>
      <c r="N376" s="21" t="n"/>
      <c r="O376" s="27">
        <f>IF(B376="","",IFERROR(IF(VLOOKUP(B376,Lists!$A$2:$B$12,2,FALSE)="","",HYPERLINK(VLOOKUP(B376,Lists!$A$2:$B$12,2,FALSE),"How long valid?")),""))</f>
        <v/>
      </c>
      <c r="P376" s="21" t="n"/>
    </row>
    <row r="377">
      <c r="A377" s="21" t="n"/>
      <c r="B377" s="21" t="n"/>
      <c r="C377" s="22" t="n"/>
      <c r="D377" s="22" t="n"/>
      <c r="E377" s="23" t="n"/>
      <c r="F377" s="24">
        <f>IF(ISNUMBER(D377),D377-IF(ISNUMBER(E377),E377,30),"")</f>
        <v/>
      </c>
      <c r="G377" s="25">
        <f>IF(D377="","",IF(ISNUMBER(D377),D377-TODAY(),"Check date"))</f>
        <v/>
      </c>
      <c r="H377" s="26">
        <f>IF(G377="","",IF(ISNUMBER(G377),IF(G377&lt;0,"Expired",IF(G377&lt;=30,"Due ≤30 days",IF(G377&lt;=90,"Due ≤90 days","OK"))),"Check date"))</f>
        <v/>
      </c>
      <c r="I377" s="21" t="n"/>
      <c r="J377" s="21" t="n"/>
      <c r="K377" s="22" t="n"/>
      <c r="L377" s="21" t="n"/>
      <c r="M377" s="21" t="n"/>
      <c r="N377" s="21" t="n"/>
      <c r="O377" s="27">
        <f>IF(B377="","",IFERROR(IF(VLOOKUP(B377,Lists!$A$2:$B$12,2,FALSE)="","",HYPERLINK(VLOOKUP(B377,Lists!$A$2:$B$12,2,FALSE),"How long valid?")),""))</f>
        <v/>
      </c>
      <c r="P377" s="21" t="n"/>
    </row>
    <row r="378">
      <c r="A378" s="21" t="n"/>
      <c r="B378" s="21" t="n"/>
      <c r="C378" s="22" t="n"/>
      <c r="D378" s="22" t="n"/>
      <c r="E378" s="23" t="n"/>
      <c r="F378" s="24">
        <f>IF(ISNUMBER(D378),D378-IF(ISNUMBER(E378),E378,30),"")</f>
        <v/>
      </c>
      <c r="G378" s="25">
        <f>IF(D378="","",IF(ISNUMBER(D378),D378-TODAY(),"Check date"))</f>
        <v/>
      </c>
      <c r="H378" s="26">
        <f>IF(G378="","",IF(ISNUMBER(G378),IF(G378&lt;0,"Expired",IF(G378&lt;=30,"Due ≤30 days",IF(G378&lt;=90,"Due ≤90 days","OK"))),"Check date"))</f>
        <v/>
      </c>
      <c r="I378" s="21" t="n"/>
      <c r="J378" s="21" t="n"/>
      <c r="K378" s="22" t="n"/>
      <c r="L378" s="21" t="n"/>
      <c r="M378" s="21" t="n"/>
      <c r="N378" s="21" t="n"/>
      <c r="O378" s="27">
        <f>IF(B378="","",IFERROR(IF(VLOOKUP(B378,Lists!$A$2:$B$12,2,FALSE)="","",HYPERLINK(VLOOKUP(B378,Lists!$A$2:$B$12,2,FALSE),"How long valid?")),""))</f>
        <v/>
      </c>
      <c r="P378" s="21" t="n"/>
    </row>
    <row r="379">
      <c r="A379" s="21" t="n"/>
      <c r="B379" s="21" t="n"/>
      <c r="C379" s="22" t="n"/>
      <c r="D379" s="22" t="n"/>
      <c r="E379" s="23" t="n"/>
      <c r="F379" s="24">
        <f>IF(ISNUMBER(D379),D379-IF(ISNUMBER(E379),E379,30),"")</f>
        <v/>
      </c>
      <c r="G379" s="25">
        <f>IF(D379="","",IF(ISNUMBER(D379),D379-TODAY(),"Check date"))</f>
        <v/>
      </c>
      <c r="H379" s="26">
        <f>IF(G379="","",IF(ISNUMBER(G379),IF(G379&lt;0,"Expired",IF(G379&lt;=30,"Due ≤30 days",IF(G379&lt;=90,"Due ≤90 days","OK"))),"Check date"))</f>
        <v/>
      </c>
      <c r="I379" s="21" t="n"/>
      <c r="J379" s="21" t="n"/>
      <c r="K379" s="22" t="n"/>
      <c r="L379" s="21" t="n"/>
      <c r="M379" s="21" t="n"/>
      <c r="N379" s="21" t="n"/>
      <c r="O379" s="27">
        <f>IF(B379="","",IFERROR(IF(VLOOKUP(B379,Lists!$A$2:$B$12,2,FALSE)="","",HYPERLINK(VLOOKUP(B379,Lists!$A$2:$B$12,2,FALSE),"How long valid?")),""))</f>
        <v/>
      </c>
      <c r="P379" s="21" t="n"/>
    </row>
    <row r="380">
      <c r="A380" s="21" t="n"/>
      <c r="B380" s="21" t="n"/>
      <c r="C380" s="22" t="n"/>
      <c r="D380" s="22" t="n"/>
      <c r="E380" s="23" t="n"/>
      <c r="F380" s="24">
        <f>IF(ISNUMBER(D380),D380-IF(ISNUMBER(E380),E380,30),"")</f>
        <v/>
      </c>
      <c r="G380" s="25">
        <f>IF(D380="","",IF(ISNUMBER(D380),D380-TODAY(),"Check date"))</f>
        <v/>
      </c>
      <c r="H380" s="26">
        <f>IF(G380="","",IF(ISNUMBER(G380),IF(G380&lt;0,"Expired",IF(G380&lt;=30,"Due ≤30 days",IF(G380&lt;=90,"Due ≤90 days","OK"))),"Check date"))</f>
        <v/>
      </c>
      <c r="I380" s="21" t="n"/>
      <c r="J380" s="21" t="n"/>
      <c r="K380" s="22" t="n"/>
      <c r="L380" s="21" t="n"/>
      <c r="M380" s="21" t="n"/>
      <c r="N380" s="21" t="n"/>
      <c r="O380" s="27">
        <f>IF(B380="","",IFERROR(IF(VLOOKUP(B380,Lists!$A$2:$B$12,2,FALSE)="","",HYPERLINK(VLOOKUP(B380,Lists!$A$2:$B$12,2,FALSE),"How long valid?")),""))</f>
        <v/>
      </c>
      <c r="P380" s="21" t="n"/>
    </row>
    <row r="381">
      <c r="A381" s="21" t="n"/>
      <c r="B381" s="21" t="n"/>
      <c r="C381" s="22" t="n"/>
      <c r="D381" s="22" t="n"/>
      <c r="E381" s="23" t="n"/>
      <c r="F381" s="24">
        <f>IF(ISNUMBER(D381),D381-IF(ISNUMBER(E381),E381,30),"")</f>
        <v/>
      </c>
      <c r="G381" s="25">
        <f>IF(D381="","",IF(ISNUMBER(D381),D381-TODAY(),"Check date"))</f>
        <v/>
      </c>
      <c r="H381" s="26">
        <f>IF(G381="","",IF(ISNUMBER(G381),IF(G381&lt;0,"Expired",IF(G381&lt;=30,"Due ≤30 days",IF(G381&lt;=90,"Due ≤90 days","OK"))),"Check date"))</f>
        <v/>
      </c>
      <c r="I381" s="21" t="n"/>
      <c r="J381" s="21" t="n"/>
      <c r="K381" s="22" t="n"/>
      <c r="L381" s="21" t="n"/>
      <c r="M381" s="21" t="n"/>
      <c r="N381" s="21" t="n"/>
      <c r="O381" s="27">
        <f>IF(B381="","",IFERROR(IF(VLOOKUP(B381,Lists!$A$2:$B$12,2,FALSE)="","",HYPERLINK(VLOOKUP(B381,Lists!$A$2:$B$12,2,FALSE),"How long valid?")),""))</f>
        <v/>
      </c>
      <c r="P381" s="21" t="n"/>
    </row>
    <row r="382">
      <c r="A382" s="21" t="n"/>
      <c r="B382" s="21" t="n"/>
      <c r="C382" s="22" t="n"/>
      <c r="D382" s="22" t="n"/>
      <c r="E382" s="23" t="n"/>
      <c r="F382" s="24">
        <f>IF(ISNUMBER(D382),D382-IF(ISNUMBER(E382),E382,30),"")</f>
        <v/>
      </c>
      <c r="G382" s="25">
        <f>IF(D382="","",IF(ISNUMBER(D382),D382-TODAY(),"Check date"))</f>
        <v/>
      </c>
      <c r="H382" s="26">
        <f>IF(G382="","",IF(ISNUMBER(G382),IF(G382&lt;0,"Expired",IF(G382&lt;=30,"Due ≤30 days",IF(G382&lt;=90,"Due ≤90 days","OK"))),"Check date"))</f>
        <v/>
      </c>
      <c r="I382" s="21" t="n"/>
      <c r="J382" s="21" t="n"/>
      <c r="K382" s="22" t="n"/>
      <c r="L382" s="21" t="n"/>
      <c r="M382" s="21" t="n"/>
      <c r="N382" s="21" t="n"/>
      <c r="O382" s="27">
        <f>IF(B382="","",IFERROR(IF(VLOOKUP(B382,Lists!$A$2:$B$12,2,FALSE)="","",HYPERLINK(VLOOKUP(B382,Lists!$A$2:$B$12,2,FALSE),"How long valid?")),""))</f>
        <v/>
      </c>
      <c r="P382" s="21" t="n"/>
    </row>
    <row r="383">
      <c r="A383" s="21" t="n"/>
      <c r="B383" s="21" t="n"/>
      <c r="C383" s="22" t="n"/>
      <c r="D383" s="22" t="n"/>
      <c r="E383" s="23" t="n"/>
      <c r="F383" s="24">
        <f>IF(ISNUMBER(D383),D383-IF(ISNUMBER(E383),E383,30),"")</f>
        <v/>
      </c>
      <c r="G383" s="25">
        <f>IF(D383="","",IF(ISNUMBER(D383),D383-TODAY(),"Check date"))</f>
        <v/>
      </c>
      <c r="H383" s="26">
        <f>IF(G383="","",IF(ISNUMBER(G383),IF(G383&lt;0,"Expired",IF(G383&lt;=30,"Due ≤30 days",IF(G383&lt;=90,"Due ≤90 days","OK"))),"Check date"))</f>
        <v/>
      </c>
      <c r="I383" s="21" t="n"/>
      <c r="J383" s="21" t="n"/>
      <c r="K383" s="22" t="n"/>
      <c r="L383" s="21" t="n"/>
      <c r="M383" s="21" t="n"/>
      <c r="N383" s="21" t="n"/>
      <c r="O383" s="27">
        <f>IF(B383="","",IFERROR(IF(VLOOKUP(B383,Lists!$A$2:$B$12,2,FALSE)="","",HYPERLINK(VLOOKUP(B383,Lists!$A$2:$B$12,2,FALSE),"How long valid?")),""))</f>
        <v/>
      </c>
      <c r="P383" s="21" t="n"/>
    </row>
    <row r="384">
      <c r="A384" s="21" t="n"/>
      <c r="B384" s="21" t="n"/>
      <c r="C384" s="22" t="n"/>
      <c r="D384" s="22" t="n"/>
      <c r="E384" s="23" t="n"/>
      <c r="F384" s="24">
        <f>IF(ISNUMBER(D384),D384-IF(ISNUMBER(E384),E384,30),"")</f>
        <v/>
      </c>
      <c r="G384" s="25">
        <f>IF(D384="","",IF(ISNUMBER(D384),D384-TODAY(),"Check date"))</f>
        <v/>
      </c>
      <c r="H384" s="26">
        <f>IF(G384="","",IF(ISNUMBER(G384),IF(G384&lt;0,"Expired",IF(G384&lt;=30,"Due ≤30 days",IF(G384&lt;=90,"Due ≤90 days","OK"))),"Check date"))</f>
        <v/>
      </c>
      <c r="I384" s="21" t="n"/>
      <c r="J384" s="21" t="n"/>
      <c r="K384" s="22" t="n"/>
      <c r="L384" s="21" t="n"/>
      <c r="M384" s="21" t="n"/>
      <c r="N384" s="21" t="n"/>
      <c r="O384" s="27">
        <f>IF(B384="","",IFERROR(IF(VLOOKUP(B384,Lists!$A$2:$B$12,2,FALSE)="","",HYPERLINK(VLOOKUP(B384,Lists!$A$2:$B$12,2,FALSE),"How long valid?")),""))</f>
        <v/>
      </c>
      <c r="P384" s="21" t="n"/>
    </row>
    <row r="385">
      <c r="A385" s="21" t="n"/>
      <c r="B385" s="21" t="n"/>
      <c r="C385" s="22" t="n"/>
      <c r="D385" s="22" t="n"/>
      <c r="E385" s="23" t="n"/>
      <c r="F385" s="24">
        <f>IF(ISNUMBER(D385),D385-IF(ISNUMBER(E385),E385,30),"")</f>
        <v/>
      </c>
      <c r="G385" s="25">
        <f>IF(D385="","",IF(ISNUMBER(D385),D385-TODAY(),"Check date"))</f>
        <v/>
      </c>
      <c r="H385" s="26">
        <f>IF(G385="","",IF(ISNUMBER(G385),IF(G385&lt;0,"Expired",IF(G385&lt;=30,"Due ≤30 days",IF(G385&lt;=90,"Due ≤90 days","OK"))),"Check date"))</f>
        <v/>
      </c>
      <c r="I385" s="21" t="n"/>
      <c r="J385" s="21" t="n"/>
      <c r="K385" s="22" t="n"/>
      <c r="L385" s="21" t="n"/>
      <c r="M385" s="21" t="n"/>
      <c r="N385" s="21" t="n"/>
      <c r="O385" s="27">
        <f>IF(B385="","",IFERROR(IF(VLOOKUP(B385,Lists!$A$2:$B$12,2,FALSE)="","",HYPERLINK(VLOOKUP(B385,Lists!$A$2:$B$12,2,FALSE),"How long valid?")),""))</f>
        <v/>
      </c>
      <c r="P385" s="21" t="n"/>
    </row>
    <row r="386">
      <c r="A386" s="21" t="n"/>
      <c r="B386" s="21" t="n"/>
      <c r="C386" s="22" t="n"/>
      <c r="D386" s="22" t="n"/>
      <c r="E386" s="23" t="n"/>
      <c r="F386" s="24">
        <f>IF(ISNUMBER(D386),D386-IF(ISNUMBER(E386),E386,30),"")</f>
        <v/>
      </c>
      <c r="G386" s="25">
        <f>IF(D386="","",IF(ISNUMBER(D386),D386-TODAY(),"Check date"))</f>
        <v/>
      </c>
      <c r="H386" s="26">
        <f>IF(G386="","",IF(ISNUMBER(G386),IF(G386&lt;0,"Expired",IF(G386&lt;=30,"Due ≤30 days",IF(G386&lt;=90,"Due ≤90 days","OK"))),"Check date"))</f>
        <v/>
      </c>
      <c r="I386" s="21" t="n"/>
      <c r="J386" s="21" t="n"/>
      <c r="K386" s="22" t="n"/>
      <c r="L386" s="21" t="n"/>
      <c r="M386" s="21" t="n"/>
      <c r="N386" s="21" t="n"/>
      <c r="O386" s="27">
        <f>IF(B386="","",IFERROR(IF(VLOOKUP(B386,Lists!$A$2:$B$12,2,FALSE)="","",HYPERLINK(VLOOKUP(B386,Lists!$A$2:$B$12,2,FALSE),"How long valid?")),""))</f>
        <v/>
      </c>
      <c r="P386" s="21" t="n"/>
    </row>
    <row r="387">
      <c r="A387" s="21" t="n"/>
      <c r="B387" s="21" t="n"/>
      <c r="C387" s="22" t="n"/>
      <c r="D387" s="22" t="n"/>
      <c r="E387" s="23" t="n"/>
      <c r="F387" s="24">
        <f>IF(ISNUMBER(D387),D387-IF(ISNUMBER(E387),E387,30),"")</f>
        <v/>
      </c>
      <c r="G387" s="25">
        <f>IF(D387="","",IF(ISNUMBER(D387),D387-TODAY(),"Check date"))</f>
        <v/>
      </c>
      <c r="H387" s="26">
        <f>IF(G387="","",IF(ISNUMBER(G387),IF(G387&lt;0,"Expired",IF(G387&lt;=30,"Due ≤30 days",IF(G387&lt;=90,"Due ≤90 days","OK"))),"Check date"))</f>
        <v/>
      </c>
      <c r="I387" s="21" t="n"/>
      <c r="J387" s="21" t="n"/>
      <c r="K387" s="22" t="n"/>
      <c r="L387" s="21" t="n"/>
      <c r="M387" s="21" t="n"/>
      <c r="N387" s="21" t="n"/>
      <c r="O387" s="27">
        <f>IF(B387="","",IFERROR(IF(VLOOKUP(B387,Lists!$A$2:$B$12,2,FALSE)="","",HYPERLINK(VLOOKUP(B387,Lists!$A$2:$B$12,2,FALSE),"How long valid?")),""))</f>
        <v/>
      </c>
      <c r="P387" s="21" t="n"/>
    </row>
    <row r="388">
      <c r="A388" s="21" t="n"/>
      <c r="B388" s="21" t="n"/>
      <c r="C388" s="22" t="n"/>
      <c r="D388" s="22" t="n"/>
      <c r="E388" s="23" t="n"/>
      <c r="F388" s="24">
        <f>IF(ISNUMBER(D388),D388-IF(ISNUMBER(E388),E388,30),"")</f>
        <v/>
      </c>
      <c r="G388" s="25">
        <f>IF(D388="","",IF(ISNUMBER(D388),D388-TODAY(),"Check date"))</f>
        <v/>
      </c>
      <c r="H388" s="26">
        <f>IF(G388="","",IF(ISNUMBER(G388),IF(G388&lt;0,"Expired",IF(G388&lt;=30,"Due ≤30 days",IF(G388&lt;=90,"Due ≤90 days","OK"))),"Check date"))</f>
        <v/>
      </c>
      <c r="I388" s="21" t="n"/>
      <c r="J388" s="21" t="n"/>
      <c r="K388" s="22" t="n"/>
      <c r="L388" s="21" t="n"/>
      <c r="M388" s="21" t="n"/>
      <c r="N388" s="21" t="n"/>
      <c r="O388" s="27">
        <f>IF(B388="","",IFERROR(IF(VLOOKUP(B388,Lists!$A$2:$B$12,2,FALSE)="","",HYPERLINK(VLOOKUP(B388,Lists!$A$2:$B$12,2,FALSE),"How long valid?")),""))</f>
        <v/>
      </c>
      <c r="P388" s="21" t="n"/>
    </row>
    <row r="389">
      <c r="A389" s="21" t="n"/>
      <c r="B389" s="21" t="n"/>
      <c r="C389" s="22" t="n"/>
      <c r="D389" s="22" t="n"/>
      <c r="E389" s="23" t="n"/>
      <c r="F389" s="24">
        <f>IF(ISNUMBER(D389),D389-IF(ISNUMBER(E389),E389,30),"")</f>
        <v/>
      </c>
      <c r="G389" s="25">
        <f>IF(D389="","",IF(ISNUMBER(D389),D389-TODAY(),"Check date"))</f>
        <v/>
      </c>
      <c r="H389" s="26">
        <f>IF(G389="","",IF(ISNUMBER(G389),IF(G389&lt;0,"Expired",IF(G389&lt;=30,"Due ≤30 days",IF(G389&lt;=90,"Due ≤90 days","OK"))),"Check date"))</f>
        <v/>
      </c>
      <c r="I389" s="21" t="n"/>
      <c r="J389" s="21" t="n"/>
      <c r="K389" s="22" t="n"/>
      <c r="L389" s="21" t="n"/>
      <c r="M389" s="21" t="n"/>
      <c r="N389" s="21" t="n"/>
      <c r="O389" s="27">
        <f>IF(B389="","",IFERROR(IF(VLOOKUP(B389,Lists!$A$2:$B$12,2,FALSE)="","",HYPERLINK(VLOOKUP(B389,Lists!$A$2:$B$12,2,FALSE),"How long valid?")),""))</f>
        <v/>
      </c>
      <c r="P389" s="21" t="n"/>
    </row>
    <row r="390">
      <c r="A390" s="21" t="n"/>
      <c r="B390" s="21" t="n"/>
      <c r="C390" s="22" t="n"/>
      <c r="D390" s="22" t="n"/>
      <c r="E390" s="23" t="n"/>
      <c r="F390" s="24">
        <f>IF(ISNUMBER(D390),D390-IF(ISNUMBER(E390),E390,30),"")</f>
        <v/>
      </c>
      <c r="G390" s="25">
        <f>IF(D390="","",IF(ISNUMBER(D390),D390-TODAY(),"Check date"))</f>
        <v/>
      </c>
      <c r="H390" s="26">
        <f>IF(G390="","",IF(ISNUMBER(G390),IF(G390&lt;0,"Expired",IF(G390&lt;=30,"Due ≤30 days",IF(G390&lt;=90,"Due ≤90 days","OK"))),"Check date"))</f>
        <v/>
      </c>
      <c r="I390" s="21" t="n"/>
      <c r="J390" s="21" t="n"/>
      <c r="K390" s="22" t="n"/>
      <c r="L390" s="21" t="n"/>
      <c r="M390" s="21" t="n"/>
      <c r="N390" s="21" t="n"/>
      <c r="O390" s="27">
        <f>IF(B390="","",IFERROR(IF(VLOOKUP(B390,Lists!$A$2:$B$12,2,FALSE)="","",HYPERLINK(VLOOKUP(B390,Lists!$A$2:$B$12,2,FALSE),"How long valid?")),""))</f>
        <v/>
      </c>
      <c r="P390" s="21" t="n"/>
    </row>
    <row r="391">
      <c r="A391" s="21" t="n"/>
      <c r="B391" s="21" t="n"/>
      <c r="C391" s="22" t="n"/>
      <c r="D391" s="22" t="n"/>
      <c r="E391" s="23" t="n"/>
      <c r="F391" s="24">
        <f>IF(ISNUMBER(D391),D391-IF(ISNUMBER(E391),E391,30),"")</f>
        <v/>
      </c>
      <c r="G391" s="25">
        <f>IF(D391="","",IF(ISNUMBER(D391),D391-TODAY(),"Check date"))</f>
        <v/>
      </c>
      <c r="H391" s="26">
        <f>IF(G391="","",IF(ISNUMBER(G391),IF(G391&lt;0,"Expired",IF(G391&lt;=30,"Due ≤30 days",IF(G391&lt;=90,"Due ≤90 days","OK"))),"Check date"))</f>
        <v/>
      </c>
      <c r="I391" s="21" t="n"/>
      <c r="J391" s="21" t="n"/>
      <c r="K391" s="22" t="n"/>
      <c r="L391" s="21" t="n"/>
      <c r="M391" s="21" t="n"/>
      <c r="N391" s="21" t="n"/>
      <c r="O391" s="27">
        <f>IF(B391="","",IFERROR(IF(VLOOKUP(B391,Lists!$A$2:$B$12,2,FALSE)="","",HYPERLINK(VLOOKUP(B391,Lists!$A$2:$B$12,2,FALSE),"How long valid?")),""))</f>
        <v/>
      </c>
      <c r="P391" s="21" t="n"/>
    </row>
    <row r="392">
      <c r="A392" s="21" t="n"/>
      <c r="B392" s="21" t="n"/>
      <c r="C392" s="22" t="n"/>
      <c r="D392" s="22" t="n"/>
      <c r="E392" s="23" t="n"/>
      <c r="F392" s="24">
        <f>IF(ISNUMBER(D392),D392-IF(ISNUMBER(E392),E392,30),"")</f>
        <v/>
      </c>
      <c r="G392" s="25">
        <f>IF(D392="","",IF(ISNUMBER(D392),D392-TODAY(),"Check date"))</f>
        <v/>
      </c>
      <c r="H392" s="26">
        <f>IF(G392="","",IF(ISNUMBER(G392),IF(G392&lt;0,"Expired",IF(G392&lt;=30,"Due ≤30 days",IF(G392&lt;=90,"Due ≤90 days","OK"))),"Check date"))</f>
        <v/>
      </c>
      <c r="I392" s="21" t="n"/>
      <c r="J392" s="21" t="n"/>
      <c r="K392" s="22" t="n"/>
      <c r="L392" s="21" t="n"/>
      <c r="M392" s="21" t="n"/>
      <c r="N392" s="21" t="n"/>
      <c r="O392" s="27">
        <f>IF(B392="","",IFERROR(IF(VLOOKUP(B392,Lists!$A$2:$B$12,2,FALSE)="","",HYPERLINK(VLOOKUP(B392,Lists!$A$2:$B$12,2,FALSE),"How long valid?")),""))</f>
        <v/>
      </c>
      <c r="P392" s="21" t="n"/>
    </row>
    <row r="393">
      <c r="A393" s="21" t="n"/>
      <c r="B393" s="21" t="n"/>
      <c r="C393" s="22" t="n"/>
      <c r="D393" s="22" t="n"/>
      <c r="E393" s="23" t="n"/>
      <c r="F393" s="24">
        <f>IF(ISNUMBER(D393),D393-IF(ISNUMBER(E393),E393,30),"")</f>
        <v/>
      </c>
      <c r="G393" s="25">
        <f>IF(D393="","",IF(ISNUMBER(D393),D393-TODAY(),"Check date"))</f>
        <v/>
      </c>
      <c r="H393" s="26">
        <f>IF(G393="","",IF(ISNUMBER(G393),IF(G393&lt;0,"Expired",IF(G393&lt;=30,"Due ≤30 days",IF(G393&lt;=90,"Due ≤90 days","OK"))),"Check date"))</f>
        <v/>
      </c>
      <c r="I393" s="21" t="n"/>
      <c r="J393" s="21" t="n"/>
      <c r="K393" s="22" t="n"/>
      <c r="L393" s="21" t="n"/>
      <c r="M393" s="21" t="n"/>
      <c r="N393" s="21" t="n"/>
      <c r="O393" s="27">
        <f>IF(B393="","",IFERROR(IF(VLOOKUP(B393,Lists!$A$2:$B$12,2,FALSE)="","",HYPERLINK(VLOOKUP(B393,Lists!$A$2:$B$12,2,FALSE),"How long valid?")),""))</f>
        <v/>
      </c>
      <c r="P393" s="21" t="n"/>
    </row>
    <row r="394">
      <c r="A394" s="21" t="n"/>
      <c r="B394" s="21" t="n"/>
      <c r="C394" s="22" t="n"/>
      <c r="D394" s="22" t="n"/>
      <c r="E394" s="23" t="n"/>
      <c r="F394" s="24">
        <f>IF(ISNUMBER(D394),D394-IF(ISNUMBER(E394),E394,30),"")</f>
        <v/>
      </c>
      <c r="G394" s="25">
        <f>IF(D394="","",IF(ISNUMBER(D394),D394-TODAY(),"Check date"))</f>
        <v/>
      </c>
      <c r="H394" s="26">
        <f>IF(G394="","",IF(ISNUMBER(G394),IF(G394&lt;0,"Expired",IF(G394&lt;=30,"Due ≤30 days",IF(G394&lt;=90,"Due ≤90 days","OK"))),"Check date"))</f>
        <v/>
      </c>
      <c r="I394" s="21" t="n"/>
      <c r="J394" s="21" t="n"/>
      <c r="K394" s="22" t="n"/>
      <c r="L394" s="21" t="n"/>
      <c r="M394" s="21" t="n"/>
      <c r="N394" s="21" t="n"/>
      <c r="O394" s="27">
        <f>IF(B394="","",IFERROR(IF(VLOOKUP(B394,Lists!$A$2:$B$12,2,FALSE)="","",HYPERLINK(VLOOKUP(B394,Lists!$A$2:$B$12,2,FALSE),"How long valid?")),""))</f>
        <v/>
      </c>
      <c r="P394" s="21" t="n"/>
    </row>
    <row r="395">
      <c r="A395" s="21" t="n"/>
      <c r="B395" s="21" t="n"/>
      <c r="C395" s="22" t="n"/>
      <c r="D395" s="22" t="n"/>
      <c r="E395" s="23" t="n"/>
      <c r="F395" s="24">
        <f>IF(ISNUMBER(D395),D395-IF(ISNUMBER(E395),E395,30),"")</f>
        <v/>
      </c>
      <c r="G395" s="25">
        <f>IF(D395="","",IF(ISNUMBER(D395),D395-TODAY(),"Check date"))</f>
        <v/>
      </c>
      <c r="H395" s="26">
        <f>IF(G395="","",IF(ISNUMBER(G395),IF(G395&lt;0,"Expired",IF(G395&lt;=30,"Due ≤30 days",IF(G395&lt;=90,"Due ≤90 days","OK"))),"Check date"))</f>
        <v/>
      </c>
      <c r="I395" s="21" t="n"/>
      <c r="J395" s="21" t="n"/>
      <c r="K395" s="22" t="n"/>
      <c r="L395" s="21" t="n"/>
      <c r="M395" s="21" t="n"/>
      <c r="N395" s="21" t="n"/>
      <c r="O395" s="27">
        <f>IF(B395="","",IFERROR(IF(VLOOKUP(B395,Lists!$A$2:$B$12,2,FALSE)="","",HYPERLINK(VLOOKUP(B395,Lists!$A$2:$B$12,2,FALSE),"How long valid?")),""))</f>
        <v/>
      </c>
      <c r="P395" s="21" t="n"/>
    </row>
    <row r="396">
      <c r="A396" s="21" t="n"/>
      <c r="B396" s="21" t="n"/>
      <c r="C396" s="22" t="n"/>
      <c r="D396" s="22" t="n"/>
      <c r="E396" s="23" t="n"/>
      <c r="F396" s="24">
        <f>IF(ISNUMBER(D396),D396-IF(ISNUMBER(E396),E396,30),"")</f>
        <v/>
      </c>
      <c r="G396" s="25">
        <f>IF(D396="","",IF(ISNUMBER(D396),D396-TODAY(),"Check date"))</f>
        <v/>
      </c>
      <c r="H396" s="26">
        <f>IF(G396="","",IF(ISNUMBER(G396),IF(G396&lt;0,"Expired",IF(G396&lt;=30,"Due ≤30 days",IF(G396&lt;=90,"Due ≤90 days","OK"))),"Check date"))</f>
        <v/>
      </c>
      <c r="I396" s="21" t="n"/>
      <c r="J396" s="21" t="n"/>
      <c r="K396" s="22" t="n"/>
      <c r="L396" s="21" t="n"/>
      <c r="M396" s="21" t="n"/>
      <c r="N396" s="21" t="n"/>
      <c r="O396" s="27">
        <f>IF(B396="","",IFERROR(IF(VLOOKUP(B396,Lists!$A$2:$B$12,2,FALSE)="","",HYPERLINK(VLOOKUP(B396,Lists!$A$2:$B$12,2,FALSE),"How long valid?")),""))</f>
        <v/>
      </c>
      <c r="P396" s="21" t="n"/>
    </row>
    <row r="397">
      <c r="A397" s="21" t="n"/>
      <c r="B397" s="21" t="n"/>
      <c r="C397" s="22" t="n"/>
      <c r="D397" s="22" t="n"/>
      <c r="E397" s="23" t="n"/>
      <c r="F397" s="24">
        <f>IF(ISNUMBER(D397),D397-IF(ISNUMBER(E397),E397,30),"")</f>
        <v/>
      </c>
      <c r="G397" s="25">
        <f>IF(D397="","",IF(ISNUMBER(D397),D397-TODAY(),"Check date"))</f>
        <v/>
      </c>
      <c r="H397" s="26">
        <f>IF(G397="","",IF(ISNUMBER(G397),IF(G397&lt;0,"Expired",IF(G397&lt;=30,"Due ≤30 days",IF(G397&lt;=90,"Due ≤90 days","OK"))),"Check date"))</f>
        <v/>
      </c>
      <c r="I397" s="21" t="n"/>
      <c r="J397" s="21" t="n"/>
      <c r="K397" s="22" t="n"/>
      <c r="L397" s="21" t="n"/>
      <c r="M397" s="21" t="n"/>
      <c r="N397" s="21" t="n"/>
      <c r="O397" s="27">
        <f>IF(B397="","",IFERROR(IF(VLOOKUP(B397,Lists!$A$2:$B$12,2,FALSE)="","",HYPERLINK(VLOOKUP(B397,Lists!$A$2:$B$12,2,FALSE),"How long valid?")),""))</f>
        <v/>
      </c>
      <c r="P397" s="21" t="n"/>
    </row>
    <row r="398">
      <c r="A398" s="21" t="n"/>
      <c r="B398" s="21" t="n"/>
      <c r="C398" s="22" t="n"/>
      <c r="D398" s="22" t="n"/>
      <c r="E398" s="23" t="n"/>
      <c r="F398" s="24">
        <f>IF(ISNUMBER(D398),D398-IF(ISNUMBER(E398),E398,30),"")</f>
        <v/>
      </c>
      <c r="G398" s="25">
        <f>IF(D398="","",IF(ISNUMBER(D398),D398-TODAY(),"Check date"))</f>
        <v/>
      </c>
      <c r="H398" s="26">
        <f>IF(G398="","",IF(ISNUMBER(G398),IF(G398&lt;0,"Expired",IF(G398&lt;=30,"Due ≤30 days",IF(G398&lt;=90,"Due ≤90 days","OK"))),"Check date"))</f>
        <v/>
      </c>
      <c r="I398" s="21" t="n"/>
      <c r="J398" s="21" t="n"/>
      <c r="K398" s="22" t="n"/>
      <c r="L398" s="21" t="n"/>
      <c r="M398" s="21" t="n"/>
      <c r="N398" s="21" t="n"/>
      <c r="O398" s="27">
        <f>IF(B398="","",IFERROR(IF(VLOOKUP(B398,Lists!$A$2:$B$12,2,FALSE)="","",HYPERLINK(VLOOKUP(B398,Lists!$A$2:$B$12,2,FALSE),"How long valid?")),""))</f>
        <v/>
      </c>
      <c r="P398" s="21" t="n"/>
    </row>
    <row r="399">
      <c r="A399" s="21" t="n"/>
      <c r="B399" s="21" t="n"/>
      <c r="C399" s="22" t="n"/>
      <c r="D399" s="22" t="n"/>
      <c r="E399" s="23" t="n"/>
      <c r="F399" s="24">
        <f>IF(ISNUMBER(D399),D399-IF(ISNUMBER(E399),E399,30),"")</f>
        <v/>
      </c>
      <c r="G399" s="25">
        <f>IF(D399="","",IF(ISNUMBER(D399),D399-TODAY(),"Check date"))</f>
        <v/>
      </c>
      <c r="H399" s="26">
        <f>IF(G399="","",IF(ISNUMBER(G399),IF(G399&lt;0,"Expired",IF(G399&lt;=30,"Due ≤30 days",IF(G399&lt;=90,"Due ≤90 days","OK"))),"Check date"))</f>
        <v/>
      </c>
      <c r="I399" s="21" t="n"/>
      <c r="J399" s="21" t="n"/>
      <c r="K399" s="22" t="n"/>
      <c r="L399" s="21" t="n"/>
      <c r="M399" s="21" t="n"/>
      <c r="N399" s="21" t="n"/>
      <c r="O399" s="27">
        <f>IF(B399="","",IFERROR(IF(VLOOKUP(B399,Lists!$A$2:$B$12,2,FALSE)="","",HYPERLINK(VLOOKUP(B399,Lists!$A$2:$B$12,2,FALSE),"How long valid?")),""))</f>
        <v/>
      </c>
      <c r="P399" s="21" t="n"/>
    </row>
    <row r="400">
      <c r="A400" s="21" t="n"/>
      <c r="B400" s="21" t="n"/>
      <c r="C400" s="22" t="n"/>
      <c r="D400" s="22" t="n"/>
      <c r="E400" s="23" t="n"/>
      <c r="F400" s="24">
        <f>IF(ISNUMBER(D400),D400-IF(ISNUMBER(E400),E400,30),"")</f>
        <v/>
      </c>
      <c r="G400" s="25">
        <f>IF(D400="","",IF(ISNUMBER(D400),D400-TODAY(),"Check date"))</f>
        <v/>
      </c>
      <c r="H400" s="26">
        <f>IF(G400="","",IF(ISNUMBER(G400),IF(G400&lt;0,"Expired",IF(G400&lt;=30,"Due ≤30 days",IF(G400&lt;=90,"Due ≤90 days","OK"))),"Check date"))</f>
        <v/>
      </c>
      <c r="I400" s="21" t="n"/>
      <c r="J400" s="21" t="n"/>
      <c r="K400" s="22" t="n"/>
      <c r="L400" s="21" t="n"/>
      <c r="M400" s="21" t="n"/>
      <c r="N400" s="21" t="n"/>
      <c r="O400" s="27">
        <f>IF(B400="","",IFERROR(IF(VLOOKUP(B400,Lists!$A$2:$B$12,2,FALSE)="","",HYPERLINK(VLOOKUP(B400,Lists!$A$2:$B$12,2,FALSE),"How long valid?")),""))</f>
        <v/>
      </c>
      <c r="P400" s="21" t="n"/>
    </row>
    <row r="401">
      <c r="A401" s="21" t="n"/>
      <c r="B401" s="21" t="n"/>
      <c r="C401" s="22" t="n"/>
      <c r="D401" s="22" t="n"/>
      <c r="E401" s="23" t="n"/>
      <c r="F401" s="24">
        <f>IF(ISNUMBER(D401),D401-IF(ISNUMBER(E401),E401,30),"")</f>
        <v/>
      </c>
      <c r="G401" s="25">
        <f>IF(D401="","",IF(ISNUMBER(D401),D401-TODAY(),"Check date"))</f>
        <v/>
      </c>
      <c r="H401" s="26">
        <f>IF(G401="","",IF(ISNUMBER(G401),IF(G401&lt;0,"Expired",IF(G401&lt;=30,"Due ≤30 days",IF(G401&lt;=90,"Due ≤90 days","OK"))),"Check date"))</f>
        <v/>
      </c>
      <c r="I401" s="21" t="n"/>
      <c r="J401" s="21" t="n"/>
      <c r="K401" s="22" t="n"/>
      <c r="L401" s="21" t="n"/>
      <c r="M401" s="21" t="n"/>
      <c r="N401" s="21" t="n"/>
      <c r="O401" s="27">
        <f>IF(B401="","",IFERROR(IF(VLOOKUP(B401,Lists!$A$2:$B$12,2,FALSE)="","",HYPERLINK(VLOOKUP(B401,Lists!$A$2:$B$12,2,FALSE),"How long valid?")),""))</f>
        <v/>
      </c>
      <c r="P401" s="21" t="n"/>
    </row>
    <row r="402">
      <c r="A402" s="21" t="n"/>
      <c r="B402" s="21" t="n"/>
      <c r="C402" s="22" t="n"/>
      <c r="D402" s="22" t="n"/>
      <c r="E402" s="23" t="n"/>
      <c r="F402" s="24">
        <f>IF(ISNUMBER(D402),D402-IF(ISNUMBER(E402),E402,30),"")</f>
        <v/>
      </c>
      <c r="G402" s="25">
        <f>IF(D402="","",IF(ISNUMBER(D402),D402-TODAY(),"Check date"))</f>
        <v/>
      </c>
      <c r="H402" s="26">
        <f>IF(G402="","",IF(ISNUMBER(G402),IF(G402&lt;0,"Expired",IF(G402&lt;=30,"Due ≤30 days",IF(G402&lt;=90,"Due ≤90 days","OK"))),"Check date"))</f>
        <v/>
      </c>
      <c r="I402" s="21" t="n"/>
      <c r="J402" s="21" t="n"/>
      <c r="K402" s="22" t="n"/>
      <c r="L402" s="21" t="n"/>
      <c r="M402" s="21" t="n"/>
      <c r="N402" s="21" t="n"/>
      <c r="O402" s="27">
        <f>IF(B402="","",IFERROR(IF(VLOOKUP(B402,Lists!$A$2:$B$12,2,FALSE)="","",HYPERLINK(VLOOKUP(B402,Lists!$A$2:$B$12,2,FALSE),"How long valid?")),""))</f>
        <v/>
      </c>
      <c r="P402" s="21" t="n"/>
    </row>
    <row r="403">
      <c r="A403" s="21" t="n"/>
      <c r="B403" s="21" t="n"/>
      <c r="C403" s="22" t="n"/>
      <c r="D403" s="22" t="n"/>
      <c r="E403" s="23" t="n"/>
      <c r="F403" s="24">
        <f>IF(ISNUMBER(D403),D403-IF(ISNUMBER(E403),E403,30),"")</f>
        <v/>
      </c>
      <c r="G403" s="25">
        <f>IF(D403="","",IF(ISNUMBER(D403),D403-TODAY(),"Check date"))</f>
        <v/>
      </c>
      <c r="H403" s="26">
        <f>IF(G403="","",IF(ISNUMBER(G403),IF(G403&lt;0,"Expired",IF(G403&lt;=30,"Due ≤30 days",IF(G403&lt;=90,"Due ≤90 days","OK"))),"Check date"))</f>
        <v/>
      </c>
      <c r="I403" s="21" t="n"/>
      <c r="J403" s="21" t="n"/>
      <c r="K403" s="22" t="n"/>
      <c r="L403" s="21" t="n"/>
      <c r="M403" s="21" t="n"/>
      <c r="N403" s="21" t="n"/>
      <c r="O403" s="27">
        <f>IF(B403="","",IFERROR(IF(VLOOKUP(B403,Lists!$A$2:$B$12,2,FALSE)="","",HYPERLINK(VLOOKUP(B403,Lists!$A$2:$B$12,2,FALSE),"How long valid?")),""))</f>
        <v/>
      </c>
      <c r="P403" s="21" t="n"/>
    </row>
    <row r="404">
      <c r="A404" s="21" t="n"/>
      <c r="B404" s="21" t="n"/>
      <c r="C404" s="22" t="n"/>
      <c r="D404" s="22" t="n"/>
      <c r="E404" s="23" t="n"/>
      <c r="F404" s="24">
        <f>IF(ISNUMBER(D404),D404-IF(ISNUMBER(E404),E404,30),"")</f>
        <v/>
      </c>
      <c r="G404" s="25">
        <f>IF(D404="","",IF(ISNUMBER(D404),D404-TODAY(),"Check date"))</f>
        <v/>
      </c>
      <c r="H404" s="26">
        <f>IF(G404="","",IF(ISNUMBER(G404),IF(G404&lt;0,"Expired",IF(G404&lt;=30,"Due ≤30 days",IF(G404&lt;=90,"Due ≤90 days","OK"))),"Check date"))</f>
        <v/>
      </c>
      <c r="I404" s="21" t="n"/>
      <c r="J404" s="21" t="n"/>
      <c r="K404" s="22" t="n"/>
      <c r="L404" s="21" t="n"/>
      <c r="M404" s="21" t="n"/>
      <c r="N404" s="21" t="n"/>
      <c r="O404" s="27">
        <f>IF(B404="","",IFERROR(IF(VLOOKUP(B404,Lists!$A$2:$B$12,2,FALSE)="","",HYPERLINK(VLOOKUP(B404,Lists!$A$2:$B$12,2,FALSE),"How long valid?")),""))</f>
        <v/>
      </c>
      <c r="P404" s="21" t="n"/>
    </row>
    <row r="405">
      <c r="A405" s="21" t="n"/>
      <c r="B405" s="21" t="n"/>
      <c r="C405" s="22" t="n"/>
      <c r="D405" s="22" t="n"/>
      <c r="E405" s="23" t="n"/>
      <c r="F405" s="24">
        <f>IF(ISNUMBER(D405),D405-IF(ISNUMBER(E405),E405,30),"")</f>
        <v/>
      </c>
      <c r="G405" s="25">
        <f>IF(D405="","",IF(ISNUMBER(D405),D405-TODAY(),"Check date"))</f>
        <v/>
      </c>
      <c r="H405" s="26">
        <f>IF(G405="","",IF(ISNUMBER(G405),IF(G405&lt;0,"Expired",IF(G405&lt;=30,"Due ≤30 days",IF(G405&lt;=90,"Due ≤90 days","OK"))),"Check date"))</f>
        <v/>
      </c>
      <c r="I405" s="21" t="n"/>
      <c r="J405" s="21" t="n"/>
      <c r="K405" s="22" t="n"/>
      <c r="L405" s="21" t="n"/>
      <c r="M405" s="21" t="n"/>
      <c r="N405" s="21" t="n"/>
      <c r="O405" s="27">
        <f>IF(B405="","",IFERROR(IF(VLOOKUP(B405,Lists!$A$2:$B$12,2,FALSE)="","",HYPERLINK(VLOOKUP(B405,Lists!$A$2:$B$12,2,FALSE),"How long valid?")),""))</f>
        <v/>
      </c>
      <c r="P405" s="21" t="n"/>
    </row>
    <row r="406">
      <c r="A406" s="21" t="n"/>
      <c r="B406" s="21" t="n"/>
      <c r="C406" s="22" t="n"/>
      <c r="D406" s="22" t="n"/>
      <c r="E406" s="23" t="n"/>
      <c r="F406" s="24">
        <f>IF(ISNUMBER(D406),D406-IF(ISNUMBER(E406),E406,30),"")</f>
        <v/>
      </c>
      <c r="G406" s="25">
        <f>IF(D406="","",IF(ISNUMBER(D406),D406-TODAY(),"Check date"))</f>
        <v/>
      </c>
      <c r="H406" s="26">
        <f>IF(G406="","",IF(ISNUMBER(G406),IF(G406&lt;0,"Expired",IF(G406&lt;=30,"Due ≤30 days",IF(G406&lt;=90,"Due ≤90 days","OK"))),"Check date"))</f>
        <v/>
      </c>
      <c r="I406" s="21" t="n"/>
      <c r="J406" s="21" t="n"/>
      <c r="K406" s="22" t="n"/>
      <c r="L406" s="21" t="n"/>
      <c r="M406" s="21" t="n"/>
      <c r="N406" s="21" t="n"/>
      <c r="O406" s="27">
        <f>IF(B406="","",IFERROR(IF(VLOOKUP(B406,Lists!$A$2:$B$12,2,FALSE)="","",HYPERLINK(VLOOKUP(B406,Lists!$A$2:$B$12,2,FALSE),"How long valid?")),""))</f>
        <v/>
      </c>
      <c r="P406" s="21" t="n"/>
    </row>
    <row r="407">
      <c r="A407" s="21" t="n"/>
      <c r="B407" s="21" t="n"/>
      <c r="C407" s="22" t="n"/>
      <c r="D407" s="22" t="n"/>
      <c r="E407" s="23" t="n"/>
      <c r="F407" s="24">
        <f>IF(ISNUMBER(D407),D407-IF(ISNUMBER(E407),E407,30),"")</f>
        <v/>
      </c>
      <c r="G407" s="25">
        <f>IF(D407="","",IF(ISNUMBER(D407),D407-TODAY(),"Check date"))</f>
        <v/>
      </c>
      <c r="H407" s="26">
        <f>IF(G407="","",IF(ISNUMBER(G407),IF(G407&lt;0,"Expired",IF(G407&lt;=30,"Due ≤30 days",IF(G407&lt;=90,"Due ≤90 days","OK"))),"Check date"))</f>
        <v/>
      </c>
      <c r="I407" s="21" t="n"/>
      <c r="J407" s="21" t="n"/>
      <c r="K407" s="22" t="n"/>
      <c r="L407" s="21" t="n"/>
      <c r="M407" s="21" t="n"/>
      <c r="N407" s="21" t="n"/>
      <c r="O407" s="27">
        <f>IF(B407="","",IFERROR(IF(VLOOKUP(B407,Lists!$A$2:$B$12,2,FALSE)="","",HYPERLINK(VLOOKUP(B407,Lists!$A$2:$B$12,2,FALSE),"How long valid?")),""))</f>
        <v/>
      </c>
      <c r="P407" s="21" t="n"/>
    </row>
    <row r="408">
      <c r="A408" s="21" t="n"/>
      <c r="B408" s="21" t="n"/>
      <c r="C408" s="22" t="n"/>
      <c r="D408" s="22" t="n"/>
      <c r="E408" s="23" t="n"/>
      <c r="F408" s="24">
        <f>IF(ISNUMBER(D408),D408-IF(ISNUMBER(E408),E408,30),"")</f>
        <v/>
      </c>
      <c r="G408" s="25">
        <f>IF(D408="","",IF(ISNUMBER(D408),D408-TODAY(),"Check date"))</f>
        <v/>
      </c>
      <c r="H408" s="26">
        <f>IF(G408="","",IF(ISNUMBER(G408),IF(G408&lt;0,"Expired",IF(G408&lt;=30,"Due ≤30 days",IF(G408&lt;=90,"Due ≤90 days","OK"))),"Check date"))</f>
        <v/>
      </c>
      <c r="I408" s="21" t="n"/>
      <c r="J408" s="21" t="n"/>
      <c r="K408" s="22" t="n"/>
      <c r="L408" s="21" t="n"/>
      <c r="M408" s="21" t="n"/>
      <c r="N408" s="21" t="n"/>
      <c r="O408" s="27">
        <f>IF(B408="","",IFERROR(IF(VLOOKUP(B408,Lists!$A$2:$B$12,2,FALSE)="","",HYPERLINK(VLOOKUP(B408,Lists!$A$2:$B$12,2,FALSE),"How long valid?")),""))</f>
        <v/>
      </c>
      <c r="P408" s="21" t="n"/>
    </row>
    <row r="409">
      <c r="A409" s="21" t="n"/>
      <c r="B409" s="21" t="n"/>
      <c r="C409" s="22" t="n"/>
      <c r="D409" s="22" t="n"/>
      <c r="E409" s="23" t="n"/>
      <c r="F409" s="24">
        <f>IF(ISNUMBER(D409),D409-IF(ISNUMBER(E409),E409,30),"")</f>
        <v/>
      </c>
      <c r="G409" s="25">
        <f>IF(D409="","",IF(ISNUMBER(D409),D409-TODAY(),"Check date"))</f>
        <v/>
      </c>
      <c r="H409" s="26">
        <f>IF(G409="","",IF(ISNUMBER(G409),IF(G409&lt;0,"Expired",IF(G409&lt;=30,"Due ≤30 days",IF(G409&lt;=90,"Due ≤90 days","OK"))),"Check date"))</f>
        <v/>
      </c>
      <c r="I409" s="21" t="n"/>
      <c r="J409" s="21" t="n"/>
      <c r="K409" s="22" t="n"/>
      <c r="L409" s="21" t="n"/>
      <c r="M409" s="21" t="n"/>
      <c r="N409" s="21" t="n"/>
      <c r="O409" s="27">
        <f>IF(B409="","",IFERROR(IF(VLOOKUP(B409,Lists!$A$2:$B$12,2,FALSE)="","",HYPERLINK(VLOOKUP(B409,Lists!$A$2:$B$12,2,FALSE),"How long valid?")),""))</f>
        <v/>
      </c>
      <c r="P409" s="21" t="n"/>
    </row>
    <row r="410">
      <c r="A410" s="21" t="n"/>
      <c r="B410" s="21" t="n"/>
      <c r="C410" s="22" t="n"/>
      <c r="D410" s="22" t="n"/>
      <c r="E410" s="23" t="n"/>
      <c r="F410" s="24">
        <f>IF(ISNUMBER(D410),D410-IF(ISNUMBER(E410),E410,30),"")</f>
        <v/>
      </c>
      <c r="G410" s="25">
        <f>IF(D410="","",IF(ISNUMBER(D410),D410-TODAY(),"Check date"))</f>
        <v/>
      </c>
      <c r="H410" s="26">
        <f>IF(G410="","",IF(ISNUMBER(G410),IF(G410&lt;0,"Expired",IF(G410&lt;=30,"Due ≤30 days",IF(G410&lt;=90,"Due ≤90 days","OK"))),"Check date"))</f>
        <v/>
      </c>
      <c r="I410" s="21" t="n"/>
      <c r="J410" s="21" t="n"/>
      <c r="K410" s="22" t="n"/>
      <c r="L410" s="21" t="n"/>
      <c r="M410" s="21" t="n"/>
      <c r="N410" s="21" t="n"/>
      <c r="O410" s="27">
        <f>IF(B410="","",IFERROR(IF(VLOOKUP(B410,Lists!$A$2:$B$12,2,FALSE)="","",HYPERLINK(VLOOKUP(B410,Lists!$A$2:$B$12,2,FALSE),"How long valid?")),""))</f>
        <v/>
      </c>
      <c r="P410" s="21" t="n"/>
    </row>
    <row r="411">
      <c r="A411" s="21" t="n"/>
      <c r="B411" s="21" t="n"/>
      <c r="C411" s="22" t="n"/>
      <c r="D411" s="22" t="n"/>
      <c r="E411" s="23" t="n"/>
      <c r="F411" s="24">
        <f>IF(ISNUMBER(D411),D411-IF(ISNUMBER(E411),E411,30),"")</f>
        <v/>
      </c>
      <c r="G411" s="25">
        <f>IF(D411="","",IF(ISNUMBER(D411),D411-TODAY(),"Check date"))</f>
        <v/>
      </c>
      <c r="H411" s="26">
        <f>IF(G411="","",IF(ISNUMBER(G411),IF(G411&lt;0,"Expired",IF(G411&lt;=30,"Due ≤30 days",IF(G411&lt;=90,"Due ≤90 days","OK"))),"Check date"))</f>
        <v/>
      </c>
      <c r="I411" s="21" t="n"/>
      <c r="J411" s="21" t="n"/>
      <c r="K411" s="22" t="n"/>
      <c r="L411" s="21" t="n"/>
      <c r="M411" s="21" t="n"/>
      <c r="N411" s="21" t="n"/>
      <c r="O411" s="27">
        <f>IF(B411="","",IFERROR(IF(VLOOKUP(B411,Lists!$A$2:$B$12,2,FALSE)="","",HYPERLINK(VLOOKUP(B411,Lists!$A$2:$B$12,2,FALSE),"How long valid?")),""))</f>
        <v/>
      </c>
      <c r="P411" s="21" t="n"/>
    </row>
    <row r="412">
      <c r="A412" s="21" t="n"/>
      <c r="B412" s="21" t="n"/>
      <c r="C412" s="22" t="n"/>
      <c r="D412" s="22" t="n"/>
      <c r="E412" s="23" t="n"/>
      <c r="F412" s="24">
        <f>IF(ISNUMBER(D412),D412-IF(ISNUMBER(E412),E412,30),"")</f>
        <v/>
      </c>
      <c r="G412" s="25">
        <f>IF(D412="","",IF(ISNUMBER(D412),D412-TODAY(),"Check date"))</f>
        <v/>
      </c>
      <c r="H412" s="26">
        <f>IF(G412="","",IF(ISNUMBER(G412),IF(G412&lt;0,"Expired",IF(G412&lt;=30,"Due ≤30 days",IF(G412&lt;=90,"Due ≤90 days","OK"))),"Check date"))</f>
        <v/>
      </c>
      <c r="I412" s="21" t="n"/>
      <c r="J412" s="21" t="n"/>
      <c r="K412" s="22" t="n"/>
      <c r="L412" s="21" t="n"/>
      <c r="M412" s="21" t="n"/>
      <c r="N412" s="21" t="n"/>
      <c r="O412" s="27">
        <f>IF(B412="","",IFERROR(IF(VLOOKUP(B412,Lists!$A$2:$B$12,2,FALSE)="","",HYPERLINK(VLOOKUP(B412,Lists!$A$2:$B$12,2,FALSE),"How long valid?")),""))</f>
        <v/>
      </c>
      <c r="P412" s="21" t="n"/>
    </row>
    <row r="413">
      <c r="A413" s="21" t="n"/>
      <c r="B413" s="21" t="n"/>
      <c r="C413" s="22" t="n"/>
      <c r="D413" s="22" t="n"/>
      <c r="E413" s="23" t="n"/>
      <c r="F413" s="24">
        <f>IF(ISNUMBER(D413),D413-IF(ISNUMBER(E413),E413,30),"")</f>
        <v/>
      </c>
      <c r="G413" s="25">
        <f>IF(D413="","",IF(ISNUMBER(D413),D413-TODAY(),"Check date"))</f>
        <v/>
      </c>
      <c r="H413" s="26">
        <f>IF(G413="","",IF(ISNUMBER(G413),IF(G413&lt;0,"Expired",IF(G413&lt;=30,"Due ≤30 days",IF(G413&lt;=90,"Due ≤90 days","OK"))),"Check date"))</f>
        <v/>
      </c>
      <c r="I413" s="21" t="n"/>
      <c r="J413" s="21" t="n"/>
      <c r="K413" s="22" t="n"/>
      <c r="L413" s="21" t="n"/>
      <c r="M413" s="21" t="n"/>
      <c r="N413" s="21" t="n"/>
      <c r="O413" s="27">
        <f>IF(B413="","",IFERROR(IF(VLOOKUP(B413,Lists!$A$2:$B$12,2,FALSE)="","",HYPERLINK(VLOOKUP(B413,Lists!$A$2:$B$12,2,FALSE),"How long valid?")),""))</f>
        <v/>
      </c>
      <c r="P413" s="21" t="n"/>
    </row>
    <row r="414">
      <c r="A414" s="21" t="n"/>
      <c r="B414" s="21" t="n"/>
      <c r="C414" s="22" t="n"/>
      <c r="D414" s="22" t="n"/>
      <c r="E414" s="23" t="n"/>
      <c r="F414" s="24">
        <f>IF(ISNUMBER(D414),D414-IF(ISNUMBER(E414),E414,30),"")</f>
        <v/>
      </c>
      <c r="G414" s="25">
        <f>IF(D414="","",IF(ISNUMBER(D414),D414-TODAY(),"Check date"))</f>
        <v/>
      </c>
      <c r="H414" s="26">
        <f>IF(G414="","",IF(ISNUMBER(G414),IF(G414&lt;0,"Expired",IF(G414&lt;=30,"Due ≤30 days",IF(G414&lt;=90,"Due ≤90 days","OK"))),"Check date"))</f>
        <v/>
      </c>
      <c r="I414" s="21" t="n"/>
      <c r="J414" s="21" t="n"/>
      <c r="K414" s="22" t="n"/>
      <c r="L414" s="21" t="n"/>
      <c r="M414" s="21" t="n"/>
      <c r="N414" s="21" t="n"/>
      <c r="O414" s="27">
        <f>IF(B414="","",IFERROR(IF(VLOOKUP(B414,Lists!$A$2:$B$12,2,FALSE)="","",HYPERLINK(VLOOKUP(B414,Lists!$A$2:$B$12,2,FALSE),"How long valid?")),""))</f>
        <v/>
      </c>
      <c r="P414" s="21" t="n"/>
    </row>
    <row r="415">
      <c r="A415" s="21" t="n"/>
      <c r="B415" s="21" t="n"/>
      <c r="C415" s="22" t="n"/>
      <c r="D415" s="22" t="n"/>
      <c r="E415" s="23" t="n"/>
      <c r="F415" s="24">
        <f>IF(ISNUMBER(D415),D415-IF(ISNUMBER(E415),E415,30),"")</f>
        <v/>
      </c>
      <c r="G415" s="25">
        <f>IF(D415="","",IF(ISNUMBER(D415),D415-TODAY(),"Check date"))</f>
        <v/>
      </c>
      <c r="H415" s="26">
        <f>IF(G415="","",IF(ISNUMBER(G415),IF(G415&lt;0,"Expired",IF(G415&lt;=30,"Due ≤30 days",IF(G415&lt;=90,"Due ≤90 days","OK"))),"Check date"))</f>
        <v/>
      </c>
      <c r="I415" s="21" t="n"/>
      <c r="J415" s="21" t="n"/>
      <c r="K415" s="22" t="n"/>
      <c r="L415" s="21" t="n"/>
      <c r="M415" s="21" t="n"/>
      <c r="N415" s="21" t="n"/>
      <c r="O415" s="27">
        <f>IF(B415="","",IFERROR(IF(VLOOKUP(B415,Lists!$A$2:$B$12,2,FALSE)="","",HYPERLINK(VLOOKUP(B415,Lists!$A$2:$B$12,2,FALSE),"How long valid?")),""))</f>
        <v/>
      </c>
      <c r="P415" s="21" t="n"/>
    </row>
    <row r="416">
      <c r="A416" s="21" t="n"/>
      <c r="B416" s="21" t="n"/>
      <c r="C416" s="22" t="n"/>
      <c r="D416" s="22" t="n"/>
      <c r="E416" s="23" t="n"/>
      <c r="F416" s="24">
        <f>IF(ISNUMBER(D416),D416-IF(ISNUMBER(E416),E416,30),"")</f>
        <v/>
      </c>
      <c r="G416" s="25">
        <f>IF(D416="","",IF(ISNUMBER(D416),D416-TODAY(),"Check date"))</f>
        <v/>
      </c>
      <c r="H416" s="26">
        <f>IF(G416="","",IF(ISNUMBER(G416),IF(G416&lt;0,"Expired",IF(G416&lt;=30,"Due ≤30 days",IF(G416&lt;=90,"Due ≤90 days","OK"))),"Check date"))</f>
        <v/>
      </c>
      <c r="I416" s="21" t="n"/>
      <c r="J416" s="21" t="n"/>
      <c r="K416" s="22" t="n"/>
      <c r="L416" s="21" t="n"/>
      <c r="M416" s="21" t="n"/>
      <c r="N416" s="21" t="n"/>
      <c r="O416" s="27">
        <f>IF(B416="","",IFERROR(IF(VLOOKUP(B416,Lists!$A$2:$B$12,2,FALSE)="","",HYPERLINK(VLOOKUP(B416,Lists!$A$2:$B$12,2,FALSE),"How long valid?")),""))</f>
        <v/>
      </c>
      <c r="P416" s="21" t="n"/>
    </row>
    <row r="417">
      <c r="A417" s="21" t="n"/>
      <c r="B417" s="21" t="n"/>
      <c r="C417" s="22" t="n"/>
      <c r="D417" s="22" t="n"/>
      <c r="E417" s="23" t="n"/>
      <c r="F417" s="24">
        <f>IF(ISNUMBER(D417),D417-IF(ISNUMBER(E417),E417,30),"")</f>
        <v/>
      </c>
      <c r="G417" s="25">
        <f>IF(D417="","",IF(ISNUMBER(D417),D417-TODAY(),"Check date"))</f>
        <v/>
      </c>
      <c r="H417" s="26">
        <f>IF(G417="","",IF(ISNUMBER(G417),IF(G417&lt;0,"Expired",IF(G417&lt;=30,"Due ≤30 days",IF(G417&lt;=90,"Due ≤90 days","OK"))),"Check date"))</f>
        <v/>
      </c>
      <c r="I417" s="21" t="n"/>
      <c r="J417" s="21" t="n"/>
      <c r="K417" s="22" t="n"/>
      <c r="L417" s="21" t="n"/>
      <c r="M417" s="21" t="n"/>
      <c r="N417" s="21" t="n"/>
      <c r="O417" s="27">
        <f>IF(B417="","",IFERROR(IF(VLOOKUP(B417,Lists!$A$2:$B$12,2,FALSE)="","",HYPERLINK(VLOOKUP(B417,Lists!$A$2:$B$12,2,FALSE),"How long valid?")),""))</f>
        <v/>
      </c>
      <c r="P417" s="21" t="n"/>
    </row>
    <row r="418">
      <c r="A418" s="21" t="n"/>
      <c r="B418" s="21" t="n"/>
      <c r="C418" s="22" t="n"/>
      <c r="D418" s="22" t="n"/>
      <c r="E418" s="23" t="n"/>
      <c r="F418" s="24">
        <f>IF(ISNUMBER(D418),D418-IF(ISNUMBER(E418),E418,30),"")</f>
        <v/>
      </c>
      <c r="G418" s="25">
        <f>IF(D418="","",IF(ISNUMBER(D418),D418-TODAY(),"Check date"))</f>
        <v/>
      </c>
      <c r="H418" s="26">
        <f>IF(G418="","",IF(ISNUMBER(G418),IF(G418&lt;0,"Expired",IF(G418&lt;=30,"Due ≤30 days",IF(G418&lt;=90,"Due ≤90 days","OK"))),"Check date"))</f>
        <v/>
      </c>
      <c r="I418" s="21" t="n"/>
      <c r="J418" s="21" t="n"/>
      <c r="K418" s="22" t="n"/>
      <c r="L418" s="21" t="n"/>
      <c r="M418" s="21" t="n"/>
      <c r="N418" s="21" t="n"/>
      <c r="O418" s="27">
        <f>IF(B418="","",IFERROR(IF(VLOOKUP(B418,Lists!$A$2:$B$12,2,FALSE)="","",HYPERLINK(VLOOKUP(B418,Lists!$A$2:$B$12,2,FALSE),"How long valid?")),""))</f>
        <v/>
      </c>
      <c r="P418" s="21" t="n"/>
    </row>
    <row r="419">
      <c r="A419" s="21" t="n"/>
      <c r="B419" s="21" t="n"/>
      <c r="C419" s="22" t="n"/>
      <c r="D419" s="22" t="n"/>
      <c r="E419" s="23" t="n"/>
      <c r="F419" s="24">
        <f>IF(ISNUMBER(D419),D419-IF(ISNUMBER(E419),E419,30),"")</f>
        <v/>
      </c>
      <c r="G419" s="25">
        <f>IF(D419="","",IF(ISNUMBER(D419),D419-TODAY(),"Check date"))</f>
        <v/>
      </c>
      <c r="H419" s="26">
        <f>IF(G419="","",IF(ISNUMBER(G419),IF(G419&lt;0,"Expired",IF(G419&lt;=30,"Due ≤30 days",IF(G419&lt;=90,"Due ≤90 days","OK"))),"Check date"))</f>
        <v/>
      </c>
      <c r="I419" s="21" t="n"/>
      <c r="J419" s="21" t="n"/>
      <c r="K419" s="22" t="n"/>
      <c r="L419" s="21" t="n"/>
      <c r="M419" s="21" t="n"/>
      <c r="N419" s="21" t="n"/>
      <c r="O419" s="27">
        <f>IF(B419="","",IFERROR(IF(VLOOKUP(B419,Lists!$A$2:$B$12,2,FALSE)="","",HYPERLINK(VLOOKUP(B419,Lists!$A$2:$B$12,2,FALSE),"How long valid?")),""))</f>
        <v/>
      </c>
      <c r="P419" s="21" t="n"/>
    </row>
    <row r="420">
      <c r="A420" s="21" t="n"/>
      <c r="B420" s="21" t="n"/>
      <c r="C420" s="22" t="n"/>
      <c r="D420" s="22" t="n"/>
      <c r="E420" s="23" t="n"/>
      <c r="F420" s="24">
        <f>IF(ISNUMBER(D420),D420-IF(ISNUMBER(E420),E420,30),"")</f>
        <v/>
      </c>
      <c r="G420" s="25">
        <f>IF(D420="","",IF(ISNUMBER(D420),D420-TODAY(),"Check date"))</f>
        <v/>
      </c>
      <c r="H420" s="26">
        <f>IF(G420="","",IF(ISNUMBER(G420),IF(G420&lt;0,"Expired",IF(G420&lt;=30,"Due ≤30 days",IF(G420&lt;=90,"Due ≤90 days","OK"))),"Check date"))</f>
        <v/>
      </c>
      <c r="I420" s="21" t="n"/>
      <c r="J420" s="21" t="n"/>
      <c r="K420" s="22" t="n"/>
      <c r="L420" s="21" t="n"/>
      <c r="M420" s="21" t="n"/>
      <c r="N420" s="21" t="n"/>
      <c r="O420" s="27">
        <f>IF(B420="","",IFERROR(IF(VLOOKUP(B420,Lists!$A$2:$B$12,2,FALSE)="","",HYPERLINK(VLOOKUP(B420,Lists!$A$2:$B$12,2,FALSE),"How long valid?")),""))</f>
        <v/>
      </c>
      <c r="P420" s="21" t="n"/>
    </row>
    <row r="421">
      <c r="A421" s="21" t="n"/>
      <c r="B421" s="21" t="n"/>
      <c r="C421" s="22" t="n"/>
      <c r="D421" s="22" t="n"/>
      <c r="E421" s="23" t="n"/>
      <c r="F421" s="24">
        <f>IF(ISNUMBER(D421),D421-IF(ISNUMBER(E421),E421,30),"")</f>
        <v/>
      </c>
      <c r="G421" s="25">
        <f>IF(D421="","",IF(ISNUMBER(D421),D421-TODAY(),"Check date"))</f>
        <v/>
      </c>
      <c r="H421" s="26">
        <f>IF(G421="","",IF(ISNUMBER(G421),IF(G421&lt;0,"Expired",IF(G421&lt;=30,"Due ≤30 days",IF(G421&lt;=90,"Due ≤90 days","OK"))),"Check date"))</f>
        <v/>
      </c>
      <c r="I421" s="21" t="n"/>
      <c r="J421" s="21" t="n"/>
      <c r="K421" s="22" t="n"/>
      <c r="L421" s="21" t="n"/>
      <c r="M421" s="21" t="n"/>
      <c r="N421" s="21" t="n"/>
      <c r="O421" s="27">
        <f>IF(B421="","",IFERROR(IF(VLOOKUP(B421,Lists!$A$2:$B$12,2,FALSE)="","",HYPERLINK(VLOOKUP(B421,Lists!$A$2:$B$12,2,FALSE),"How long valid?")),""))</f>
        <v/>
      </c>
      <c r="P421" s="21" t="n"/>
    </row>
    <row r="422">
      <c r="A422" s="21" t="n"/>
      <c r="B422" s="21" t="n"/>
      <c r="C422" s="22" t="n"/>
      <c r="D422" s="22" t="n"/>
      <c r="E422" s="23" t="n"/>
      <c r="F422" s="24">
        <f>IF(ISNUMBER(D422),D422-IF(ISNUMBER(E422),E422,30),"")</f>
        <v/>
      </c>
      <c r="G422" s="25">
        <f>IF(D422="","",IF(ISNUMBER(D422),D422-TODAY(),"Check date"))</f>
        <v/>
      </c>
      <c r="H422" s="26">
        <f>IF(G422="","",IF(ISNUMBER(G422),IF(G422&lt;0,"Expired",IF(G422&lt;=30,"Due ≤30 days",IF(G422&lt;=90,"Due ≤90 days","OK"))),"Check date"))</f>
        <v/>
      </c>
      <c r="I422" s="21" t="n"/>
      <c r="J422" s="21" t="n"/>
      <c r="K422" s="22" t="n"/>
      <c r="L422" s="21" t="n"/>
      <c r="M422" s="21" t="n"/>
      <c r="N422" s="21" t="n"/>
      <c r="O422" s="27">
        <f>IF(B422="","",IFERROR(IF(VLOOKUP(B422,Lists!$A$2:$B$12,2,FALSE)="","",HYPERLINK(VLOOKUP(B422,Lists!$A$2:$B$12,2,FALSE),"How long valid?")),""))</f>
        <v/>
      </c>
      <c r="P422" s="21" t="n"/>
    </row>
    <row r="423">
      <c r="A423" s="21" t="n"/>
      <c r="B423" s="21" t="n"/>
      <c r="C423" s="22" t="n"/>
      <c r="D423" s="22" t="n"/>
      <c r="E423" s="23" t="n"/>
      <c r="F423" s="24">
        <f>IF(ISNUMBER(D423),D423-IF(ISNUMBER(E423),E423,30),"")</f>
        <v/>
      </c>
      <c r="G423" s="25">
        <f>IF(D423="","",IF(ISNUMBER(D423),D423-TODAY(),"Check date"))</f>
        <v/>
      </c>
      <c r="H423" s="26">
        <f>IF(G423="","",IF(ISNUMBER(G423),IF(G423&lt;0,"Expired",IF(G423&lt;=30,"Due ≤30 days",IF(G423&lt;=90,"Due ≤90 days","OK"))),"Check date"))</f>
        <v/>
      </c>
      <c r="I423" s="21" t="n"/>
      <c r="J423" s="21" t="n"/>
      <c r="K423" s="22" t="n"/>
      <c r="L423" s="21" t="n"/>
      <c r="M423" s="21" t="n"/>
      <c r="N423" s="21" t="n"/>
      <c r="O423" s="27">
        <f>IF(B423="","",IFERROR(IF(VLOOKUP(B423,Lists!$A$2:$B$12,2,FALSE)="","",HYPERLINK(VLOOKUP(B423,Lists!$A$2:$B$12,2,FALSE),"How long valid?")),""))</f>
        <v/>
      </c>
      <c r="P423" s="21" t="n"/>
    </row>
    <row r="424">
      <c r="A424" s="21" t="n"/>
      <c r="B424" s="21" t="n"/>
      <c r="C424" s="22" t="n"/>
      <c r="D424" s="22" t="n"/>
      <c r="E424" s="23" t="n"/>
      <c r="F424" s="24">
        <f>IF(ISNUMBER(D424),D424-IF(ISNUMBER(E424),E424,30),"")</f>
        <v/>
      </c>
      <c r="G424" s="25">
        <f>IF(D424="","",IF(ISNUMBER(D424),D424-TODAY(),"Check date"))</f>
        <v/>
      </c>
      <c r="H424" s="26">
        <f>IF(G424="","",IF(ISNUMBER(G424),IF(G424&lt;0,"Expired",IF(G424&lt;=30,"Due ≤30 days",IF(G424&lt;=90,"Due ≤90 days","OK"))),"Check date"))</f>
        <v/>
      </c>
      <c r="I424" s="21" t="n"/>
      <c r="J424" s="21" t="n"/>
      <c r="K424" s="22" t="n"/>
      <c r="L424" s="21" t="n"/>
      <c r="M424" s="21" t="n"/>
      <c r="N424" s="21" t="n"/>
      <c r="O424" s="27">
        <f>IF(B424="","",IFERROR(IF(VLOOKUP(B424,Lists!$A$2:$B$12,2,FALSE)="","",HYPERLINK(VLOOKUP(B424,Lists!$A$2:$B$12,2,FALSE),"How long valid?")),""))</f>
        <v/>
      </c>
      <c r="P424" s="21" t="n"/>
    </row>
    <row r="425">
      <c r="A425" s="21" t="n"/>
      <c r="B425" s="21" t="n"/>
      <c r="C425" s="22" t="n"/>
      <c r="D425" s="22" t="n"/>
      <c r="E425" s="23" t="n"/>
      <c r="F425" s="24">
        <f>IF(ISNUMBER(D425),D425-IF(ISNUMBER(E425),E425,30),"")</f>
        <v/>
      </c>
      <c r="G425" s="25">
        <f>IF(D425="","",IF(ISNUMBER(D425),D425-TODAY(),"Check date"))</f>
        <v/>
      </c>
      <c r="H425" s="26">
        <f>IF(G425="","",IF(ISNUMBER(G425),IF(G425&lt;0,"Expired",IF(G425&lt;=30,"Due ≤30 days",IF(G425&lt;=90,"Due ≤90 days","OK"))),"Check date"))</f>
        <v/>
      </c>
      <c r="I425" s="21" t="n"/>
      <c r="J425" s="21" t="n"/>
      <c r="K425" s="22" t="n"/>
      <c r="L425" s="21" t="n"/>
      <c r="M425" s="21" t="n"/>
      <c r="N425" s="21" t="n"/>
      <c r="O425" s="27">
        <f>IF(B425="","",IFERROR(IF(VLOOKUP(B425,Lists!$A$2:$B$12,2,FALSE)="","",HYPERLINK(VLOOKUP(B425,Lists!$A$2:$B$12,2,FALSE),"How long valid?")),""))</f>
        <v/>
      </c>
      <c r="P425" s="21" t="n"/>
    </row>
    <row r="426">
      <c r="A426" s="21" t="n"/>
      <c r="B426" s="21" t="n"/>
      <c r="C426" s="22" t="n"/>
      <c r="D426" s="22" t="n"/>
      <c r="E426" s="23" t="n"/>
      <c r="F426" s="24">
        <f>IF(ISNUMBER(D426),D426-IF(ISNUMBER(E426),E426,30),"")</f>
        <v/>
      </c>
      <c r="G426" s="25">
        <f>IF(D426="","",IF(ISNUMBER(D426),D426-TODAY(),"Check date"))</f>
        <v/>
      </c>
      <c r="H426" s="26">
        <f>IF(G426="","",IF(ISNUMBER(G426),IF(G426&lt;0,"Expired",IF(G426&lt;=30,"Due ≤30 days",IF(G426&lt;=90,"Due ≤90 days","OK"))),"Check date"))</f>
        <v/>
      </c>
      <c r="I426" s="21" t="n"/>
      <c r="J426" s="21" t="n"/>
      <c r="K426" s="22" t="n"/>
      <c r="L426" s="21" t="n"/>
      <c r="M426" s="21" t="n"/>
      <c r="N426" s="21" t="n"/>
      <c r="O426" s="27">
        <f>IF(B426="","",IFERROR(IF(VLOOKUP(B426,Lists!$A$2:$B$12,2,FALSE)="","",HYPERLINK(VLOOKUP(B426,Lists!$A$2:$B$12,2,FALSE),"How long valid?")),""))</f>
        <v/>
      </c>
      <c r="P426" s="21" t="n"/>
    </row>
    <row r="427">
      <c r="A427" s="21" t="n"/>
      <c r="B427" s="21" t="n"/>
      <c r="C427" s="22" t="n"/>
      <c r="D427" s="22" t="n"/>
      <c r="E427" s="23" t="n"/>
      <c r="F427" s="24">
        <f>IF(ISNUMBER(D427),D427-IF(ISNUMBER(E427),E427,30),"")</f>
        <v/>
      </c>
      <c r="G427" s="25">
        <f>IF(D427="","",IF(ISNUMBER(D427),D427-TODAY(),"Check date"))</f>
        <v/>
      </c>
      <c r="H427" s="26">
        <f>IF(G427="","",IF(ISNUMBER(G427),IF(G427&lt;0,"Expired",IF(G427&lt;=30,"Due ≤30 days",IF(G427&lt;=90,"Due ≤90 days","OK"))),"Check date"))</f>
        <v/>
      </c>
      <c r="I427" s="21" t="n"/>
      <c r="J427" s="21" t="n"/>
      <c r="K427" s="22" t="n"/>
      <c r="L427" s="21" t="n"/>
      <c r="M427" s="21" t="n"/>
      <c r="N427" s="21" t="n"/>
      <c r="O427" s="27">
        <f>IF(B427="","",IFERROR(IF(VLOOKUP(B427,Lists!$A$2:$B$12,2,FALSE)="","",HYPERLINK(VLOOKUP(B427,Lists!$A$2:$B$12,2,FALSE),"How long valid?")),""))</f>
        <v/>
      </c>
      <c r="P427" s="21" t="n"/>
    </row>
    <row r="428">
      <c r="A428" s="21" t="n"/>
      <c r="B428" s="21" t="n"/>
      <c r="C428" s="22" t="n"/>
      <c r="D428" s="22" t="n"/>
      <c r="E428" s="23" t="n"/>
      <c r="F428" s="24">
        <f>IF(ISNUMBER(D428),D428-IF(ISNUMBER(E428),E428,30),"")</f>
        <v/>
      </c>
      <c r="G428" s="25">
        <f>IF(D428="","",IF(ISNUMBER(D428),D428-TODAY(),"Check date"))</f>
        <v/>
      </c>
      <c r="H428" s="26">
        <f>IF(G428="","",IF(ISNUMBER(G428),IF(G428&lt;0,"Expired",IF(G428&lt;=30,"Due ≤30 days",IF(G428&lt;=90,"Due ≤90 days","OK"))),"Check date"))</f>
        <v/>
      </c>
      <c r="I428" s="21" t="n"/>
      <c r="J428" s="21" t="n"/>
      <c r="K428" s="22" t="n"/>
      <c r="L428" s="21" t="n"/>
      <c r="M428" s="21" t="n"/>
      <c r="N428" s="21" t="n"/>
      <c r="O428" s="27">
        <f>IF(B428="","",IFERROR(IF(VLOOKUP(B428,Lists!$A$2:$B$12,2,FALSE)="","",HYPERLINK(VLOOKUP(B428,Lists!$A$2:$B$12,2,FALSE),"How long valid?")),""))</f>
        <v/>
      </c>
      <c r="P428" s="21" t="n"/>
    </row>
    <row r="429">
      <c r="A429" s="21" t="n"/>
      <c r="B429" s="21" t="n"/>
      <c r="C429" s="22" t="n"/>
      <c r="D429" s="22" t="n"/>
      <c r="E429" s="23" t="n"/>
      <c r="F429" s="24">
        <f>IF(ISNUMBER(D429),D429-IF(ISNUMBER(E429),E429,30),"")</f>
        <v/>
      </c>
      <c r="G429" s="25">
        <f>IF(D429="","",IF(ISNUMBER(D429),D429-TODAY(),"Check date"))</f>
        <v/>
      </c>
      <c r="H429" s="26">
        <f>IF(G429="","",IF(ISNUMBER(G429),IF(G429&lt;0,"Expired",IF(G429&lt;=30,"Due ≤30 days",IF(G429&lt;=90,"Due ≤90 days","OK"))),"Check date"))</f>
        <v/>
      </c>
      <c r="I429" s="21" t="n"/>
      <c r="J429" s="21" t="n"/>
      <c r="K429" s="22" t="n"/>
      <c r="L429" s="21" t="n"/>
      <c r="M429" s="21" t="n"/>
      <c r="N429" s="21" t="n"/>
      <c r="O429" s="27">
        <f>IF(B429="","",IFERROR(IF(VLOOKUP(B429,Lists!$A$2:$B$12,2,FALSE)="","",HYPERLINK(VLOOKUP(B429,Lists!$A$2:$B$12,2,FALSE),"How long valid?")),""))</f>
        <v/>
      </c>
      <c r="P429" s="21" t="n"/>
    </row>
    <row r="430">
      <c r="A430" s="21" t="n"/>
      <c r="B430" s="21" t="n"/>
      <c r="C430" s="22" t="n"/>
      <c r="D430" s="22" t="n"/>
      <c r="E430" s="23" t="n"/>
      <c r="F430" s="24">
        <f>IF(ISNUMBER(D430),D430-IF(ISNUMBER(E430),E430,30),"")</f>
        <v/>
      </c>
      <c r="G430" s="25">
        <f>IF(D430="","",IF(ISNUMBER(D430),D430-TODAY(),"Check date"))</f>
        <v/>
      </c>
      <c r="H430" s="26">
        <f>IF(G430="","",IF(ISNUMBER(G430),IF(G430&lt;0,"Expired",IF(G430&lt;=30,"Due ≤30 days",IF(G430&lt;=90,"Due ≤90 days","OK"))),"Check date"))</f>
        <v/>
      </c>
      <c r="I430" s="21" t="n"/>
      <c r="J430" s="21" t="n"/>
      <c r="K430" s="22" t="n"/>
      <c r="L430" s="21" t="n"/>
      <c r="M430" s="21" t="n"/>
      <c r="N430" s="21" t="n"/>
      <c r="O430" s="27">
        <f>IF(B430="","",IFERROR(IF(VLOOKUP(B430,Lists!$A$2:$B$12,2,FALSE)="","",HYPERLINK(VLOOKUP(B430,Lists!$A$2:$B$12,2,FALSE),"How long valid?")),""))</f>
        <v/>
      </c>
      <c r="P430" s="21" t="n"/>
    </row>
    <row r="431">
      <c r="A431" s="21" t="n"/>
      <c r="B431" s="21" t="n"/>
      <c r="C431" s="22" t="n"/>
      <c r="D431" s="22" t="n"/>
      <c r="E431" s="23" t="n"/>
      <c r="F431" s="24">
        <f>IF(ISNUMBER(D431),D431-IF(ISNUMBER(E431),E431,30),"")</f>
        <v/>
      </c>
      <c r="G431" s="25">
        <f>IF(D431="","",IF(ISNUMBER(D431),D431-TODAY(),"Check date"))</f>
        <v/>
      </c>
      <c r="H431" s="26">
        <f>IF(G431="","",IF(ISNUMBER(G431),IF(G431&lt;0,"Expired",IF(G431&lt;=30,"Due ≤30 days",IF(G431&lt;=90,"Due ≤90 days","OK"))),"Check date"))</f>
        <v/>
      </c>
      <c r="I431" s="21" t="n"/>
      <c r="J431" s="21" t="n"/>
      <c r="K431" s="22" t="n"/>
      <c r="L431" s="21" t="n"/>
      <c r="M431" s="21" t="n"/>
      <c r="N431" s="21" t="n"/>
      <c r="O431" s="27">
        <f>IF(B431="","",IFERROR(IF(VLOOKUP(B431,Lists!$A$2:$B$12,2,FALSE)="","",HYPERLINK(VLOOKUP(B431,Lists!$A$2:$B$12,2,FALSE),"How long valid?")),""))</f>
        <v/>
      </c>
      <c r="P431" s="21" t="n"/>
    </row>
    <row r="432">
      <c r="A432" s="21" t="n"/>
      <c r="B432" s="21" t="n"/>
      <c r="C432" s="22" t="n"/>
      <c r="D432" s="22" t="n"/>
      <c r="E432" s="23" t="n"/>
      <c r="F432" s="24">
        <f>IF(ISNUMBER(D432),D432-IF(ISNUMBER(E432),E432,30),"")</f>
        <v/>
      </c>
      <c r="G432" s="25">
        <f>IF(D432="","",IF(ISNUMBER(D432),D432-TODAY(),"Check date"))</f>
        <v/>
      </c>
      <c r="H432" s="26">
        <f>IF(G432="","",IF(ISNUMBER(G432),IF(G432&lt;0,"Expired",IF(G432&lt;=30,"Due ≤30 days",IF(G432&lt;=90,"Due ≤90 days","OK"))),"Check date"))</f>
        <v/>
      </c>
      <c r="I432" s="21" t="n"/>
      <c r="J432" s="21" t="n"/>
      <c r="K432" s="22" t="n"/>
      <c r="L432" s="21" t="n"/>
      <c r="M432" s="21" t="n"/>
      <c r="N432" s="21" t="n"/>
      <c r="O432" s="27">
        <f>IF(B432="","",IFERROR(IF(VLOOKUP(B432,Lists!$A$2:$B$12,2,FALSE)="","",HYPERLINK(VLOOKUP(B432,Lists!$A$2:$B$12,2,FALSE),"How long valid?")),""))</f>
        <v/>
      </c>
      <c r="P432" s="21" t="n"/>
    </row>
    <row r="433">
      <c r="A433" s="21" t="n"/>
      <c r="B433" s="21" t="n"/>
      <c r="C433" s="22" t="n"/>
      <c r="D433" s="22" t="n"/>
      <c r="E433" s="23" t="n"/>
      <c r="F433" s="24">
        <f>IF(ISNUMBER(D433),D433-IF(ISNUMBER(E433),E433,30),"")</f>
        <v/>
      </c>
      <c r="G433" s="25">
        <f>IF(D433="","",IF(ISNUMBER(D433),D433-TODAY(),"Check date"))</f>
        <v/>
      </c>
      <c r="H433" s="26">
        <f>IF(G433="","",IF(ISNUMBER(G433),IF(G433&lt;0,"Expired",IF(G433&lt;=30,"Due ≤30 days",IF(G433&lt;=90,"Due ≤90 days","OK"))),"Check date"))</f>
        <v/>
      </c>
      <c r="I433" s="21" t="n"/>
      <c r="J433" s="21" t="n"/>
      <c r="K433" s="22" t="n"/>
      <c r="L433" s="21" t="n"/>
      <c r="M433" s="21" t="n"/>
      <c r="N433" s="21" t="n"/>
      <c r="O433" s="27">
        <f>IF(B433="","",IFERROR(IF(VLOOKUP(B433,Lists!$A$2:$B$12,2,FALSE)="","",HYPERLINK(VLOOKUP(B433,Lists!$A$2:$B$12,2,FALSE),"How long valid?")),""))</f>
        <v/>
      </c>
      <c r="P433" s="21" t="n"/>
    </row>
    <row r="434">
      <c r="A434" s="21" t="n"/>
      <c r="B434" s="21" t="n"/>
      <c r="C434" s="22" t="n"/>
      <c r="D434" s="22" t="n"/>
      <c r="E434" s="23" t="n"/>
      <c r="F434" s="24">
        <f>IF(ISNUMBER(D434),D434-IF(ISNUMBER(E434),E434,30),"")</f>
        <v/>
      </c>
      <c r="G434" s="25">
        <f>IF(D434="","",IF(ISNUMBER(D434),D434-TODAY(),"Check date"))</f>
        <v/>
      </c>
      <c r="H434" s="26">
        <f>IF(G434="","",IF(ISNUMBER(G434),IF(G434&lt;0,"Expired",IF(G434&lt;=30,"Due ≤30 days",IF(G434&lt;=90,"Due ≤90 days","OK"))),"Check date"))</f>
        <v/>
      </c>
      <c r="I434" s="21" t="n"/>
      <c r="J434" s="21" t="n"/>
      <c r="K434" s="22" t="n"/>
      <c r="L434" s="21" t="n"/>
      <c r="M434" s="21" t="n"/>
      <c r="N434" s="21" t="n"/>
      <c r="O434" s="27">
        <f>IF(B434="","",IFERROR(IF(VLOOKUP(B434,Lists!$A$2:$B$12,2,FALSE)="","",HYPERLINK(VLOOKUP(B434,Lists!$A$2:$B$12,2,FALSE),"How long valid?")),""))</f>
        <v/>
      </c>
      <c r="P434" s="21" t="n"/>
    </row>
    <row r="435">
      <c r="A435" s="21" t="n"/>
      <c r="B435" s="21" t="n"/>
      <c r="C435" s="22" t="n"/>
      <c r="D435" s="22" t="n"/>
      <c r="E435" s="23" t="n"/>
      <c r="F435" s="24">
        <f>IF(ISNUMBER(D435),D435-IF(ISNUMBER(E435),E435,30),"")</f>
        <v/>
      </c>
      <c r="G435" s="25">
        <f>IF(D435="","",IF(ISNUMBER(D435),D435-TODAY(),"Check date"))</f>
        <v/>
      </c>
      <c r="H435" s="26">
        <f>IF(G435="","",IF(ISNUMBER(G435),IF(G435&lt;0,"Expired",IF(G435&lt;=30,"Due ≤30 days",IF(G435&lt;=90,"Due ≤90 days","OK"))),"Check date"))</f>
        <v/>
      </c>
      <c r="I435" s="21" t="n"/>
      <c r="J435" s="21" t="n"/>
      <c r="K435" s="22" t="n"/>
      <c r="L435" s="21" t="n"/>
      <c r="M435" s="21" t="n"/>
      <c r="N435" s="21" t="n"/>
      <c r="O435" s="27">
        <f>IF(B435="","",IFERROR(IF(VLOOKUP(B435,Lists!$A$2:$B$12,2,FALSE)="","",HYPERLINK(VLOOKUP(B435,Lists!$A$2:$B$12,2,FALSE),"How long valid?")),""))</f>
        <v/>
      </c>
      <c r="P435" s="21" t="n"/>
    </row>
    <row r="436">
      <c r="A436" s="21" t="n"/>
      <c r="B436" s="21" t="n"/>
      <c r="C436" s="22" t="n"/>
      <c r="D436" s="22" t="n"/>
      <c r="E436" s="23" t="n"/>
      <c r="F436" s="24">
        <f>IF(ISNUMBER(D436),D436-IF(ISNUMBER(E436),E436,30),"")</f>
        <v/>
      </c>
      <c r="G436" s="25">
        <f>IF(D436="","",IF(ISNUMBER(D436),D436-TODAY(),"Check date"))</f>
        <v/>
      </c>
      <c r="H436" s="26">
        <f>IF(G436="","",IF(ISNUMBER(G436),IF(G436&lt;0,"Expired",IF(G436&lt;=30,"Due ≤30 days",IF(G436&lt;=90,"Due ≤90 days","OK"))),"Check date"))</f>
        <v/>
      </c>
      <c r="I436" s="21" t="n"/>
      <c r="J436" s="21" t="n"/>
      <c r="K436" s="22" t="n"/>
      <c r="L436" s="21" t="n"/>
      <c r="M436" s="21" t="n"/>
      <c r="N436" s="21" t="n"/>
      <c r="O436" s="27">
        <f>IF(B436="","",IFERROR(IF(VLOOKUP(B436,Lists!$A$2:$B$12,2,FALSE)="","",HYPERLINK(VLOOKUP(B436,Lists!$A$2:$B$12,2,FALSE),"How long valid?")),""))</f>
        <v/>
      </c>
      <c r="P436" s="21" t="n"/>
    </row>
    <row r="437">
      <c r="A437" s="21" t="n"/>
      <c r="B437" s="21" t="n"/>
      <c r="C437" s="22" t="n"/>
      <c r="D437" s="22" t="n"/>
      <c r="E437" s="23" t="n"/>
      <c r="F437" s="24">
        <f>IF(ISNUMBER(D437),D437-IF(ISNUMBER(E437),E437,30),"")</f>
        <v/>
      </c>
      <c r="G437" s="25">
        <f>IF(D437="","",IF(ISNUMBER(D437),D437-TODAY(),"Check date"))</f>
        <v/>
      </c>
      <c r="H437" s="26">
        <f>IF(G437="","",IF(ISNUMBER(G437),IF(G437&lt;0,"Expired",IF(G437&lt;=30,"Due ≤30 days",IF(G437&lt;=90,"Due ≤90 days","OK"))),"Check date"))</f>
        <v/>
      </c>
      <c r="I437" s="21" t="n"/>
      <c r="J437" s="21" t="n"/>
      <c r="K437" s="22" t="n"/>
      <c r="L437" s="21" t="n"/>
      <c r="M437" s="21" t="n"/>
      <c r="N437" s="21" t="n"/>
      <c r="O437" s="27">
        <f>IF(B437="","",IFERROR(IF(VLOOKUP(B437,Lists!$A$2:$B$12,2,FALSE)="","",HYPERLINK(VLOOKUP(B437,Lists!$A$2:$B$12,2,FALSE),"How long valid?")),""))</f>
        <v/>
      </c>
      <c r="P437" s="21" t="n"/>
    </row>
    <row r="438">
      <c r="A438" s="21" t="n"/>
      <c r="B438" s="21" t="n"/>
      <c r="C438" s="22" t="n"/>
      <c r="D438" s="22" t="n"/>
      <c r="E438" s="23" t="n"/>
      <c r="F438" s="24">
        <f>IF(ISNUMBER(D438),D438-IF(ISNUMBER(E438),E438,30),"")</f>
        <v/>
      </c>
      <c r="G438" s="25">
        <f>IF(D438="","",IF(ISNUMBER(D438),D438-TODAY(),"Check date"))</f>
        <v/>
      </c>
      <c r="H438" s="26">
        <f>IF(G438="","",IF(ISNUMBER(G438),IF(G438&lt;0,"Expired",IF(G438&lt;=30,"Due ≤30 days",IF(G438&lt;=90,"Due ≤90 days","OK"))),"Check date"))</f>
        <v/>
      </c>
      <c r="I438" s="21" t="n"/>
      <c r="J438" s="21" t="n"/>
      <c r="K438" s="22" t="n"/>
      <c r="L438" s="21" t="n"/>
      <c r="M438" s="21" t="n"/>
      <c r="N438" s="21" t="n"/>
      <c r="O438" s="27">
        <f>IF(B438="","",IFERROR(IF(VLOOKUP(B438,Lists!$A$2:$B$12,2,FALSE)="","",HYPERLINK(VLOOKUP(B438,Lists!$A$2:$B$12,2,FALSE),"How long valid?")),""))</f>
        <v/>
      </c>
      <c r="P438" s="21" t="n"/>
    </row>
    <row r="439">
      <c r="A439" s="21" t="n"/>
      <c r="B439" s="21" t="n"/>
      <c r="C439" s="22" t="n"/>
      <c r="D439" s="22" t="n"/>
      <c r="E439" s="23" t="n"/>
      <c r="F439" s="24">
        <f>IF(ISNUMBER(D439),D439-IF(ISNUMBER(E439),E439,30),"")</f>
        <v/>
      </c>
      <c r="G439" s="25">
        <f>IF(D439="","",IF(ISNUMBER(D439),D439-TODAY(),"Check date"))</f>
        <v/>
      </c>
      <c r="H439" s="26">
        <f>IF(G439="","",IF(ISNUMBER(G439),IF(G439&lt;0,"Expired",IF(G439&lt;=30,"Due ≤30 days",IF(G439&lt;=90,"Due ≤90 days","OK"))),"Check date"))</f>
        <v/>
      </c>
      <c r="I439" s="21" t="n"/>
      <c r="J439" s="21" t="n"/>
      <c r="K439" s="22" t="n"/>
      <c r="L439" s="21" t="n"/>
      <c r="M439" s="21" t="n"/>
      <c r="N439" s="21" t="n"/>
      <c r="O439" s="27">
        <f>IF(B439="","",IFERROR(IF(VLOOKUP(B439,Lists!$A$2:$B$12,2,FALSE)="","",HYPERLINK(VLOOKUP(B439,Lists!$A$2:$B$12,2,FALSE),"How long valid?")),""))</f>
        <v/>
      </c>
      <c r="P439" s="21" t="n"/>
    </row>
    <row r="440">
      <c r="A440" s="21" t="n"/>
      <c r="B440" s="21" t="n"/>
      <c r="C440" s="22" t="n"/>
      <c r="D440" s="22" t="n"/>
      <c r="E440" s="23" t="n"/>
      <c r="F440" s="24">
        <f>IF(ISNUMBER(D440),D440-IF(ISNUMBER(E440),E440,30),"")</f>
        <v/>
      </c>
      <c r="G440" s="25">
        <f>IF(D440="","",IF(ISNUMBER(D440),D440-TODAY(),"Check date"))</f>
        <v/>
      </c>
      <c r="H440" s="26">
        <f>IF(G440="","",IF(ISNUMBER(G440),IF(G440&lt;0,"Expired",IF(G440&lt;=30,"Due ≤30 days",IF(G440&lt;=90,"Due ≤90 days","OK"))),"Check date"))</f>
        <v/>
      </c>
      <c r="I440" s="21" t="n"/>
      <c r="J440" s="21" t="n"/>
      <c r="K440" s="22" t="n"/>
      <c r="L440" s="21" t="n"/>
      <c r="M440" s="21" t="n"/>
      <c r="N440" s="21" t="n"/>
      <c r="O440" s="27">
        <f>IF(B440="","",IFERROR(IF(VLOOKUP(B440,Lists!$A$2:$B$12,2,FALSE)="","",HYPERLINK(VLOOKUP(B440,Lists!$A$2:$B$12,2,FALSE),"How long valid?")),""))</f>
        <v/>
      </c>
      <c r="P440" s="21" t="n"/>
    </row>
    <row r="441">
      <c r="A441" s="21" t="n"/>
      <c r="B441" s="21" t="n"/>
      <c r="C441" s="22" t="n"/>
      <c r="D441" s="22" t="n"/>
      <c r="E441" s="23" t="n"/>
      <c r="F441" s="24">
        <f>IF(ISNUMBER(D441),D441-IF(ISNUMBER(E441),E441,30),"")</f>
        <v/>
      </c>
      <c r="G441" s="25">
        <f>IF(D441="","",IF(ISNUMBER(D441),D441-TODAY(),"Check date"))</f>
        <v/>
      </c>
      <c r="H441" s="26">
        <f>IF(G441="","",IF(ISNUMBER(G441),IF(G441&lt;0,"Expired",IF(G441&lt;=30,"Due ≤30 days",IF(G441&lt;=90,"Due ≤90 days","OK"))),"Check date"))</f>
        <v/>
      </c>
      <c r="I441" s="21" t="n"/>
      <c r="J441" s="21" t="n"/>
      <c r="K441" s="22" t="n"/>
      <c r="L441" s="21" t="n"/>
      <c r="M441" s="21" t="n"/>
      <c r="N441" s="21" t="n"/>
      <c r="O441" s="27">
        <f>IF(B441="","",IFERROR(IF(VLOOKUP(B441,Lists!$A$2:$B$12,2,FALSE)="","",HYPERLINK(VLOOKUP(B441,Lists!$A$2:$B$12,2,FALSE),"How long valid?")),""))</f>
        <v/>
      </c>
      <c r="P441" s="21" t="n"/>
    </row>
    <row r="442">
      <c r="A442" s="21" t="n"/>
      <c r="B442" s="21" t="n"/>
      <c r="C442" s="22" t="n"/>
      <c r="D442" s="22" t="n"/>
      <c r="E442" s="23" t="n"/>
      <c r="F442" s="24">
        <f>IF(ISNUMBER(D442),D442-IF(ISNUMBER(E442),E442,30),"")</f>
        <v/>
      </c>
      <c r="G442" s="25">
        <f>IF(D442="","",IF(ISNUMBER(D442),D442-TODAY(),"Check date"))</f>
        <v/>
      </c>
      <c r="H442" s="26">
        <f>IF(G442="","",IF(ISNUMBER(G442),IF(G442&lt;0,"Expired",IF(G442&lt;=30,"Due ≤30 days",IF(G442&lt;=90,"Due ≤90 days","OK"))),"Check date"))</f>
        <v/>
      </c>
      <c r="I442" s="21" t="n"/>
      <c r="J442" s="21" t="n"/>
      <c r="K442" s="22" t="n"/>
      <c r="L442" s="21" t="n"/>
      <c r="M442" s="21" t="n"/>
      <c r="N442" s="21" t="n"/>
      <c r="O442" s="27">
        <f>IF(B442="","",IFERROR(IF(VLOOKUP(B442,Lists!$A$2:$B$12,2,FALSE)="","",HYPERLINK(VLOOKUP(B442,Lists!$A$2:$B$12,2,FALSE),"How long valid?")),""))</f>
        <v/>
      </c>
      <c r="P442" s="21" t="n"/>
    </row>
    <row r="443">
      <c r="A443" s="21" t="n"/>
      <c r="B443" s="21" t="n"/>
      <c r="C443" s="22" t="n"/>
      <c r="D443" s="22" t="n"/>
      <c r="E443" s="23" t="n"/>
      <c r="F443" s="24">
        <f>IF(ISNUMBER(D443),D443-IF(ISNUMBER(E443),E443,30),"")</f>
        <v/>
      </c>
      <c r="G443" s="25">
        <f>IF(D443="","",IF(ISNUMBER(D443),D443-TODAY(),"Check date"))</f>
        <v/>
      </c>
      <c r="H443" s="26">
        <f>IF(G443="","",IF(ISNUMBER(G443),IF(G443&lt;0,"Expired",IF(G443&lt;=30,"Due ≤30 days",IF(G443&lt;=90,"Due ≤90 days","OK"))),"Check date"))</f>
        <v/>
      </c>
      <c r="I443" s="21" t="n"/>
      <c r="J443" s="21" t="n"/>
      <c r="K443" s="22" t="n"/>
      <c r="L443" s="21" t="n"/>
      <c r="M443" s="21" t="n"/>
      <c r="N443" s="21" t="n"/>
      <c r="O443" s="27">
        <f>IF(B443="","",IFERROR(IF(VLOOKUP(B443,Lists!$A$2:$B$12,2,FALSE)="","",HYPERLINK(VLOOKUP(B443,Lists!$A$2:$B$12,2,FALSE),"How long valid?")),""))</f>
        <v/>
      </c>
      <c r="P443" s="21" t="n"/>
    </row>
    <row r="444">
      <c r="A444" s="21" t="n"/>
      <c r="B444" s="21" t="n"/>
      <c r="C444" s="22" t="n"/>
      <c r="D444" s="22" t="n"/>
      <c r="E444" s="23" t="n"/>
      <c r="F444" s="24">
        <f>IF(ISNUMBER(D444),D444-IF(ISNUMBER(E444),E444,30),"")</f>
        <v/>
      </c>
      <c r="G444" s="25">
        <f>IF(D444="","",IF(ISNUMBER(D444),D444-TODAY(),"Check date"))</f>
        <v/>
      </c>
      <c r="H444" s="26">
        <f>IF(G444="","",IF(ISNUMBER(G444),IF(G444&lt;0,"Expired",IF(G444&lt;=30,"Due ≤30 days",IF(G444&lt;=90,"Due ≤90 days","OK"))),"Check date"))</f>
        <v/>
      </c>
      <c r="I444" s="21" t="n"/>
      <c r="J444" s="21" t="n"/>
      <c r="K444" s="22" t="n"/>
      <c r="L444" s="21" t="n"/>
      <c r="M444" s="21" t="n"/>
      <c r="N444" s="21" t="n"/>
      <c r="O444" s="27">
        <f>IF(B444="","",IFERROR(IF(VLOOKUP(B444,Lists!$A$2:$B$12,2,FALSE)="","",HYPERLINK(VLOOKUP(B444,Lists!$A$2:$B$12,2,FALSE),"How long valid?")),""))</f>
        <v/>
      </c>
      <c r="P444" s="21" t="n"/>
    </row>
    <row r="445">
      <c r="A445" s="21" t="n"/>
      <c r="B445" s="21" t="n"/>
      <c r="C445" s="22" t="n"/>
      <c r="D445" s="22" t="n"/>
      <c r="E445" s="23" t="n"/>
      <c r="F445" s="24">
        <f>IF(ISNUMBER(D445),D445-IF(ISNUMBER(E445),E445,30),"")</f>
        <v/>
      </c>
      <c r="G445" s="25">
        <f>IF(D445="","",IF(ISNUMBER(D445),D445-TODAY(),"Check date"))</f>
        <v/>
      </c>
      <c r="H445" s="26">
        <f>IF(G445="","",IF(ISNUMBER(G445),IF(G445&lt;0,"Expired",IF(G445&lt;=30,"Due ≤30 days",IF(G445&lt;=90,"Due ≤90 days","OK"))),"Check date"))</f>
        <v/>
      </c>
      <c r="I445" s="21" t="n"/>
      <c r="J445" s="21" t="n"/>
      <c r="K445" s="22" t="n"/>
      <c r="L445" s="21" t="n"/>
      <c r="M445" s="21" t="n"/>
      <c r="N445" s="21" t="n"/>
      <c r="O445" s="27">
        <f>IF(B445="","",IFERROR(IF(VLOOKUP(B445,Lists!$A$2:$B$12,2,FALSE)="","",HYPERLINK(VLOOKUP(B445,Lists!$A$2:$B$12,2,FALSE),"How long valid?")),""))</f>
        <v/>
      </c>
      <c r="P445" s="21" t="n"/>
    </row>
    <row r="446">
      <c r="A446" s="21" t="n"/>
      <c r="B446" s="21" t="n"/>
      <c r="C446" s="22" t="n"/>
      <c r="D446" s="22" t="n"/>
      <c r="E446" s="23" t="n"/>
      <c r="F446" s="24">
        <f>IF(ISNUMBER(D446),D446-IF(ISNUMBER(E446),E446,30),"")</f>
        <v/>
      </c>
      <c r="G446" s="25">
        <f>IF(D446="","",IF(ISNUMBER(D446),D446-TODAY(),"Check date"))</f>
        <v/>
      </c>
      <c r="H446" s="26">
        <f>IF(G446="","",IF(ISNUMBER(G446),IF(G446&lt;0,"Expired",IF(G446&lt;=30,"Due ≤30 days",IF(G446&lt;=90,"Due ≤90 days","OK"))),"Check date"))</f>
        <v/>
      </c>
      <c r="I446" s="21" t="n"/>
      <c r="J446" s="21" t="n"/>
      <c r="K446" s="22" t="n"/>
      <c r="L446" s="21" t="n"/>
      <c r="M446" s="21" t="n"/>
      <c r="N446" s="21" t="n"/>
      <c r="O446" s="27">
        <f>IF(B446="","",IFERROR(IF(VLOOKUP(B446,Lists!$A$2:$B$12,2,FALSE)="","",HYPERLINK(VLOOKUP(B446,Lists!$A$2:$B$12,2,FALSE),"How long valid?")),""))</f>
        <v/>
      </c>
      <c r="P446" s="21" t="n"/>
    </row>
    <row r="447">
      <c r="A447" s="21" t="n"/>
      <c r="B447" s="21" t="n"/>
      <c r="C447" s="22" t="n"/>
      <c r="D447" s="22" t="n"/>
      <c r="E447" s="23" t="n"/>
      <c r="F447" s="24">
        <f>IF(ISNUMBER(D447),D447-IF(ISNUMBER(E447),E447,30),"")</f>
        <v/>
      </c>
      <c r="G447" s="25">
        <f>IF(D447="","",IF(ISNUMBER(D447),D447-TODAY(),"Check date"))</f>
        <v/>
      </c>
      <c r="H447" s="26">
        <f>IF(G447="","",IF(ISNUMBER(G447),IF(G447&lt;0,"Expired",IF(G447&lt;=30,"Due ≤30 days",IF(G447&lt;=90,"Due ≤90 days","OK"))),"Check date"))</f>
        <v/>
      </c>
      <c r="I447" s="21" t="n"/>
      <c r="J447" s="21" t="n"/>
      <c r="K447" s="22" t="n"/>
      <c r="L447" s="21" t="n"/>
      <c r="M447" s="21" t="n"/>
      <c r="N447" s="21" t="n"/>
      <c r="O447" s="27">
        <f>IF(B447="","",IFERROR(IF(VLOOKUP(B447,Lists!$A$2:$B$12,2,FALSE)="","",HYPERLINK(VLOOKUP(B447,Lists!$A$2:$B$12,2,FALSE),"How long valid?")),""))</f>
        <v/>
      </c>
      <c r="P447" s="21" t="n"/>
    </row>
    <row r="448">
      <c r="A448" s="21" t="n"/>
      <c r="B448" s="21" t="n"/>
      <c r="C448" s="22" t="n"/>
      <c r="D448" s="22" t="n"/>
      <c r="E448" s="23" t="n"/>
      <c r="F448" s="24">
        <f>IF(ISNUMBER(D448),D448-IF(ISNUMBER(E448),E448,30),"")</f>
        <v/>
      </c>
      <c r="G448" s="25">
        <f>IF(D448="","",IF(ISNUMBER(D448),D448-TODAY(),"Check date"))</f>
        <v/>
      </c>
      <c r="H448" s="26">
        <f>IF(G448="","",IF(ISNUMBER(G448),IF(G448&lt;0,"Expired",IF(G448&lt;=30,"Due ≤30 days",IF(G448&lt;=90,"Due ≤90 days","OK"))),"Check date"))</f>
        <v/>
      </c>
      <c r="I448" s="21" t="n"/>
      <c r="J448" s="21" t="n"/>
      <c r="K448" s="22" t="n"/>
      <c r="L448" s="21" t="n"/>
      <c r="M448" s="21" t="n"/>
      <c r="N448" s="21" t="n"/>
      <c r="O448" s="27">
        <f>IF(B448="","",IFERROR(IF(VLOOKUP(B448,Lists!$A$2:$B$12,2,FALSE)="","",HYPERLINK(VLOOKUP(B448,Lists!$A$2:$B$12,2,FALSE),"How long valid?")),""))</f>
        <v/>
      </c>
      <c r="P448" s="21" t="n"/>
    </row>
    <row r="449">
      <c r="A449" s="21" t="n"/>
      <c r="B449" s="21" t="n"/>
      <c r="C449" s="22" t="n"/>
      <c r="D449" s="22" t="n"/>
      <c r="E449" s="23" t="n"/>
      <c r="F449" s="24">
        <f>IF(ISNUMBER(D449),D449-IF(ISNUMBER(E449),E449,30),"")</f>
        <v/>
      </c>
      <c r="G449" s="25">
        <f>IF(D449="","",IF(ISNUMBER(D449),D449-TODAY(),"Check date"))</f>
        <v/>
      </c>
      <c r="H449" s="26">
        <f>IF(G449="","",IF(ISNUMBER(G449),IF(G449&lt;0,"Expired",IF(G449&lt;=30,"Due ≤30 days",IF(G449&lt;=90,"Due ≤90 days","OK"))),"Check date"))</f>
        <v/>
      </c>
      <c r="I449" s="21" t="n"/>
      <c r="J449" s="21" t="n"/>
      <c r="K449" s="22" t="n"/>
      <c r="L449" s="21" t="n"/>
      <c r="M449" s="21" t="n"/>
      <c r="N449" s="21" t="n"/>
      <c r="O449" s="27">
        <f>IF(B449="","",IFERROR(IF(VLOOKUP(B449,Lists!$A$2:$B$12,2,FALSE)="","",HYPERLINK(VLOOKUP(B449,Lists!$A$2:$B$12,2,FALSE),"How long valid?")),""))</f>
        <v/>
      </c>
      <c r="P449" s="21" t="n"/>
    </row>
    <row r="450">
      <c r="A450" s="21" t="n"/>
      <c r="B450" s="21" t="n"/>
      <c r="C450" s="22" t="n"/>
      <c r="D450" s="22" t="n"/>
      <c r="E450" s="23" t="n"/>
      <c r="F450" s="24">
        <f>IF(ISNUMBER(D450),D450-IF(ISNUMBER(E450),E450,30),"")</f>
        <v/>
      </c>
      <c r="G450" s="25">
        <f>IF(D450="","",IF(ISNUMBER(D450),D450-TODAY(),"Check date"))</f>
        <v/>
      </c>
      <c r="H450" s="26">
        <f>IF(G450="","",IF(ISNUMBER(G450),IF(G450&lt;0,"Expired",IF(G450&lt;=30,"Due ≤30 days",IF(G450&lt;=90,"Due ≤90 days","OK"))),"Check date"))</f>
        <v/>
      </c>
      <c r="I450" s="21" t="n"/>
      <c r="J450" s="21" t="n"/>
      <c r="K450" s="22" t="n"/>
      <c r="L450" s="21" t="n"/>
      <c r="M450" s="21" t="n"/>
      <c r="N450" s="21" t="n"/>
      <c r="O450" s="27">
        <f>IF(B450="","",IFERROR(IF(VLOOKUP(B450,Lists!$A$2:$B$12,2,FALSE)="","",HYPERLINK(VLOOKUP(B450,Lists!$A$2:$B$12,2,FALSE),"How long valid?")),""))</f>
        <v/>
      </c>
      <c r="P450" s="21" t="n"/>
    </row>
    <row r="451">
      <c r="A451" s="21" t="n"/>
      <c r="B451" s="21" t="n"/>
      <c r="C451" s="22" t="n"/>
      <c r="D451" s="22" t="n"/>
      <c r="E451" s="23" t="n"/>
      <c r="F451" s="24">
        <f>IF(ISNUMBER(D451),D451-IF(ISNUMBER(E451),E451,30),"")</f>
        <v/>
      </c>
      <c r="G451" s="25">
        <f>IF(D451="","",IF(ISNUMBER(D451),D451-TODAY(),"Check date"))</f>
        <v/>
      </c>
      <c r="H451" s="26">
        <f>IF(G451="","",IF(ISNUMBER(G451),IF(G451&lt;0,"Expired",IF(G451&lt;=30,"Due ≤30 days",IF(G451&lt;=90,"Due ≤90 days","OK"))),"Check date"))</f>
        <v/>
      </c>
      <c r="I451" s="21" t="n"/>
      <c r="J451" s="21" t="n"/>
      <c r="K451" s="22" t="n"/>
      <c r="L451" s="21" t="n"/>
      <c r="M451" s="21" t="n"/>
      <c r="N451" s="21" t="n"/>
      <c r="O451" s="27">
        <f>IF(B451="","",IFERROR(IF(VLOOKUP(B451,Lists!$A$2:$B$12,2,FALSE)="","",HYPERLINK(VLOOKUP(B451,Lists!$A$2:$B$12,2,FALSE),"How long valid?")),""))</f>
        <v/>
      </c>
      <c r="P451" s="21" t="n"/>
    </row>
    <row r="452">
      <c r="A452" s="21" t="n"/>
      <c r="B452" s="21" t="n"/>
      <c r="C452" s="22" t="n"/>
      <c r="D452" s="22" t="n"/>
      <c r="E452" s="23" t="n"/>
      <c r="F452" s="24">
        <f>IF(ISNUMBER(D452),D452-IF(ISNUMBER(E452),E452,30),"")</f>
        <v/>
      </c>
      <c r="G452" s="25">
        <f>IF(D452="","",IF(ISNUMBER(D452),D452-TODAY(),"Check date"))</f>
        <v/>
      </c>
      <c r="H452" s="26">
        <f>IF(G452="","",IF(ISNUMBER(G452),IF(G452&lt;0,"Expired",IF(G452&lt;=30,"Due ≤30 days",IF(G452&lt;=90,"Due ≤90 days","OK"))),"Check date"))</f>
        <v/>
      </c>
      <c r="I452" s="21" t="n"/>
      <c r="J452" s="21" t="n"/>
      <c r="K452" s="22" t="n"/>
      <c r="L452" s="21" t="n"/>
      <c r="M452" s="21" t="n"/>
      <c r="N452" s="21" t="n"/>
      <c r="O452" s="27">
        <f>IF(B452="","",IFERROR(IF(VLOOKUP(B452,Lists!$A$2:$B$12,2,FALSE)="","",HYPERLINK(VLOOKUP(B452,Lists!$A$2:$B$12,2,FALSE),"How long valid?")),""))</f>
        <v/>
      </c>
      <c r="P452" s="21" t="n"/>
    </row>
    <row r="453">
      <c r="A453" s="21" t="n"/>
      <c r="B453" s="21" t="n"/>
      <c r="C453" s="22" t="n"/>
      <c r="D453" s="22" t="n"/>
      <c r="E453" s="23" t="n"/>
      <c r="F453" s="24">
        <f>IF(ISNUMBER(D453),D453-IF(ISNUMBER(E453),E453,30),"")</f>
        <v/>
      </c>
      <c r="G453" s="25">
        <f>IF(D453="","",IF(ISNUMBER(D453),D453-TODAY(),"Check date"))</f>
        <v/>
      </c>
      <c r="H453" s="26">
        <f>IF(G453="","",IF(ISNUMBER(G453),IF(G453&lt;0,"Expired",IF(G453&lt;=30,"Due ≤30 days",IF(G453&lt;=90,"Due ≤90 days","OK"))),"Check date"))</f>
        <v/>
      </c>
      <c r="I453" s="21" t="n"/>
      <c r="J453" s="21" t="n"/>
      <c r="K453" s="22" t="n"/>
      <c r="L453" s="21" t="n"/>
      <c r="M453" s="21" t="n"/>
      <c r="N453" s="21" t="n"/>
      <c r="O453" s="27">
        <f>IF(B453="","",IFERROR(IF(VLOOKUP(B453,Lists!$A$2:$B$12,2,FALSE)="","",HYPERLINK(VLOOKUP(B453,Lists!$A$2:$B$12,2,FALSE),"How long valid?")),""))</f>
        <v/>
      </c>
      <c r="P453" s="21" t="n"/>
    </row>
    <row r="454">
      <c r="A454" s="21" t="n"/>
      <c r="B454" s="21" t="n"/>
      <c r="C454" s="22" t="n"/>
      <c r="D454" s="22" t="n"/>
      <c r="E454" s="23" t="n"/>
      <c r="F454" s="24">
        <f>IF(ISNUMBER(D454),D454-IF(ISNUMBER(E454),E454,30),"")</f>
        <v/>
      </c>
      <c r="G454" s="25">
        <f>IF(D454="","",IF(ISNUMBER(D454),D454-TODAY(),"Check date"))</f>
        <v/>
      </c>
      <c r="H454" s="26">
        <f>IF(G454="","",IF(ISNUMBER(G454),IF(G454&lt;0,"Expired",IF(G454&lt;=30,"Due ≤30 days",IF(G454&lt;=90,"Due ≤90 days","OK"))),"Check date"))</f>
        <v/>
      </c>
      <c r="I454" s="21" t="n"/>
      <c r="J454" s="21" t="n"/>
      <c r="K454" s="22" t="n"/>
      <c r="L454" s="21" t="n"/>
      <c r="M454" s="21" t="n"/>
      <c r="N454" s="21" t="n"/>
      <c r="O454" s="27">
        <f>IF(B454="","",IFERROR(IF(VLOOKUP(B454,Lists!$A$2:$B$12,2,FALSE)="","",HYPERLINK(VLOOKUP(B454,Lists!$A$2:$B$12,2,FALSE),"How long valid?")),""))</f>
        <v/>
      </c>
      <c r="P454" s="21" t="n"/>
    </row>
    <row r="455">
      <c r="A455" s="21" t="n"/>
      <c r="B455" s="21" t="n"/>
      <c r="C455" s="22" t="n"/>
      <c r="D455" s="22" t="n"/>
      <c r="E455" s="23" t="n"/>
      <c r="F455" s="24">
        <f>IF(ISNUMBER(D455),D455-IF(ISNUMBER(E455),E455,30),"")</f>
        <v/>
      </c>
      <c r="G455" s="25">
        <f>IF(D455="","",IF(ISNUMBER(D455),D455-TODAY(),"Check date"))</f>
        <v/>
      </c>
      <c r="H455" s="26">
        <f>IF(G455="","",IF(ISNUMBER(G455),IF(G455&lt;0,"Expired",IF(G455&lt;=30,"Due ≤30 days",IF(G455&lt;=90,"Due ≤90 days","OK"))),"Check date"))</f>
        <v/>
      </c>
      <c r="I455" s="21" t="n"/>
      <c r="J455" s="21" t="n"/>
      <c r="K455" s="22" t="n"/>
      <c r="L455" s="21" t="n"/>
      <c r="M455" s="21" t="n"/>
      <c r="N455" s="21" t="n"/>
      <c r="O455" s="27">
        <f>IF(B455="","",IFERROR(IF(VLOOKUP(B455,Lists!$A$2:$B$12,2,FALSE)="","",HYPERLINK(VLOOKUP(B455,Lists!$A$2:$B$12,2,FALSE),"How long valid?")),""))</f>
        <v/>
      </c>
      <c r="P455" s="21" t="n"/>
    </row>
    <row r="456">
      <c r="A456" s="21" t="n"/>
      <c r="B456" s="21" t="n"/>
      <c r="C456" s="22" t="n"/>
      <c r="D456" s="22" t="n"/>
      <c r="E456" s="23" t="n"/>
      <c r="F456" s="24">
        <f>IF(ISNUMBER(D456),D456-IF(ISNUMBER(E456),E456,30),"")</f>
        <v/>
      </c>
      <c r="G456" s="25">
        <f>IF(D456="","",IF(ISNUMBER(D456),D456-TODAY(),"Check date"))</f>
        <v/>
      </c>
      <c r="H456" s="26">
        <f>IF(G456="","",IF(ISNUMBER(G456),IF(G456&lt;0,"Expired",IF(G456&lt;=30,"Due ≤30 days",IF(G456&lt;=90,"Due ≤90 days","OK"))),"Check date"))</f>
        <v/>
      </c>
      <c r="I456" s="21" t="n"/>
      <c r="J456" s="21" t="n"/>
      <c r="K456" s="22" t="n"/>
      <c r="L456" s="21" t="n"/>
      <c r="M456" s="21" t="n"/>
      <c r="N456" s="21" t="n"/>
      <c r="O456" s="27">
        <f>IF(B456="","",IFERROR(IF(VLOOKUP(B456,Lists!$A$2:$B$12,2,FALSE)="","",HYPERLINK(VLOOKUP(B456,Lists!$A$2:$B$12,2,FALSE),"How long valid?")),""))</f>
        <v/>
      </c>
      <c r="P456" s="21" t="n"/>
    </row>
    <row r="457">
      <c r="A457" s="21" t="n"/>
      <c r="B457" s="21" t="n"/>
      <c r="C457" s="22" t="n"/>
      <c r="D457" s="22" t="n"/>
      <c r="E457" s="23" t="n"/>
      <c r="F457" s="24">
        <f>IF(ISNUMBER(D457),D457-IF(ISNUMBER(E457),E457,30),"")</f>
        <v/>
      </c>
      <c r="G457" s="25">
        <f>IF(D457="","",IF(ISNUMBER(D457),D457-TODAY(),"Check date"))</f>
        <v/>
      </c>
      <c r="H457" s="26">
        <f>IF(G457="","",IF(ISNUMBER(G457),IF(G457&lt;0,"Expired",IF(G457&lt;=30,"Due ≤30 days",IF(G457&lt;=90,"Due ≤90 days","OK"))),"Check date"))</f>
        <v/>
      </c>
      <c r="I457" s="21" t="n"/>
      <c r="J457" s="21" t="n"/>
      <c r="K457" s="22" t="n"/>
      <c r="L457" s="21" t="n"/>
      <c r="M457" s="21" t="n"/>
      <c r="N457" s="21" t="n"/>
      <c r="O457" s="27">
        <f>IF(B457="","",IFERROR(IF(VLOOKUP(B457,Lists!$A$2:$B$12,2,FALSE)="","",HYPERLINK(VLOOKUP(B457,Lists!$A$2:$B$12,2,FALSE),"How long valid?")),""))</f>
        <v/>
      </c>
      <c r="P457" s="21" t="n"/>
    </row>
    <row r="458">
      <c r="A458" s="21" t="n"/>
      <c r="B458" s="21" t="n"/>
      <c r="C458" s="22" t="n"/>
      <c r="D458" s="22" t="n"/>
      <c r="E458" s="23" t="n"/>
      <c r="F458" s="24">
        <f>IF(ISNUMBER(D458),D458-IF(ISNUMBER(E458),E458,30),"")</f>
        <v/>
      </c>
      <c r="G458" s="25">
        <f>IF(D458="","",IF(ISNUMBER(D458),D458-TODAY(),"Check date"))</f>
        <v/>
      </c>
      <c r="H458" s="26">
        <f>IF(G458="","",IF(ISNUMBER(G458),IF(G458&lt;0,"Expired",IF(G458&lt;=30,"Due ≤30 days",IF(G458&lt;=90,"Due ≤90 days","OK"))),"Check date"))</f>
        <v/>
      </c>
      <c r="I458" s="21" t="n"/>
      <c r="J458" s="21" t="n"/>
      <c r="K458" s="22" t="n"/>
      <c r="L458" s="21" t="n"/>
      <c r="M458" s="21" t="n"/>
      <c r="N458" s="21" t="n"/>
      <c r="O458" s="27">
        <f>IF(B458="","",IFERROR(IF(VLOOKUP(B458,Lists!$A$2:$B$12,2,FALSE)="","",HYPERLINK(VLOOKUP(B458,Lists!$A$2:$B$12,2,FALSE),"How long valid?")),""))</f>
        <v/>
      </c>
      <c r="P458" s="21" t="n"/>
    </row>
    <row r="459">
      <c r="A459" s="21" t="n"/>
      <c r="B459" s="21" t="n"/>
      <c r="C459" s="22" t="n"/>
      <c r="D459" s="22" t="n"/>
      <c r="E459" s="23" t="n"/>
      <c r="F459" s="24">
        <f>IF(ISNUMBER(D459),D459-IF(ISNUMBER(E459),E459,30),"")</f>
        <v/>
      </c>
      <c r="G459" s="25">
        <f>IF(D459="","",IF(ISNUMBER(D459),D459-TODAY(),"Check date"))</f>
        <v/>
      </c>
      <c r="H459" s="26">
        <f>IF(G459="","",IF(ISNUMBER(G459),IF(G459&lt;0,"Expired",IF(G459&lt;=30,"Due ≤30 days",IF(G459&lt;=90,"Due ≤90 days","OK"))),"Check date"))</f>
        <v/>
      </c>
      <c r="I459" s="21" t="n"/>
      <c r="J459" s="21" t="n"/>
      <c r="K459" s="22" t="n"/>
      <c r="L459" s="21" t="n"/>
      <c r="M459" s="21" t="n"/>
      <c r="N459" s="21" t="n"/>
      <c r="O459" s="27">
        <f>IF(B459="","",IFERROR(IF(VLOOKUP(B459,Lists!$A$2:$B$12,2,FALSE)="","",HYPERLINK(VLOOKUP(B459,Lists!$A$2:$B$12,2,FALSE),"How long valid?")),""))</f>
        <v/>
      </c>
      <c r="P459" s="21" t="n"/>
    </row>
    <row r="460">
      <c r="A460" s="21" t="n"/>
      <c r="B460" s="21" t="n"/>
      <c r="C460" s="22" t="n"/>
      <c r="D460" s="22" t="n"/>
      <c r="E460" s="23" t="n"/>
      <c r="F460" s="24">
        <f>IF(ISNUMBER(D460),D460-IF(ISNUMBER(E460),E460,30),"")</f>
        <v/>
      </c>
      <c r="G460" s="25">
        <f>IF(D460="","",IF(ISNUMBER(D460),D460-TODAY(),"Check date"))</f>
        <v/>
      </c>
      <c r="H460" s="26">
        <f>IF(G460="","",IF(ISNUMBER(G460),IF(G460&lt;0,"Expired",IF(G460&lt;=30,"Due ≤30 days",IF(G460&lt;=90,"Due ≤90 days","OK"))),"Check date"))</f>
        <v/>
      </c>
      <c r="I460" s="21" t="n"/>
      <c r="J460" s="21" t="n"/>
      <c r="K460" s="22" t="n"/>
      <c r="L460" s="21" t="n"/>
      <c r="M460" s="21" t="n"/>
      <c r="N460" s="21" t="n"/>
      <c r="O460" s="27">
        <f>IF(B460="","",IFERROR(IF(VLOOKUP(B460,Lists!$A$2:$B$12,2,FALSE)="","",HYPERLINK(VLOOKUP(B460,Lists!$A$2:$B$12,2,FALSE),"How long valid?")),""))</f>
        <v/>
      </c>
      <c r="P460" s="21" t="n"/>
    </row>
    <row r="461">
      <c r="A461" s="21" t="n"/>
      <c r="B461" s="21" t="n"/>
      <c r="C461" s="22" t="n"/>
      <c r="D461" s="22" t="n"/>
      <c r="E461" s="23" t="n"/>
      <c r="F461" s="24">
        <f>IF(ISNUMBER(D461),D461-IF(ISNUMBER(E461),E461,30),"")</f>
        <v/>
      </c>
      <c r="G461" s="25">
        <f>IF(D461="","",IF(ISNUMBER(D461),D461-TODAY(),"Check date"))</f>
        <v/>
      </c>
      <c r="H461" s="26">
        <f>IF(G461="","",IF(ISNUMBER(G461),IF(G461&lt;0,"Expired",IF(G461&lt;=30,"Due ≤30 days",IF(G461&lt;=90,"Due ≤90 days","OK"))),"Check date"))</f>
        <v/>
      </c>
      <c r="I461" s="21" t="n"/>
      <c r="J461" s="21" t="n"/>
      <c r="K461" s="22" t="n"/>
      <c r="L461" s="21" t="n"/>
      <c r="M461" s="21" t="n"/>
      <c r="N461" s="21" t="n"/>
      <c r="O461" s="27">
        <f>IF(B461="","",IFERROR(IF(VLOOKUP(B461,Lists!$A$2:$B$12,2,FALSE)="","",HYPERLINK(VLOOKUP(B461,Lists!$A$2:$B$12,2,FALSE),"How long valid?")),""))</f>
        <v/>
      </c>
      <c r="P461" s="21" t="n"/>
    </row>
    <row r="462">
      <c r="A462" s="21" t="n"/>
      <c r="B462" s="21" t="n"/>
      <c r="C462" s="22" t="n"/>
      <c r="D462" s="22" t="n"/>
      <c r="E462" s="23" t="n"/>
      <c r="F462" s="24">
        <f>IF(ISNUMBER(D462),D462-IF(ISNUMBER(E462),E462,30),"")</f>
        <v/>
      </c>
      <c r="G462" s="25">
        <f>IF(D462="","",IF(ISNUMBER(D462),D462-TODAY(),"Check date"))</f>
        <v/>
      </c>
      <c r="H462" s="26">
        <f>IF(G462="","",IF(ISNUMBER(G462),IF(G462&lt;0,"Expired",IF(G462&lt;=30,"Due ≤30 days",IF(G462&lt;=90,"Due ≤90 days","OK"))),"Check date"))</f>
        <v/>
      </c>
      <c r="I462" s="21" t="n"/>
      <c r="J462" s="21" t="n"/>
      <c r="K462" s="22" t="n"/>
      <c r="L462" s="21" t="n"/>
      <c r="M462" s="21" t="n"/>
      <c r="N462" s="21" t="n"/>
      <c r="O462" s="27">
        <f>IF(B462="","",IFERROR(IF(VLOOKUP(B462,Lists!$A$2:$B$12,2,FALSE)="","",HYPERLINK(VLOOKUP(B462,Lists!$A$2:$B$12,2,FALSE),"How long valid?")),""))</f>
        <v/>
      </c>
      <c r="P462" s="21" t="n"/>
    </row>
    <row r="463">
      <c r="A463" s="21" t="n"/>
      <c r="B463" s="21" t="n"/>
      <c r="C463" s="22" t="n"/>
      <c r="D463" s="22" t="n"/>
      <c r="E463" s="23" t="n"/>
      <c r="F463" s="24">
        <f>IF(ISNUMBER(D463),D463-IF(ISNUMBER(E463),E463,30),"")</f>
        <v/>
      </c>
      <c r="G463" s="25">
        <f>IF(D463="","",IF(ISNUMBER(D463),D463-TODAY(),"Check date"))</f>
        <v/>
      </c>
      <c r="H463" s="26">
        <f>IF(G463="","",IF(ISNUMBER(G463),IF(G463&lt;0,"Expired",IF(G463&lt;=30,"Due ≤30 days",IF(G463&lt;=90,"Due ≤90 days","OK"))),"Check date"))</f>
        <v/>
      </c>
      <c r="I463" s="21" t="n"/>
      <c r="J463" s="21" t="n"/>
      <c r="K463" s="22" t="n"/>
      <c r="L463" s="21" t="n"/>
      <c r="M463" s="21" t="n"/>
      <c r="N463" s="21" t="n"/>
      <c r="O463" s="27">
        <f>IF(B463="","",IFERROR(IF(VLOOKUP(B463,Lists!$A$2:$B$12,2,FALSE)="","",HYPERLINK(VLOOKUP(B463,Lists!$A$2:$B$12,2,FALSE),"How long valid?")),""))</f>
        <v/>
      </c>
      <c r="P463" s="21" t="n"/>
    </row>
    <row r="464">
      <c r="A464" s="21" t="n"/>
      <c r="B464" s="21" t="n"/>
      <c r="C464" s="22" t="n"/>
      <c r="D464" s="22" t="n"/>
      <c r="E464" s="23" t="n"/>
      <c r="F464" s="24">
        <f>IF(ISNUMBER(D464),D464-IF(ISNUMBER(E464),E464,30),"")</f>
        <v/>
      </c>
      <c r="G464" s="25">
        <f>IF(D464="","",IF(ISNUMBER(D464),D464-TODAY(),"Check date"))</f>
        <v/>
      </c>
      <c r="H464" s="26">
        <f>IF(G464="","",IF(ISNUMBER(G464),IF(G464&lt;0,"Expired",IF(G464&lt;=30,"Due ≤30 days",IF(G464&lt;=90,"Due ≤90 days","OK"))),"Check date"))</f>
        <v/>
      </c>
      <c r="I464" s="21" t="n"/>
      <c r="J464" s="21" t="n"/>
      <c r="K464" s="22" t="n"/>
      <c r="L464" s="21" t="n"/>
      <c r="M464" s="21" t="n"/>
      <c r="N464" s="21" t="n"/>
      <c r="O464" s="27">
        <f>IF(B464="","",IFERROR(IF(VLOOKUP(B464,Lists!$A$2:$B$12,2,FALSE)="","",HYPERLINK(VLOOKUP(B464,Lists!$A$2:$B$12,2,FALSE),"How long valid?")),""))</f>
        <v/>
      </c>
      <c r="P464" s="21" t="n"/>
    </row>
    <row r="465">
      <c r="A465" s="21" t="n"/>
      <c r="B465" s="21" t="n"/>
      <c r="C465" s="22" t="n"/>
      <c r="D465" s="22" t="n"/>
      <c r="E465" s="23" t="n"/>
      <c r="F465" s="24">
        <f>IF(ISNUMBER(D465),D465-IF(ISNUMBER(E465),E465,30),"")</f>
        <v/>
      </c>
      <c r="G465" s="25">
        <f>IF(D465="","",IF(ISNUMBER(D465),D465-TODAY(),"Check date"))</f>
        <v/>
      </c>
      <c r="H465" s="26">
        <f>IF(G465="","",IF(ISNUMBER(G465),IF(G465&lt;0,"Expired",IF(G465&lt;=30,"Due ≤30 days",IF(G465&lt;=90,"Due ≤90 days","OK"))),"Check date"))</f>
        <v/>
      </c>
      <c r="I465" s="21" t="n"/>
      <c r="J465" s="21" t="n"/>
      <c r="K465" s="22" t="n"/>
      <c r="L465" s="21" t="n"/>
      <c r="M465" s="21" t="n"/>
      <c r="N465" s="21" t="n"/>
      <c r="O465" s="27">
        <f>IF(B465="","",IFERROR(IF(VLOOKUP(B465,Lists!$A$2:$B$12,2,FALSE)="","",HYPERLINK(VLOOKUP(B465,Lists!$A$2:$B$12,2,FALSE),"How long valid?")),""))</f>
        <v/>
      </c>
      <c r="P465" s="21" t="n"/>
    </row>
    <row r="466">
      <c r="A466" s="21" t="n"/>
      <c r="B466" s="21" t="n"/>
      <c r="C466" s="22" t="n"/>
      <c r="D466" s="22" t="n"/>
      <c r="E466" s="23" t="n"/>
      <c r="F466" s="24">
        <f>IF(ISNUMBER(D466),D466-IF(ISNUMBER(E466),E466,30),"")</f>
        <v/>
      </c>
      <c r="G466" s="25">
        <f>IF(D466="","",IF(ISNUMBER(D466),D466-TODAY(),"Check date"))</f>
        <v/>
      </c>
      <c r="H466" s="26">
        <f>IF(G466="","",IF(ISNUMBER(G466),IF(G466&lt;0,"Expired",IF(G466&lt;=30,"Due ≤30 days",IF(G466&lt;=90,"Due ≤90 days","OK"))),"Check date"))</f>
        <v/>
      </c>
      <c r="I466" s="21" t="n"/>
      <c r="J466" s="21" t="n"/>
      <c r="K466" s="22" t="n"/>
      <c r="L466" s="21" t="n"/>
      <c r="M466" s="21" t="n"/>
      <c r="N466" s="21" t="n"/>
      <c r="O466" s="27">
        <f>IF(B466="","",IFERROR(IF(VLOOKUP(B466,Lists!$A$2:$B$12,2,FALSE)="","",HYPERLINK(VLOOKUP(B466,Lists!$A$2:$B$12,2,FALSE),"How long valid?")),""))</f>
        <v/>
      </c>
      <c r="P466" s="21" t="n"/>
    </row>
    <row r="467">
      <c r="A467" s="21" t="n"/>
      <c r="B467" s="21" t="n"/>
      <c r="C467" s="22" t="n"/>
      <c r="D467" s="22" t="n"/>
      <c r="E467" s="23" t="n"/>
      <c r="F467" s="24">
        <f>IF(ISNUMBER(D467),D467-IF(ISNUMBER(E467),E467,30),"")</f>
        <v/>
      </c>
      <c r="G467" s="25">
        <f>IF(D467="","",IF(ISNUMBER(D467),D467-TODAY(),"Check date"))</f>
        <v/>
      </c>
      <c r="H467" s="26">
        <f>IF(G467="","",IF(ISNUMBER(G467),IF(G467&lt;0,"Expired",IF(G467&lt;=30,"Due ≤30 days",IF(G467&lt;=90,"Due ≤90 days","OK"))),"Check date"))</f>
        <v/>
      </c>
      <c r="I467" s="21" t="n"/>
      <c r="J467" s="21" t="n"/>
      <c r="K467" s="22" t="n"/>
      <c r="L467" s="21" t="n"/>
      <c r="M467" s="21" t="n"/>
      <c r="N467" s="21" t="n"/>
      <c r="O467" s="27">
        <f>IF(B467="","",IFERROR(IF(VLOOKUP(B467,Lists!$A$2:$B$12,2,FALSE)="","",HYPERLINK(VLOOKUP(B467,Lists!$A$2:$B$12,2,FALSE),"How long valid?")),""))</f>
        <v/>
      </c>
      <c r="P467" s="21" t="n"/>
    </row>
    <row r="468">
      <c r="A468" s="21" t="n"/>
      <c r="B468" s="21" t="n"/>
      <c r="C468" s="22" t="n"/>
      <c r="D468" s="22" t="n"/>
      <c r="E468" s="23" t="n"/>
      <c r="F468" s="24">
        <f>IF(ISNUMBER(D468),D468-IF(ISNUMBER(E468),E468,30),"")</f>
        <v/>
      </c>
      <c r="G468" s="25">
        <f>IF(D468="","",IF(ISNUMBER(D468),D468-TODAY(),"Check date"))</f>
        <v/>
      </c>
      <c r="H468" s="26">
        <f>IF(G468="","",IF(ISNUMBER(G468),IF(G468&lt;0,"Expired",IF(G468&lt;=30,"Due ≤30 days",IF(G468&lt;=90,"Due ≤90 days","OK"))),"Check date"))</f>
        <v/>
      </c>
      <c r="I468" s="21" t="n"/>
      <c r="J468" s="21" t="n"/>
      <c r="K468" s="22" t="n"/>
      <c r="L468" s="21" t="n"/>
      <c r="M468" s="21" t="n"/>
      <c r="N468" s="21" t="n"/>
      <c r="O468" s="27">
        <f>IF(B468="","",IFERROR(IF(VLOOKUP(B468,Lists!$A$2:$B$12,2,FALSE)="","",HYPERLINK(VLOOKUP(B468,Lists!$A$2:$B$12,2,FALSE),"How long valid?")),""))</f>
        <v/>
      </c>
      <c r="P468" s="21" t="n"/>
    </row>
    <row r="469">
      <c r="A469" s="21" t="n"/>
      <c r="B469" s="21" t="n"/>
      <c r="C469" s="22" t="n"/>
      <c r="D469" s="22" t="n"/>
      <c r="E469" s="23" t="n"/>
      <c r="F469" s="24">
        <f>IF(ISNUMBER(D469),D469-IF(ISNUMBER(E469),E469,30),"")</f>
        <v/>
      </c>
      <c r="G469" s="25">
        <f>IF(D469="","",IF(ISNUMBER(D469),D469-TODAY(),"Check date"))</f>
        <v/>
      </c>
      <c r="H469" s="26">
        <f>IF(G469="","",IF(ISNUMBER(G469),IF(G469&lt;0,"Expired",IF(G469&lt;=30,"Due ≤30 days",IF(G469&lt;=90,"Due ≤90 days","OK"))),"Check date"))</f>
        <v/>
      </c>
      <c r="I469" s="21" t="n"/>
      <c r="J469" s="21" t="n"/>
      <c r="K469" s="22" t="n"/>
      <c r="L469" s="21" t="n"/>
      <c r="M469" s="21" t="n"/>
      <c r="N469" s="21" t="n"/>
      <c r="O469" s="27">
        <f>IF(B469="","",IFERROR(IF(VLOOKUP(B469,Lists!$A$2:$B$12,2,FALSE)="","",HYPERLINK(VLOOKUP(B469,Lists!$A$2:$B$12,2,FALSE),"How long valid?")),""))</f>
        <v/>
      </c>
      <c r="P469" s="21" t="n"/>
    </row>
    <row r="470">
      <c r="A470" s="21" t="n"/>
      <c r="B470" s="21" t="n"/>
      <c r="C470" s="22" t="n"/>
      <c r="D470" s="22" t="n"/>
      <c r="E470" s="23" t="n"/>
      <c r="F470" s="24">
        <f>IF(ISNUMBER(D470),D470-IF(ISNUMBER(E470),E470,30),"")</f>
        <v/>
      </c>
      <c r="G470" s="25">
        <f>IF(D470="","",IF(ISNUMBER(D470),D470-TODAY(),"Check date"))</f>
        <v/>
      </c>
      <c r="H470" s="26">
        <f>IF(G470="","",IF(ISNUMBER(G470),IF(G470&lt;0,"Expired",IF(G470&lt;=30,"Due ≤30 days",IF(G470&lt;=90,"Due ≤90 days","OK"))),"Check date"))</f>
        <v/>
      </c>
      <c r="I470" s="21" t="n"/>
      <c r="J470" s="21" t="n"/>
      <c r="K470" s="22" t="n"/>
      <c r="L470" s="21" t="n"/>
      <c r="M470" s="21" t="n"/>
      <c r="N470" s="21" t="n"/>
      <c r="O470" s="27">
        <f>IF(B470="","",IFERROR(IF(VLOOKUP(B470,Lists!$A$2:$B$12,2,FALSE)="","",HYPERLINK(VLOOKUP(B470,Lists!$A$2:$B$12,2,FALSE),"How long valid?")),""))</f>
        <v/>
      </c>
      <c r="P470" s="21" t="n"/>
    </row>
    <row r="471">
      <c r="A471" s="21" t="n"/>
      <c r="B471" s="21" t="n"/>
      <c r="C471" s="22" t="n"/>
      <c r="D471" s="22" t="n"/>
      <c r="E471" s="23" t="n"/>
      <c r="F471" s="24">
        <f>IF(ISNUMBER(D471),D471-IF(ISNUMBER(E471),E471,30),"")</f>
        <v/>
      </c>
      <c r="G471" s="25">
        <f>IF(D471="","",IF(ISNUMBER(D471),D471-TODAY(),"Check date"))</f>
        <v/>
      </c>
      <c r="H471" s="26">
        <f>IF(G471="","",IF(ISNUMBER(G471),IF(G471&lt;0,"Expired",IF(G471&lt;=30,"Due ≤30 days",IF(G471&lt;=90,"Due ≤90 days","OK"))),"Check date"))</f>
        <v/>
      </c>
      <c r="I471" s="21" t="n"/>
      <c r="J471" s="21" t="n"/>
      <c r="K471" s="22" t="n"/>
      <c r="L471" s="21" t="n"/>
      <c r="M471" s="21" t="n"/>
      <c r="N471" s="21" t="n"/>
      <c r="O471" s="27">
        <f>IF(B471="","",IFERROR(IF(VLOOKUP(B471,Lists!$A$2:$B$12,2,FALSE)="","",HYPERLINK(VLOOKUP(B471,Lists!$A$2:$B$12,2,FALSE),"How long valid?")),""))</f>
        <v/>
      </c>
      <c r="P471" s="21" t="n"/>
    </row>
    <row r="472">
      <c r="A472" s="21" t="n"/>
      <c r="B472" s="21" t="n"/>
      <c r="C472" s="22" t="n"/>
      <c r="D472" s="22" t="n"/>
      <c r="E472" s="23" t="n"/>
      <c r="F472" s="24">
        <f>IF(ISNUMBER(D472),D472-IF(ISNUMBER(E472),E472,30),"")</f>
        <v/>
      </c>
      <c r="G472" s="25">
        <f>IF(D472="","",IF(ISNUMBER(D472),D472-TODAY(),"Check date"))</f>
        <v/>
      </c>
      <c r="H472" s="26">
        <f>IF(G472="","",IF(ISNUMBER(G472),IF(G472&lt;0,"Expired",IF(G472&lt;=30,"Due ≤30 days",IF(G472&lt;=90,"Due ≤90 days","OK"))),"Check date"))</f>
        <v/>
      </c>
      <c r="I472" s="21" t="n"/>
      <c r="J472" s="21" t="n"/>
      <c r="K472" s="22" t="n"/>
      <c r="L472" s="21" t="n"/>
      <c r="M472" s="21" t="n"/>
      <c r="N472" s="21" t="n"/>
      <c r="O472" s="27">
        <f>IF(B472="","",IFERROR(IF(VLOOKUP(B472,Lists!$A$2:$B$12,2,FALSE)="","",HYPERLINK(VLOOKUP(B472,Lists!$A$2:$B$12,2,FALSE),"How long valid?")),""))</f>
        <v/>
      </c>
      <c r="P472" s="21" t="n"/>
    </row>
    <row r="473">
      <c r="A473" s="21" t="n"/>
      <c r="B473" s="21" t="n"/>
      <c r="C473" s="22" t="n"/>
      <c r="D473" s="22" t="n"/>
      <c r="E473" s="23" t="n"/>
      <c r="F473" s="24">
        <f>IF(ISNUMBER(D473),D473-IF(ISNUMBER(E473),E473,30),"")</f>
        <v/>
      </c>
      <c r="G473" s="25">
        <f>IF(D473="","",IF(ISNUMBER(D473),D473-TODAY(),"Check date"))</f>
        <v/>
      </c>
      <c r="H473" s="26">
        <f>IF(G473="","",IF(ISNUMBER(G473),IF(G473&lt;0,"Expired",IF(G473&lt;=30,"Due ≤30 days",IF(G473&lt;=90,"Due ≤90 days","OK"))),"Check date"))</f>
        <v/>
      </c>
      <c r="I473" s="21" t="n"/>
      <c r="J473" s="21" t="n"/>
      <c r="K473" s="22" t="n"/>
      <c r="L473" s="21" t="n"/>
      <c r="M473" s="21" t="n"/>
      <c r="N473" s="21" t="n"/>
      <c r="O473" s="27">
        <f>IF(B473="","",IFERROR(IF(VLOOKUP(B473,Lists!$A$2:$B$12,2,FALSE)="","",HYPERLINK(VLOOKUP(B473,Lists!$A$2:$B$12,2,FALSE),"How long valid?")),""))</f>
        <v/>
      </c>
      <c r="P473" s="21" t="n"/>
    </row>
    <row r="474">
      <c r="A474" s="21" t="n"/>
      <c r="B474" s="21" t="n"/>
      <c r="C474" s="22" t="n"/>
      <c r="D474" s="22" t="n"/>
      <c r="E474" s="23" t="n"/>
      <c r="F474" s="24">
        <f>IF(ISNUMBER(D474),D474-IF(ISNUMBER(E474),E474,30),"")</f>
        <v/>
      </c>
      <c r="G474" s="25">
        <f>IF(D474="","",IF(ISNUMBER(D474),D474-TODAY(),"Check date"))</f>
        <v/>
      </c>
      <c r="H474" s="26">
        <f>IF(G474="","",IF(ISNUMBER(G474),IF(G474&lt;0,"Expired",IF(G474&lt;=30,"Due ≤30 days",IF(G474&lt;=90,"Due ≤90 days","OK"))),"Check date"))</f>
        <v/>
      </c>
      <c r="I474" s="21" t="n"/>
      <c r="J474" s="21" t="n"/>
      <c r="K474" s="22" t="n"/>
      <c r="L474" s="21" t="n"/>
      <c r="M474" s="21" t="n"/>
      <c r="N474" s="21" t="n"/>
      <c r="O474" s="27">
        <f>IF(B474="","",IFERROR(IF(VLOOKUP(B474,Lists!$A$2:$B$12,2,FALSE)="","",HYPERLINK(VLOOKUP(B474,Lists!$A$2:$B$12,2,FALSE),"How long valid?")),""))</f>
        <v/>
      </c>
      <c r="P474" s="21" t="n"/>
    </row>
    <row r="475">
      <c r="A475" s="21" t="n"/>
      <c r="B475" s="21" t="n"/>
      <c r="C475" s="22" t="n"/>
      <c r="D475" s="22" t="n"/>
      <c r="E475" s="23" t="n"/>
      <c r="F475" s="24">
        <f>IF(ISNUMBER(D475),D475-IF(ISNUMBER(E475),E475,30),"")</f>
        <v/>
      </c>
      <c r="G475" s="25">
        <f>IF(D475="","",IF(ISNUMBER(D475),D475-TODAY(),"Check date"))</f>
        <v/>
      </c>
      <c r="H475" s="26">
        <f>IF(G475="","",IF(ISNUMBER(G475),IF(G475&lt;0,"Expired",IF(G475&lt;=30,"Due ≤30 days",IF(G475&lt;=90,"Due ≤90 days","OK"))),"Check date"))</f>
        <v/>
      </c>
      <c r="I475" s="21" t="n"/>
      <c r="J475" s="21" t="n"/>
      <c r="K475" s="22" t="n"/>
      <c r="L475" s="21" t="n"/>
      <c r="M475" s="21" t="n"/>
      <c r="N475" s="21" t="n"/>
      <c r="O475" s="27">
        <f>IF(B475="","",IFERROR(IF(VLOOKUP(B475,Lists!$A$2:$B$12,2,FALSE)="","",HYPERLINK(VLOOKUP(B475,Lists!$A$2:$B$12,2,FALSE),"How long valid?")),""))</f>
        <v/>
      </c>
      <c r="P475" s="21" t="n"/>
    </row>
    <row r="476">
      <c r="A476" s="21" t="n"/>
      <c r="B476" s="21" t="n"/>
      <c r="C476" s="22" t="n"/>
      <c r="D476" s="22" t="n"/>
      <c r="E476" s="23" t="n"/>
      <c r="F476" s="24">
        <f>IF(ISNUMBER(D476),D476-IF(ISNUMBER(E476),E476,30),"")</f>
        <v/>
      </c>
      <c r="G476" s="25">
        <f>IF(D476="","",IF(ISNUMBER(D476),D476-TODAY(),"Check date"))</f>
        <v/>
      </c>
      <c r="H476" s="26">
        <f>IF(G476="","",IF(ISNUMBER(G476),IF(G476&lt;0,"Expired",IF(G476&lt;=30,"Due ≤30 days",IF(G476&lt;=90,"Due ≤90 days","OK"))),"Check date"))</f>
        <v/>
      </c>
      <c r="I476" s="21" t="n"/>
      <c r="J476" s="21" t="n"/>
      <c r="K476" s="22" t="n"/>
      <c r="L476" s="21" t="n"/>
      <c r="M476" s="21" t="n"/>
      <c r="N476" s="21" t="n"/>
      <c r="O476" s="27">
        <f>IF(B476="","",IFERROR(IF(VLOOKUP(B476,Lists!$A$2:$B$12,2,FALSE)="","",HYPERLINK(VLOOKUP(B476,Lists!$A$2:$B$12,2,FALSE),"How long valid?")),""))</f>
        <v/>
      </c>
      <c r="P476" s="21" t="n"/>
    </row>
    <row r="477">
      <c r="A477" s="21" t="n"/>
      <c r="B477" s="21" t="n"/>
      <c r="C477" s="22" t="n"/>
      <c r="D477" s="22" t="n"/>
      <c r="E477" s="23" t="n"/>
      <c r="F477" s="24">
        <f>IF(ISNUMBER(D477),D477-IF(ISNUMBER(E477),E477,30),"")</f>
        <v/>
      </c>
      <c r="G477" s="25">
        <f>IF(D477="","",IF(ISNUMBER(D477),D477-TODAY(),"Check date"))</f>
        <v/>
      </c>
      <c r="H477" s="26">
        <f>IF(G477="","",IF(ISNUMBER(G477),IF(G477&lt;0,"Expired",IF(G477&lt;=30,"Due ≤30 days",IF(G477&lt;=90,"Due ≤90 days","OK"))),"Check date"))</f>
        <v/>
      </c>
      <c r="I477" s="21" t="n"/>
      <c r="J477" s="21" t="n"/>
      <c r="K477" s="22" t="n"/>
      <c r="L477" s="21" t="n"/>
      <c r="M477" s="21" t="n"/>
      <c r="N477" s="21" t="n"/>
      <c r="O477" s="27">
        <f>IF(B477="","",IFERROR(IF(VLOOKUP(B477,Lists!$A$2:$B$12,2,FALSE)="","",HYPERLINK(VLOOKUP(B477,Lists!$A$2:$B$12,2,FALSE),"How long valid?")),""))</f>
        <v/>
      </c>
      <c r="P477" s="21" t="n"/>
    </row>
    <row r="478">
      <c r="A478" s="21" t="n"/>
      <c r="B478" s="21" t="n"/>
      <c r="C478" s="22" t="n"/>
      <c r="D478" s="22" t="n"/>
      <c r="E478" s="23" t="n"/>
      <c r="F478" s="24">
        <f>IF(ISNUMBER(D478),D478-IF(ISNUMBER(E478),E478,30),"")</f>
        <v/>
      </c>
      <c r="G478" s="25">
        <f>IF(D478="","",IF(ISNUMBER(D478),D478-TODAY(),"Check date"))</f>
        <v/>
      </c>
      <c r="H478" s="26">
        <f>IF(G478="","",IF(ISNUMBER(G478),IF(G478&lt;0,"Expired",IF(G478&lt;=30,"Due ≤30 days",IF(G478&lt;=90,"Due ≤90 days","OK"))),"Check date"))</f>
        <v/>
      </c>
      <c r="I478" s="21" t="n"/>
      <c r="J478" s="21" t="n"/>
      <c r="K478" s="22" t="n"/>
      <c r="L478" s="21" t="n"/>
      <c r="M478" s="21" t="n"/>
      <c r="N478" s="21" t="n"/>
      <c r="O478" s="27">
        <f>IF(B478="","",IFERROR(IF(VLOOKUP(B478,Lists!$A$2:$B$12,2,FALSE)="","",HYPERLINK(VLOOKUP(B478,Lists!$A$2:$B$12,2,FALSE),"How long valid?")),""))</f>
        <v/>
      </c>
      <c r="P478" s="21" t="n"/>
    </row>
    <row r="479">
      <c r="A479" s="21" t="n"/>
      <c r="B479" s="21" t="n"/>
      <c r="C479" s="22" t="n"/>
      <c r="D479" s="22" t="n"/>
      <c r="E479" s="23" t="n"/>
      <c r="F479" s="24">
        <f>IF(ISNUMBER(D479),D479-IF(ISNUMBER(E479),E479,30),"")</f>
        <v/>
      </c>
      <c r="G479" s="25">
        <f>IF(D479="","",IF(ISNUMBER(D479),D479-TODAY(),"Check date"))</f>
        <v/>
      </c>
      <c r="H479" s="26">
        <f>IF(G479="","",IF(ISNUMBER(G479),IF(G479&lt;0,"Expired",IF(G479&lt;=30,"Due ≤30 days",IF(G479&lt;=90,"Due ≤90 days","OK"))),"Check date"))</f>
        <v/>
      </c>
      <c r="I479" s="21" t="n"/>
      <c r="J479" s="21" t="n"/>
      <c r="K479" s="22" t="n"/>
      <c r="L479" s="21" t="n"/>
      <c r="M479" s="21" t="n"/>
      <c r="N479" s="21" t="n"/>
      <c r="O479" s="27">
        <f>IF(B479="","",IFERROR(IF(VLOOKUP(B479,Lists!$A$2:$B$12,2,FALSE)="","",HYPERLINK(VLOOKUP(B479,Lists!$A$2:$B$12,2,FALSE),"How long valid?")),""))</f>
        <v/>
      </c>
      <c r="P479" s="21" t="n"/>
    </row>
    <row r="480">
      <c r="A480" s="21" t="n"/>
      <c r="B480" s="21" t="n"/>
      <c r="C480" s="22" t="n"/>
      <c r="D480" s="22" t="n"/>
      <c r="E480" s="23" t="n"/>
      <c r="F480" s="24">
        <f>IF(ISNUMBER(D480),D480-IF(ISNUMBER(E480),E480,30),"")</f>
        <v/>
      </c>
      <c r="G480" s="25">
        <f>IF(D480="","",IF(ISNUMBER(D480),D480-TODAY(),"Check date"))</f>
        <v/>
      </c>
      <c r="H480" s="26">
        <f>IF(G480="","",IF(ISNUMBER(G480),IF(G480&lt;0,"Expired",IF(G480&lt;=30,"Due ≤30 days",IF(G480&lt;=90,"Due ≤90 days","OK"))),"Check date"))</f>
        <v/>
      </c>
      <c r="I480" s="21" t="n"/>
      <c r="J480" s="21" t="n"/>
      <c r="K480" s="22" t="n"/>
      <c r="L480" s="21" t="n"/>
      <c r="M480" s="21" t="n"/>
      <c r="N480" s="21" t="n"/>
      <c r="O480" s="27">
        <f>IF(B480="","",IFERROR(IF(VLOOKUP(B480,Lists!$A$2:$B$12,2,FALSE)="","",HYPERLINK(VLOOKUP(B480,Lists!$A$2:$B$12,2,FALSE),"How long valid?")),""))</f>
        <v/>
      </c>
      <c r="P480" s="21" t="n"/>
    </row>
    <row r="481">
      <c r="A481" s="21" t="n"/>
      <c r="B481" s="21" t="n"/>
      <c r="C481" s="22" t="n"/>
      <c r="D481" s="22" t="n"/>
      <c r="E481" s="23" t="n"/>
      <c r="F481" s="24">
        <f>IF(ISNUMBER(D481),D481-IF(ISNUMBER(E481),E481,30),"")</f>
        <v/>
      </c>
      <c r="G481" s="25">
        <f>IF(D481="","",IF(ISNUMBER(D481),D481-TODAY(),"Check date"))</f>
        <v/>
      </c>
      <c r="H481" s="26">
        <f>IF(G481="","",IF(ISNUMBER(G481),IF(G481&lt;0,"Expired",IF(G481&lt;=30,"Due ≤30 days",IF(G481&lt;=90,"Due ≤90 days","OK"))),"Check date"))</f>
        <v/>
      </c>
      <c r="I481" s="21" t="n"/>
      <c r="J481" s="21" t="n"/>
      <c r="K481" s="22" t="n"/>
      <c r="L481" s="21" t="n"/>
      <c r="M481" s="21" t="n"/>
      <c r="N481" s="21" t="n"/>
      <c r="O481" s="27">
        <f>IF(B481="","",IFERROR(IF(VLOOKUP(B481,Lists!$A$2:$B$12,2,FALSE)="","",HYPERLINK(VLOOKUP(B481,Lists!$A$2:$B$12,2,FALSE),"How long valid?")),""))</f>
        <v/>
      </c>
      <c r="P481" s="21" t="n"/>
    </row>
    <row r="482">
      <c r="A482" s="21" t="n"/>
      <c r="B482" s="21" t="n"/>
      <c r="C482" s="22" t="n"/>
      <c r="D482" s="22" t="n"/>
      <c r="E482" s="23" t="n"/>
      <c r="F482" s="24">
        <f>IF(ISNUMBER(D482),D482-IF(ISNUMBER(E482),E482,30),"")</f>
        <v/>
      </c>
      <c r="G482" s="25">
        <f>IF(D482="","",IF(ISNUMBER(D482),D482-TODAY(),"Check date"))</f>
        <v/>
      </c>
      <c r="H482" s="26">
        <f>IF(G482="","",IF(ISNUMBER(G482),IF(G482&lt;0,"Expired",IF(G482&lt;=30,"Due ≤30 days",IF(G482&lt;=90,"Due ≤90 days","OK"))),"Check date"))</f>
        <v/>
      </c>
      <c r="I482" s="21" t="n"/>
      <c r="J482" s="21" t="n"/>
      <c r="K482" s="22" t="n"/>
      <c r="L482" s="21" t="n"/>
      <c r="M482" s="21" t="n"/>
      <c r="N482" s="21" t="n"/>
      <c r="O482" s="27">
        <f>IF(B482="","",IFERROR(IF(VLOOKUP(B482,Lists!$A$2:$B$12,2,FALSE)="","",HYPERLINK(VLOOKUP(B482,Lists!$A$2:$B$12,2,FALSE),"How long valid?")),""))</f>
        <v/>
      </c>
      <c r="P482" s="21" t="n"/>
    </row>
    <row r="483">
      <c r="A483" s="21" t="n"/>
      <c r="B483" s="21" t="n"/>
      <c r="C483" s="22" t="n"/>
      <c r="D483" s="22" t="n"/>
      <c r="E483" s="23" t="n"/>
      <c r="F483" s="24">
        <f>IF(ISNUMBER(D483),D483-IF(ISNUMBER(E483),E483,30),"")</f>
        <v/>
      </c>
      <c r="G483" s="25">
        <f>IF(D483="","",IF(ISNUMBER(D483),D483-TODAY(),"Check date"))</f>
        <v/>
      </c>
      <c r="H483" s="26">
        <f>IF(G483="","",IF(ISNUMBER(G483),IF(G483&lt;0,"Expired",IF(G483&lt;=30,"Due ≤30 days",IF(G483&lt;=90,"Due ≤90 days","OK"))),"Check date"))</f>
        <v/>
      </c>
      <c r="I483" s="21" t="n"/>
      <c r="J483" s="21" t="n"/>
      <c r="K483" s="22" t="n"/>
      <c r="L483" s="21" t="n"/>
      <c r="M483" s="21" t="n"/>
      <c r="N483" s="21" t="n"/>
      <c r="O483" s="27">
        <f>IF(B483="","",IFERROR(IF(VLOOKUP(B483,Lists!$A$2:$B$12,2,FALSE)="","",HYPERLINK(VLOOKUP(B483,Lists!$A$2:$B$12,2,FALSE),"How long valid?")),""))</f>
        <v/>
      </c>
      <c r="P483" s="21" t="n"/>
    </row>
    <row r="484">
      <c r="A484" s="21" t="n"/>
      <c r="B484" s="21" t="n"/>
      <c r="C484" s="22" t="n"/>
      <c r="D484" s="22" t="n"/>
      <c r="E484" s="23" t="n"/>
      <c r="F484" s="24">
        <f>IF(ISNUMBER(D484),D484-IF(ISNUMBER(E484),E484,30),"")</f>
        <v/>
      </c>
      <c r="G484" s="25">
        <f>IF(D484="","",IF(ISNUMBER(D484),D484-TODAY(),"Check date"))</f>
        <v/>
      </c>
      <c r="H484" s="26">
        <f>IF(G484="","",IF(ISNUMBER(G484),IF(G484&lt;0,"Expired",IF(G484&lt;=30,"Due ≤30 days",IF(G484&lt;=90,"Due ≤90 days","OK"))),"Check date"))</f>
        <v/>
      </c>
      <c r="I484" s="21" t="n"/>
      <c r="J484" s="21" t="n"/>
      <c r="K484" s="22" t="n"/>
      <c r="L484" s="21" t="n"/>
      <c r="M484" s="21" t="n"/>
      <c r="N484" s="21" t="n"/>
      <c r="O484" s="27">
        <f>IF(B484="","",IFERROR(IF(VLOOKUP(B484,Lists!$A$2:$B$12,2,FALSE)="","",HYPERLINK(VLOOKUP(B484,Lists!$A$2:$B$12,2,FALSE),"How long valid?")),""))</f>
        <v/>
      </c>
      <c r="P484" s="21" t="n"/>
    </row>
    <row r="485">
      <c r="A485" s="21" t="n"/>
      <c r="B485" s="21" t="n"/>
      <c r="C485" s="22" t="n"/>
      <c r="D485" s="22" t="n"/>
      <c r="E485" s="23" t="n"/>
      <c r="F485" s="24">
        <f>IF(ISNUMBER(D485),D485-IF(ISNUMBER(E485),E485,30),"")</f>
        <v/>
      </c>
      <c r="G485" s="25">
        <f>IF(D485="","",IF(ISNUMBER(D485),D485-TODAY(),"Check date"))</f>
        <v/>
      </c>
      <c r="H485" s="26">
        <f>IF(G485="","",IF(ISNUMBER(G485),IF(G485&lt;0,"Expired",IF(G485&lt;=30,"Due ≤30 days",IF(G485&lt;=90,"Due ≤90 days","OK"))),"Check date"))</f>
        <v/>
      </c>
      <c r="I485" s="21" t="n"/>
      <c r="J485" s="21" t="n"/>
      <c r="K485" s="22" t="n"/>
      <c r="L485" s="21" t="n"/>
      <c r="M485" s="21" t="n"/>
      <c r="N485" s="21" t="n"/>
      <c r="O485" s="27">
        <f>IF(B485="","",IFERROR(IF(VLOOKUP(B485,Lists!$A$2:$B$12,2,FALSE)="","",HYPERLINK(VLOOKUP(B485,Lists!$A$2:$B$12,2,FALSE),"How long valid?")),""))</f>
        <v/>
      </c>
      <c r="P485" s="21" t="n"/>
    </row>
    <row r="486">
      <c r="A486" s="21" t="n"/>
      <c r="B486" s="21" t="n"/>
      <c r="C486" s="22" t="n"/>
      <c r="D486" s="22" t="n"/>
      <c r="E486" s="23" t="n"/>
      <c r="F486" s="24">
        <f>IF(ISNUMBER(D486),D486-IF(ISNUMBER(E486),E486,30),"")</f>
        <v/>
      </c>
      <c r="G486" s="25">
        <f>IF(D486="","",IF(ISNUMBER(D486),D486-TODAY(),"Check date"))</f>
        <v/>
      </c>
      <c r="H486" s="26">
        <f>IF(G486="","",IF(ISNUMBER(G486),IF(G486&lt;0,"Expired",IF(G486&lt;=30,"Due ≤30 days",IF(G486&lt;=90,"Due ≤90 days","OK"))),"Check date"))</f>
        <v/>
      </c>
      <c r="I486" s="21" t="n"/>
      <c r="J486" s="21" t="n"/>
      <c r="K486" s="22" t="n"/>
      <c r="L486" s="21" t="n"/>
      <c r="M486" s="21" t="n"/>
      <c r="N486" s="21" t="n"/>
      <c r="O486" s="27">
        <f>IF(B486="","",IFERROR(IF(VLOOKUP(B486,Lists!$A$2:$B$12,2,FALSE)="","",HYPERLINK(VLOOKUP(B486,Lists!$A$2:$B$12,2,FALSE),"How long valid?")),""))</f>
        <v/>
      </c>
      <c r="P486" s="21" t="n"/>
    </row>
    <row r="487">
      <c r="A487" s="21" t="n"/>
      <c r="B487" s="21" t="n"/>
      <c r="C487" s="22" t="n"/>
      <c r="D487" s="22" t="n"/>
      <c r="E487" s="23" t="n"/>
      <c r="F487" s="24">
        <f>IF(ISNUMBER(D487),D487-IF(ISNUMBER(E487),E487,30),"")</f>
        <v/>
      </c>
      <c r="G487" s="25">
        <f>IF(D487="","",IF(ISNUMBER(D487),D487-TODAY(),"Check date"))</f>
        <v/>
      </c>
      <c r="H487" s="26">
        <f>IF(G487="","",IF(ISNUMBER(G487),IF(G487&lt;0,"Expired",IF(G487&lt;=30,"Due ≤30 days",IF(G487&lt;=90,"Due ≤90 days","OK"))),"Check date"))</f>
        <v/>
      </c>
      <c r="I487" s="21" t="n"/>
      <c r="J487" s="21" t="n"/>
      <c r="K487" s="22" t="n"/>
      <c r="L487" s="21" t="n"/>
      <c r="M487" s="21" t="n"/>
      <c r="N487" s="21" t="n"/>
      <c r="O487" s="27">
        <f>IF(B487="","",IFERROR(IF(VLOOKUP(B487,Lists!$A$2:$B$12,2,FALSE)="","",HYPERLINK(VLOOKUP(B487,Lists!$A$2:$B$12,2,FALSE),"How long valid?")),""))</f>
        <v/>
      </c>
      <c r="P487" s="21" t="n"/>
    </row>
    <row r="488">
      <c r="A488" s="21" t="n"/>
      <c r="B488" s="21" t="n"/>
      <c r="C488" s="22" t="n"/>
      <c r="D488" s="22" t="n"/>
      <c r="E488" s="23" t="n"/>
      <c r="F488" s="24">
        <f>IF(ISNUMBER(D488),D488-IF(ISNUMBER(E488),E488,30),"")</f>
        <v/>
      </c>
      <c r="G488" s="25">
        <f>IF(D488="","",IF(ISNUMBER(D488),D488-TODAY(),"Check date"))</f>
        <v/>
      </c>
      <c r="H488" s="26">
        <f>IF(G488="","",IF(ISNUMBER(G488),IF(G488&lt;0,"Expired",IF(G488&lt;=30,"Due ≤30 days",IF(G488&lt;=90,"Due ≤90 days","OK"))),"Check date"))</f>
        <v/>
      </c>
      <c r="I488" s="21" t="n"/>
      <c r="J488" s="21" t="n"/>
      <c r="K488" s="22" t="n"/>
      <c r="L488" s="21" t="n"/>
      <c r="M488" s="21" t="n"/>
      <c r="N488" s="21" t="n"/>
      <c r="O488" s="27">
        <f>IF(B488="","",IFERROR(IF(VLOOKUP(B488,Lists!$A$2:$B$12,2,FALSE)="","",HYPERLINK(VLOOKUP(B488,Lists!$A$2:$B$12,2,FALSE),"How long valid?")),""))</f>
        <v/>
      </c>
      <c r="P488" s="21" t="n"/>
    </row>
    <row r="489">
      <c r="A489" s="21" t="n"/>
      <c r="B489" s="21" t="n"/>
      <c r="C489" s="22" t="n"/>
      <c r="D489" s="22" t="n"/>
      <c r="E489" s="23" t="n"/>
      <c r="F489" s="24">
        <f>IF(ISNUMBER(D489),D489-IF(ISNUMBER(E489),E489,30),"")</f>
        <v/>
      </c>
      <c r="G489" s="25">
        <f>IF(D489="","",IF(ISNUMBER(D489),D489-TODAY(),"Check date"))</f>
        <v/>
      </c>
      <c r="H489" s="26">
        <f>IF(G489="","",IF(ISNUMBER(G489),IF(G489&lt;0,"Expired",IF(G489&lt;=30,"Due ≤30 days",IF(G489&lt;=90,"Due ≤90 days","OK"))),"Check date"))</f>
        <v/>
      </c>
      <c r="I489" s="21" t="n"/>
      <c r="J489" s="21" t="n"/>
      <c r="K489" s="22" t="n"/>
      <c r="L489" s="21" t="n"/>
      <c r="M489" s="21" t="n"/>
      <c r="N489" s="21" t="n"/>
      <c r="O489" s="27">
        <f>IF(B489="","",IFERROR(IF(VLOOKUP(B489,Lists!$A$2:$B$12,2,FALSE)="","",HYPERLINK(VLOOKUP(B489,Lists!$A$2:$B$12,2,FALSE),"How long valid?")),""))</f>
        <v/>
      </c>
      <c r="P489" s="21" t="n"/>
    </row>
    <row r="490">
      <c r="A490" s="21" t="n"/>
      <c r="B490" s="21" t="n"/>
      <c r="C490" s="22" t="n"/>
      <c r="D490" s="22" t="n"/>
      <c r="E490" s="23" t="n"/>
      <c r="F490" s="24">
        <f>IF(ISNUMBER(D490),D490-IF(ISNUMBER(E490),E490,30),"")</f>
        <v/>
      </c>
      <c r="G490" s="25">
        <f>IF(D490="","",IF(ISNUMBER(D490),D490-TODAY(),"Check date"))</f>
        <v/>
      </c>
      <c r="H490" s="26">
        <f>IF(G490="","",IF(ISNUMBER(G490),IF(G490&lt;0,"Expired",IF(G490&lt;=30,"Due ≤30 days",IF(G490&lt;=90,"Due ≤90 days","OK"))),"Check date"))</f>
        <v/>
      </c>
      <c r="I490" s="21" t="n"/>
      <c r="J490" s="21" t="n"/>
      <c r="K490" s="22" t="n"/>
      <c r="L490" s="21" t="n"/>
      <c r="M490" s="21" t="n"/>
      <c r="N490" s="21" t="n"/>
      <c r="O490" s="27">
        <f>IF(B490="","",IFERROR(IF(VLOOKUP(B490,Lists!$A$2:$B$12,2,FALSE)="","",HYPERLINK(VLOOKUP(B490,Lists!$A$2:$B$12,2,FALSE),"How long valid?")),""))</f>
        <v/>
      </c>
      <c r="P490" s="21" t="n"/>
    </row>
    <row r="491">
      <c r="A491" s="21" t="n"/>
      <c r="B491" s="21" t="n"/>
      <c r="C491" s="22" t="n"/>
      <c r="D491" s="22" t="n"/>
      <c r="E491" s="23" t="n"/>
      <c r="F491" s="24">
        <f>IF(ISNUMBER(D491),D491-IF(ISNUMBER(E491),E491,30),"")</f>
        <v/>
      </c>
      <c r="G491" s="25">
        <f>IF(D491="","",IF(ISNUMBER(D491),D491-TODAY(),"Check date"))</f>
        <v/>
      </c>
      <c r="H491" s="26">
        <f>IF(G491="","",IF(ISNUMBER(G491),IF(G491&lt;0,"Expired",IF(G491&lt;=30,"Due ≤30 days",IF(G491&lt;=90,"Due ≤90 days","OK"))),"Check date"))</f>
        <v/>
      </c>
      <c r="I491" s="21" t="n"/>
      <c r="J491" s="21" t="n"/>
      <c r="K491" s="22" t="n"/>
      <c r="L491" s="21" t="n"/>
      <c r="M491" s="21" t="n"/>
      <c r="N491" s="21" t="n"/>
      <c r="O491" s="27">
        <f>IF(B491="","",IFERROR(IF(VLOOKUP(B491,Lists!$A$2:$B$12,2,FALSE)="","",HYPERLINK(VLOOKUP(B491,Lists!$A$2:$B$12,2,FALSE),"How long valid?")),""))</f>
        <v/>
      </c>
      <c r="P491" s="21" t="n"/>
    </row>
    <row r="492">
      <c r="A492" s="21" t="n"/>
      <c r="B492" s="21" t="n"/>
      <c r="C492" s="22" t="n"/>
      <c r="D492" s="22" t="n"/>
      <c r="E492" s="23" t="n"/>
      <c r="F492" s="24">
        <f>IF(ISNUMBER(D492),D492-IF(ISNUMBER(E492),E492,30),"")</f>
        <v/>
      </c>
      <c r="G492" s="25">
        <f>IF(D492="","",IF(ISNUMBER(D492),D492-TODAY(),"Check date"))</f>
        <v/>
      </c>
      <c r="H492" s="26">
        <f>IF(G492="","",IF(ISNUMBER(G492),IF(G492&lt;0,"Expired",IF(G492&lt;=30,"Due ≤30 days",IF(G492&lt;=90,"Due ≤90 days","OK"))),"Check date"))</f>
        <v/>
      </c>
      <c r="I492" s="21" t="n"/>
      <c r="J492" s="21" t="n"/>
      <c r="K492" s="22" t="n"/>
      <c r="L492" s="21" t="n"/>
      <c r="M492" s="21" t="n"/>
      <c r="N492" s="21" t="n"/>
      <c r="O492" s="27">
        <f>IF(B492="","",IFERROR(IF(VLOOKUP(B492,Lists!$A$2:$B$12,2,FALSE)="","",HYPERLINK(VLOOKUP(B492,Lists!$A$2:$B$12,2,FALSE),"How long valid?")),""))</f>
        <v/>
      </c>
      <c r="P492" s="21" t="n"/>
    </row>
    <row r="493">
      <c r="A493" s="21" t="n"/>
      <c r="B493" s="21" t="n"/>
      <c r="C493" s="22" t="n"/>
      <c r="D493" s="22" t="n"/>
      <c r="E493" s="23" t="n"/>
      <c r="F493" s="24">
        <f>IF(ISNUMBER(D493),D493-IF(ISNUMBER(E493),E493,30),"")</f>
        <v/>
      </c>
      <c r="G493" s="25">
        <f>IF(D493="","",IF(ISNUMBER(D493),D493-TODAY(),"Check date"))</f>
        <v/>
      </c>
      <c r="H493" s="26">
        <f>IF(G493="","",IF(ISNUMBER(G493),IF(G493&lt;0,"Expired",IF(G493&lt;=30,"Due ≤30 days",IF(G493&lt;=90,"Due ≤90 days","OK"))),"Check date"))</f>
        <v/>
      </c>
      <c r="I493" s="21" t="n"/>
      <c r="J493" s="21" t="n"/>
      <c r="K493" s="22" t="n"/>
      <c r="L493" s="21" t="n"/>
      <c r="M493" s="21" t="n"/>
      <c r="N493" s="21" t="n"/>
      <c r="O493" s="27">
        <f>IF(B493="","",IFERROR(IF(VLOOKUP(B493,Lists!$A$2:$B$12,2,FALSE)="","",HYPERLINK(VLOOKUP(B493,Lists!$A$2:$B$12,2,FALSE),"How long valid?")),""))</f>
        <v/>
      </c>
      <c r="P493" s="21" t="n"/>
    </row>
    <row r="494">
      <c r="A494" s="21" t="n"/>
      <c r="B494" s="21" t="n"/>
      <c r="C494" s="22" t="n"/>
      <c r="D494" s="22" t="n"/>
      <c r="E494" s="23" t="n"/>
      <c r="F494" s="24">
        <f>IF(ISNUMBER(D494),D494-IF(ISNUMBER(E494),E494,30),"")</f>
        <v/>
      </c>
      <c r="G494" s="25">
        <f>IF(D494="","",IF(ISNUMBER(D494),D494-TODAY(),"Check date"))</f>
        <v/>
      </c>
      <c r="H494" s="26">
        <f>IF(G494="","",IF(ISNUMBER(G494),IF(G494&lt;0,"Expired",IF(G494&lt;=30,"Due ≤30 days",IF(G494&lt;=90,"Due ≤90 days","OK"))),"Check date"))</f>
        <v/>
      </c>
      <c r="I494" s="21" t="n"/>
      <c r="J494" s="21" t="n"/>
      <c r="K494" s="22" t="n"/>
      <c r="L494" s="21" t="n"/>
      <c r="M494" s="21" t="n"/>
      <c r="N494" s="21" t="n"/>
      <c r="O494" s="27">
        <f>IF(B494="","",IFERROR(IF(VLOOKUP(B494,Lists!$A$2:$B$12,2,FALSE)="","",HYPERLINK(VLOOKUP(B494,Lists!$A$2:$B$12,2,FALSE),"How long valid?")),""))</f>
        <v/>
      </c>
      <c r="P494" s="21" t="n"/>
    </row>
    <row r="495">
      <c r="A495" s="21" t="n"/>
      <c r="B495" s="21" t="n"/>
      <c r="C495" s="22" t="n"/>
      <c r="D495" s="22" t="n"/>
      <c r="E495" s="23" t="n"/>
      <c r="F495" s="24">
        <f>IF(ISNUMBER(D495),D495-IF(ISNUMBER(E495),E495,30),"")</f>
        <v/>
      </c>
      <c r="G495" s="25">
        <f>IF(D495="","",IF(ISNUMBER(D495),D495-TODAY(),"Check date"))</f>
        <v/>
      </c>
      <c r="H495" s="26">
        <f>IF(G495="","",IF(ISNUMBER(G495),IF(G495&lt;0,"Expired",IF(G495&lt;=30,"Due ≤30 days",IF(G495&lt;=90,"Due ≤90 days","OK"))),"Check date"))</f>
        <v/>
      </c>
      <c r="I495" s="21" t="n"/>
      <c r="J495" s="21" t="n"/>
      <c r="K495" s="22" t="n"/>
      <c r="L495" s="21" t="n"/>
      <c r="M495" s="21" t="n"/>
      <c r="N495" s="21" t="n"/>
      <c r="O495" s="27">
        <f>IF(B495="","",IFERROR(IF(VLOOKUP(B495,Lists!$A$2:$B$12,2,FALSE)="","",HYPERLINK(VLOOKUP(B495,Lists!$A$2:$B$12,2,FALSE),"How long valid?")),""))</f>
        <v/>
      </c>
      <c r="P495" s="21" t="n"/>
    </row>
    <row r="496">
      <c r="A496" s="21" t="n"/>
      <c r="B496" s="21" t="n"/>
      <c r="C496" s="22" t="n"/>
      <c r="D496" s="22" t="n"/>
      <c r="E496" s="23" t="n"/>
      <c r="F496" s="24">
        <f>IF(ISNUMBER(D496),D496-IF(ISNUMBER(E496),E496,30),"")</f>
        <v/>
      </c>
      <c r="G496" s="25">
        <f>IF(D496="","",IF(ISNUMBER(D496),D496-TODAY(),"Check date"))</f>
        <v/>
      </c>
      <c r="H496" s="26">
        <f>IF(G496="","",IF(ISNUMBER(G496),IF(G496&lt;0,"Expired",IF(G496&lt;=30,"Due ≤30 days",IF(G496&lt;=90,"Due ≤90 days","OK"))),"Check date"))</f>
        <v/>
      </c>
      <c r="I496" s="21" t="n"/>
      <c r="J496" s="21" t="n"/>
      <c r="K496" s="22" t="n"/>
      <c r="L496" s="21" t="n"/>
      <c r="M496" s="21" t="n"/>
      <c r="N496" s="21" t="n"/>
      <c r="O496" s="27">
        <f>IF(B496="","",IFERROR(IF(VLOOKUP(B496,Lists!$A$2:$B$12,2,FALSE)="","",HYPERLINK(VLOOKUP(B496,Lists!$A$2:$B$12,2,FALSE),"How long valid?")),""))</f>
        <v/>
      </c>
      <c r="P496" s="21" t="n"/>
    </row>
    <row r="497">
      <c r="A497" s="21" t="n"/>
      <c r="B497" s="21" t="n"/>
      <c r="C497" s="22" t="n"/>
      <c r="D497" s="22" t="n"/>
      <c r="E497" s="23" t="n"/>
      <c r="F497" s="24">
        <f>IF(ISNUMBER(D497),D497-IF(ISNUMBER(E497),E497,30),"")</f>
        <v/>
      </c>
      <c r="G497" s="25">
        <f>IF(D497="","",IF(ISNUMBER(D497),D497-TODAY(),"Check date"))</f>
        <v/>
      </c>
      <c r="H497" s="26">
        <f>IF(G497="","",IF(ISNUMBER(G497),IF(G497&lt;0,"Expired",IF(G497&lt;=30,"Due ≤30 days",IF(G497&lt;=90,"Due ≤90 days","OK"))),"Check date"))</f>
        <v/>
      </c>
      <c r="I497" s="21" t="n"/>
      <c r="J497" s="21" t="n"/>
      <c r="K497" s="22" t="n"/>
      <c r="L497" s="21" t="n"/>
      <c r="M497" s="21" t="n"/>
      <c r="N497" s="21" t="n"/>
      <c r="O497" s="27">
        <f>IF(B497="","",IFERROR(IF(VLOOKUP(B497,Lists!$A$2:$B$12,2,FALSE)="","",HYPERLINK(VLOOKUP(B497,Lists!$A$2:$B$12,2,FALSE),"How long valid?")),""))</f>
        <v/>
      </c>
      <c r="P497" s="21" t="n"/>
    </row>
    <row r="498">
      <c r="A498" s="21" t="n"/>
      <c r="B498" s="21" t="n"/>
      <c r="C498" s="22" t="n"/>
      <c r="D498" s="22" t="n"/>
      <c r="E498" s="23" t="n"/>
      <c r="F498" s="24">
        <f>IF(ISNUMBER(D498),D498-IF(ISNUMBER(E498),E498,30),"")</f>
        <v/>
      </c>
      <c r="G498" s="25">
        <f>IF(D498="","",IF(ISNUMBER(D498),D498-TODAY(),"Check date"))</f>
        <v/>
      </c>
      <c r="H498" s="26">
        <f>IF(G498="","",IF(ISNUMBER(G498),IF(G498&lt;0,"Expired",IF(G498&lt;=30,"Due ≤30 days",IF(G498&lt;=90,"Due ≤90 days","OK"))),"Check date"))</f>
        <v/>
      </c>
      <c r="I498" s="21" t="n"/>
      <c r="J498" s="21" t="n"/>
      <c r="K498" s="22" t="n"/>
      <c r="L498" s="21" t="n"/>
      <c r="M498" s="21" t="n"/>
      <c r="N498" s="21" t="n"/>
      <c r="O498" s="27">
        <f>IF(B498="","",IFERROR(IF(VLOOKUP(B498,Lists!$A$2:$B$12,2,FALSE)="","",HYPERLINK(VLOOKUP(B498,Lists!$A$2:$B$12,2,FALSE),"How long valid?")),""))</f>
        <v/>
      </c>
      <c r="P498" s="21" t="n"/>
    </row>
    <row r="499">
      <c r="A499" s="21" t="n"/>
      <c r="B499" s="21" t="n"/>
      <c r="C499" s="22" t="n"/>
      <c r="D499" s="22" t="n"/>
      <c r="E499" s="23" t="n"/>
      <c r="F499" s="24">
        <f>IF(ISNUMBER(D499),D499-IF(ISNUMBER(E499),E499,30),"")</f>
        <v/>
      </c>
      <c r="G499" s="25">
        <f>IF(D499="","",IF(ISNUMBER(D499),D499-TODAY(),"Check date"))</f>
        <v/>
      </c>
      <c r="H499" s="26">
        <f>IF(G499="","",IF(ISNUMBER(G499),IF(G499&lt;0,"Expired",IF(G499&lt;=30,"Due ≤30 days",IF(G499&lt;=90,"Due ≤90 days","OK"))),"Check date"))</f>
        <v/>
      </c>
      <c r="I499" s="21" t="n"/>
      <c r="J499" s="21" t="n"/>
      <c r="K499" s="22" t="n"/>
      <c r="L499" s="21" t="n"/>
      <c r="M499" s="21" t="n"/>
      <c r="N499" s="21" t="n"/>
      <c r="O499" s="27">
        <f>IF(B499="","",IFERROR(IF(VLOOKUP(B499,Lists!$A$2:$B$12,2,FALSE)="","",HYPERLINK(VLOOKUP(B499,Lists!$A$2:$B$12,2,FALSE),"How long valid?")),""))</f>
        <v/>
      </c>
      <c r="P499" s="21" t="n"/>
    </row>
    <row r="500">
      <c r="A500" s="21" t="n"/>
      <c r="B500" s="21" t="n"/>
      <c r="C500" s="22" t="n"/>
      <c r="D500" s="22" t="n"/>
      <c r="E500" s="23" t="n"/>
      <c r="F500" s="24">
        <f>IF(ISNUMBER(D500),D500-IF(ISNUMBER(E500),E500,30),"")</f>
        <v/>
      </c>
      <c r="G500" s="25">
        <f>IF(D500="","",IF(ISNUMBER(D500),D500-TODAY(),"Check date"))</f>
        <v/>
      </c>
      <c r="H500" s="26">
        <f>IF(G500="","",IF(ISNUMBER(G500),IF(G500&lt;0,"Expired",IF(G500&lt;=30,"Due ≤30 days",IF(G500&lt;=90,"Due ≤90 days","OK"))),"Check date"))</f>
        <v/>
      </c>
      <c r="I500" s="21" t="n"/>
      <c r="J500" s="21" t="n"/>
      <c r="K500" s="22" t="n"/>
      <c r="L500" s="21" t="n"/>
      <c r="M500" s="21" t="n"/>
      <c r="N500" s="21" t="n"/>
      <c r="O500" s="27">
        <f>IF(B500="","",IFERROR(IF(VLOOKUP(B500,Lists!$A$2:$B$12,2,FALSE)="","",HYPERLINK(VLOOKUP(B500,Lists!$A$2:$B$12,2,FALSE),"How long valid?")),""))</f>
        <v/>
      </c>
      <c r="P500" s="21" t="n"/>
    </row>
    <row r="501">
      <c r="A501" s="21" t="n"/>
      <c r="B501" s="21" t="n"/>
      <c r="C501" s="22" t="n"/>
      <c r="D501" s="22" t="n"/>
      <c r="E501" s="23" t="n"/>
      <c r="F501" s="24">
        <f>IF(ISNUMBER(D501),D501-IF(ISNUMBER(E501),E501,30),"")</f>
        <v/>
      </c>
      <c r="G501" s="25">
        <f>IF(D501="","",IF(ISNUMBER(D501),D501-TODAY(),"Check date"))</f>
        <v/>
      </c>
      <c r="H501" s="26">
        <f>IF(G501="","",IF(ISNUMBER(G501),IF(G501&lt;0,"Expired",IF(G501&lt;=30,"Due ≤30 days",IF(G501&lt;=90,"Due ≤90 days","OK"))),"Check date"))</f>
        <v/>
      </c>
      <c r="I501" s="21" t="n"/>
      <c r="J501" s="21" t="n"/>
      <c r="K501" s="22" t="n"/>
      <c r="L501" s="21" t="n"/>
      <c r="M501" s="21" t="n"/>
      <c r="N501" s="21" t="n"/>
      <c r="O501" s="27">
        <f>IF(B501="","",IFERROR(IF(VLOOKUP(B501,Lists!$A$2:$B$12,2,FALSE)="","",HYPERLINK(VLOOKUP(B501,Lists!$A$2:$B$12,2,FALSE),"How long valid?")),""))</f>
        <v/>
      </c>
      <c r="P501" s="21" t="n"/>
    </row>
    <row r="502">
      <c r="A502" s="21" t="n"/>
      <c r="B502" s="21" t="n"/>
      <c r="C502" s="22" t="n"/>
      <c r="D502" s="22" t="n"/>
      <c r="E502" s="23" t="n"/>
      <c r="F502" s="24">
        <f>IF(ISNUMBER(D502),D502-IF(ISNUMBER(E502),E502,30),"")</f>
        <v/>
      </c>
      <c r="G502" s="25">
        <f>IF(D502="","",IF(ISNUMBER(D502),D502-TODAY(),"Check date"))</f>
        <v/>
      </c>
      <c r="H502" s="26">
        <f>IF(G502="","",IF(ISNUMBER(G502),IF(G502&lt;0,"Expired",IF(G502&lt;=30,"Due ≤30 days",IF(G502&lt;=90,"Due ≤90 days","OK"))),"Check date"))</f>
        <v/>
      </c>
      <c r="I502" s="21" t="n"/>
      <c r="J502" s="21" t="n"/>
      <c r="K502" s="22" t="n"/>
      <c r="L502" s="21" t="n"/>
      <c r="M502" s="21" t="n"/>
      <c r="N502" s="21" t="n"/>
      <c r="O502" s="27">
        <f>IF(B502="","",IFERROR(IF(VLOOKUP(B502,Lists!$A$2:$B$12,2,FALSE)="","",HYPERLINK(VLOOKUP(B502,Lists!$A$2:$B$12,2,FALSE),"How long valid?")),""))</f>
        <v/>
      </c>
      <c r="P502" s="21" t="n"/>
    </row>
    <row r="503">
      <c r="A503" s="21" t="n"/>
      <c r="B503" s="21" t="n"/>
      <c r="C503" s="22" t="n"/>
      <c r="D503" s="22" t="n"/>
      <c r="E503" s="23" t="n"/>
      <c r="F503" s="24">
        <f>IF(ISNUMBER(D503),D503-IF(ISNUMBER(E503),E503,30),"")</f>
        <v/>
      </c>
      <c r="G503" s="25">
        <f>IF(D503="","",IF(ISNUMBER(D503),D503-TODAY(),"Check date"))</f>
        <v/>
      </c>
      <c r="H503" s="26">
        <f>IF(G503="","",IF(ISNUMBER(G503),IF(G503&lt;0,"Expired",IF(G503&lt;=30,"Due ≤30 days",IF(G503&lt;=90,"Due ≤90 days","OK"))),"Check date"))</f>
        <v/>
      </c>
      <c r="I503" s="21" t="n"/>
      <c r="J503" s="21" t="n"/>
      <c r="K503" s="22" t="n"/>
      <c r="L503" s="21" t="n"/>
      <c r="M503" s="21" t="n"/>
      <c r="N503" s="21" t="n"/>
      <c r="O503" s="27">
        <f>IF(B503="","",IFERROR(IF(VLOOKUP(B503,Lists!$A$2:$B$12,2,FALSE)="","",HYPERLINK(VLOOKUP(B503,Lists!$A$2:$B$12,2,FALSE),"How long valid?")),""))</f>
        <v/>
      </c>
      <c r="P503" s="21" t="n"/>
    </row>
  </sheetData>
  <conditionalFormatting sqref="D4:D503 G4:G503 H4:H503">
    <cfRule type="expression" priority="1" dxfId="0" stopIfTrue="1">
      <formula>AND(ISNUMBER($G4),$G4&lt;0)</formula>
    </cfRule>
    <cfRule type="expression" priority="2" dxfId="1" stopIfTrue="1">
      <formula>AND(ISNUMBER($G4),$G4&lt;=30)</formula>
    </cfRule>
    <cfRule type="expression" priority="3" dxfId="2" stopIfTrue="1">
      <formula>AND(ISNUMBER($G4),$G4&lt;=90)</formula>
    </cfRule>
    <cfRule type="expression" priority="4" dxfId="3" stopIfTrue="1">
      <formula>ISNUMBER($G4)</formula>
    </cfRule>
  </conditionalFormatting>
  <conditionalFormatting sqref="A4:A503 B4:B503 C4:C503 D4:D503 E4:E503 I4:I503 J4:J503 K4:K503 L4:L503 M4:M503 N4:N503 P4:P503">
    <cfRule type="expression" priority="5" dxfId="4">
      <formula>LEFT($A4,9)="Example –"</formula>
    </cfRule>
    <cfRule type="expression" priority="6" dxfId="5">
      <formula>MOD(ROW(),2)=0</formula>
    </cfRule>
  </conditionalFormatting>
  <dataValidations count="6">
    <dataValidation sqref="B4:B503" showDropDown="0" showInputMessage="0" showErrorMessage="1" allowBlank="1" errorTitle="Check / certificate" error="That is not on the list. Keep it anyway, or add it to the Lists sheet." type="list" errorStyle="warning">
      <formula1>=Lists!$A$2:$A$12</formula1>
    </dataValidation>
    <dataValidation sqref="C4:C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D4:D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E4:E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K4:K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L4:L503" showDropDown="0" showInputMessage="0" showErrorMessage="1" allowBlank="1" errorTitle="Priority" error="Pick one of: Low, Medium, High." type="list" errorStyle="stop">
      <formula1>"Low,Medium,High"</formula1>
    </dataValidation>
  </dataValidations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54"/>
  <sheetViews>
    <sheetView showGridLines="0" tabSelected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8" t="inlineStr">
        <is>
          <t>Property overview: next due date per property and check</t>
        </is>
      </c>
    </row>
    <row r="2">
      <c r="A2" s="3" t="inlineStr">
        <is>
          <t>Type each property once in column A (same spelling as the Checks sheet). Each cell shows the latest next-due date recorded for that check. Blank means nothing recorded, which may be fine (not every property needs every check) or may be a gap.</t>
        </is>
      </c>
    </row>
    <row r="4" ht="44" customHeight="1">
      <c r="A4" s="28" t="inlineStr">
        <is>
          <t>Property</t>
        </is>
      </c>
      <c r="B4" s="29" t="inlineStr">
        <is>
          <t>Gas safety record</t>
        </is>
      </c>
      <c r="C4" s="29" t="inlineStr">
        <is>
          <t>EICR (electrical)</t>
        </is>
      </c>
      <c r="D4" s="29" t="inlineStr">
        <is>
          <t>EPC</t>
        </is>
      </c>
      <c r="E4" s="29" t="inlineStr">
        <is>
          <t>Smoke &amp; CO alarm check</t>
        </is>
      </c>
      <c r="F4" s="29" t="inlineStr">
        <is>
          <t>HMO licence</t>
        </is>
      </c>
      <c r="G4" s="29" t="inlineStr">
        <is>
          <t>Legionella risk assessment</t>
        </is>
      </c>
      <c r="H4" s="29" t="inlineStr">
        <is>
          <t>Fire risk assessment</t>
        </is>
      </c>
      <c r="I4" s="29" t="inlineStr">
        <is>
          <t>Selective / additional licence</t>
        </is>
      </c>
      <c r="J4" s="29" t="inlineStr">
        <is>
          <t>PAT testing</t>
        </is>
      </c>
      <c r="K4" s="29" t="inlineStr">
        <is>
          <t>Landlord insurance</t>
        </is>
      </c>
    </row>
    <row r="5">
      <c r="A5" s="30" t="inlineStr">
        <is>
          <t>Example – 12 Sample Street</t>
        </is>
      </c>
      <c r="B5" s="31">
        <f>IF(OR($A5="",B$4=""),"",IFERROR(1/(1/SUMPRODUCT(MAX(('Checks'!$A$4:$A$503=$A5)*('Checks'!$B$4:$B$503=B$4)*'Checks'!$D$4:$D$503))),""))</f>
        <v/>
      </c>
      <c r="C5" s="31">
        <f>IF(OR($A5="",C$4=""),"",IFERROR(1/(1/SUMPRODUCT(MAX(('Checks'!$A$4:$A$503=$A5)*('Checks'!$B$4:$B$503=C$4)*'Checks'!$D$4:$D$503))),""))</f>
        <v/>
      </c>
      <c r="D5" s="31">
        <f>IF(OR($A5="",D$4=""),"",IFERROR(1/(1/SUMPRODUCT(MAX(('Checks'!$A$4:$A$503=$A5)*('Checks'!$B$4:$B$503=D$4)*'Checks'!$D$4:$D$503))),""))</f>
        <v/>
      </c>
      <c r="E5" s="31">
        <f>IF(OR($A5="",E$4=""),"",IFERROR(1/(1/SUMPRODUCT(MAX(('Checks'!$A$4:$A$503=$A5)*('Checks'!$B$4:$B$503=E$4)*'Checks'!$D$4:$D$503))),""))</f>
        <v/>
      </c>
      <c r="F5" s="31">
        <f>IF(OR($A5="",F$4=""),"",IFERROR(1/(1/SUMPRODUCT(MAX(('Checks'!$A$4:$A$503=$A5)*('Checks'!$B$4:$B$503=F$4)*'Checks'!$D$4:$D$503))),""))</f>
        <v/>
      </c>
      <c r="G5" s="31">
        <f>IF(OR($A5="",G$4=""),"",IFERROR(1/(1/SUMPRODUCT(MAX(('Checks'!$A$4:$A$503=$A5)*('Checks'!$B$4:$B$503=G$4)*'Checks'!$D$4:$D$503))),""))</f>
        <v/>
      </c>
      <c r="H5" s="31">
        <f>IF(OR($A5="",H$4=""),"",IFERROR(1/(1/SUMPRODUCT(MAX(('Checks'!$A$4:$A$503=$A5)*('Checks'!$B$4:$B$503=H$4)*'Checks'!$D$4:$D$503))),""))</f>
        <v/>
      </c>
      <c r="I5" s="31">
        <f>IF(OR($A5="",I$4=""),"",IFERROR(1/(1/SUMPRODUCT(MAX(('Checks'!$A$4:$A$503=$A5)*('Checks'!$B$4:$B$503=I$4)*'Checks'!$D$4:$D$503))),""))</f>
        <v/>
      </c>
      <c r="J5" s="31">
        <f>IF(OR($A5="",J$4=""),"",IFERROR(1/(1/SUMPRODUCT(MAX(('Checks'!$A$4:$A$503=$A5)*('Checks'!$B$4:$B$503=J$4)*'Checks'!$D$4:$D$503))),""))</f>
        <v/>
      </c>
      <c r="K5" s="31">
        <f>IF(OR($A5="",K$4=""),"",IFERROR(1/(1/SUMPRODUCT(MAX(('Checks'!$A$4:$A$503=$A5)*('Checks'!$B$4:$B$503=K$4)*'Checks'!$D$4:$D$503))),""))</f>
        <v/>
      </c>
    </row>
    <row r="6">
      <c r="A6" s="30" t="inlineStr">
        <is>
          <t>Example – Flat 2, 4 Example Road</t>
        </is>
      </c>
      <c r="B6" s="31">
        <f>IF(OR($A6="",B$4=""),"",IFERROR(1/(1/SUMPRODUCT(MAX(('Checks'!$A$4:$A$503=$A6)*('Checks'!$B$4:$B$503=B$4)*'Checks'!$D$4:$D$503))),""))</f>
        <v/>
      </c>
      <c r="C6" s="31">
        <f>IF(OR($A6="",C$4=""),"",IFERROR(1/(1/SUMPRODUCT(MAX(('Checks'!$A$4:$A$503=$A6)*('Checks'!$B$4:$B$503=C$4)*'Checks'!$D$4:$D$503))),""))</f>
        <v/>
      </c>
      <c r="D6" s="31">
        <f>IF(OR($A6="",D$4=""),"",IFERROR(1/(1/SUMPRODUCT(MAX(('Checks'!$A$4:$A$503=$A6)*('Checks'!$B$4:$B$503=D$4)*'Checks'!$D$4:$D$503))),""))</f>
        <v/>
      </c>
      <c r="E6" s="31">
        <f>IF(OR($A6="",E$4=""),"",IFERROR(1/(1/SUMPRODUCT(MAX(('Checks'!$A$4:$A$503=$A6)*('Checks'!$B$4:$B$503=E$4)*'Checks'!$D$4:$D$503))),""))</f>
        <v/>
      </c>
      <c r="F6" s="31">
        <f>IF(OR($A6="",F$4=""),"",IFERROR(1/(1/SUMPRODUCT(MAX(('Checks'!$A$4:$A$503=$A6)*('Checks'!$B$4:$B$503=F$4)*'Checks'!$D$4:$D$503))),""))</f>
        <v/>
      </c>
      <c r="G6" s="31">
        <f>IF(OR($A6="",G$4=""),"",IFERROR(1/(1/SUMPRODUCT(MAX(('Checks'!$A$4:$A$503=$A6)*('Checks'!$B$4:$B$503=G$4)*'Checks'!$D$4:$D$503))),""))</f>
        <v/>
      </c>
      <c r="H6" s="31">
        <f>IF(OR($A6="",H$4=""),"",IFERROR(1/(1/SUMPRODUCT(MAX(('Checks'!$A$4:$A$503=$A6)*('Checks'!$B$4:$B$503=H$4)*'Checks'!$D$4:$D$503))),""))</f>
        <v/>
      </c>
      <c r="I6" s="31">
        <f>IF(OR($A6="",I$4=""),"",IFERROR(1/(1/SUMPRODUCT(MAX(('Checks'!$A$4:$A$503=$A6)*('Checks'!$B$4:$B$503=I$4)*'Checks'!$D$4:$D$503))),""))</f>
        <v/>
      </c>
      <c r="J6" s="31">
        <f>IF(OR($A6="",J$4=""),"",IFERROR(1/(1/SUMPRODUCT(MAX(('Checks'!$A$4:$A$503=$A6)*('Checks'!$B$4:$B$503=J$4)*'Checks'!$D$4:$D$503))),""))</f>
        <v/>
      </c>
      <c r="K6" s="31">
        <f>IF(OR($A6="",K$4=""),"",IFERROR(1/(1/SUMPRODUCT(MAX(('Checks'!$A$4:$A$503=$A6)*('Checks'!$B$4:$B$503=K$4)*'Checks'!$D$4:$D$503))),""))</f>
        <v/>
      </c>
    </row>
    <row r="7">
      <c r="A7" s="30" t="inlineStr">
        <is>
          <t>Example – 7 Placeholder Lane (HMO)</t>
        </is>
      </c>
      <c r="B7" s="31">
        <f>IF(OR($A7="",B$4=""),"",IFERROR(1/(1/SUMPRODUCT(MAX(('Checks'!$A$4:$A$503=$A7)*('Checks'!$B$4:$B$503=B$4)*'Checks'!$D$4:$D$503))),""))</f>
        <v/>
      </c>
      <c r="C7" s="31">
        <f>IF(OR($A7="",C$4=""),"",IFERROR(1/(1/SUMPRODUCT(MAX(('Checks'!$A$4:$A$503=$A7)*('Checks'!$B$4:$B$503=C$4)*'Checks'!$D$4:$D$503))),""))</f>
        <v/>
      </c>
      <c r="D7" s="31">
        <f>IF(OR($A7="",D$4=""),"",IFERROR(1/(1/SUMPRODUCT(MAX(('Checks'!$A$4:$A$503=$A7)*('Checks'!$B$4:$B$503=D$4)*'Checks'!$D$4:$D$503))),""))</f>
        <v/>
      </c>
      <c r="E7" s="31">
        <f>IF(OR($A7="",E$4=""),"",IFERROR(1/(1/SUMPRODUCT(MAX(('Checks'!$A$4:$A$503=$A7)*('Checks'!$B$4:$B$503=E$4)*'Checks'!$D$4:$D$503))),""))</f>
        <v/>
      </c>
      <c r="F7" s="31">
        <f>IF(OR($A7="",F$4=""),"",IFERROR(1/(1/SUMPRODUCT(MAX(('Checks'!$A$4:$A$503=$A7)*('Checks'!$B$4:$B$503=F$4)*'Checks'!$D$4:$D$503))),""))</f>
        <v/>
      </c>
      <c r="G7" s="31">
        <f>IF(OR($A7="",G$4=""),"",IFERROR(1/(1/SUMPRODUCT(MAX(('Checks'!$A$4:$A$503=$A7)*('Checks'!$B$4:$B$503=G$4)*'Checks'!$D$4:$D$503))),""))</f>
        <v/>
      </c>
      <c r="H7" s="31">
        <f>IF(OR($A7="",H$4=""),"",IFERROR(1/(1/SUMPRODUCT(MAX(('Checks'!$A$4:$A$503=$A7)*('Checks'!$B$4:$B$503=H$4)*'Checks'!$D$4:$D$503))),""))</f>
        <v/>
      </c>
      <c r="I7" s="31">
        <f>IF(OR($A7="",I$4=""),"",IFERROR(1/(1/SUMPRODUCT(MAX(('Checks'!$A$4:$A$503=$A7)*('Checks'!$B$4:$B$503=I$4)*'Checks'!$D$4:$D$503))),""))</f>
        <v/>
      </c>
      <c r="J7" s="31">
        <f>IF(OR($A7="",J$4=""),"",IFERROR(1/(1/SUMPRODUCT(MAX(('Checks'!$A$4:$A$503=$A7)*('Checks'!$B$4:$B$503=J$4)*'Checks'!$D$4:$D$503))),""))</f>
        <v/>
      </c>
      <c r="K7" s="31">
        <f>IF(OR($A7="",K$4=""),"",IFERROR(1/(1/SUMPRODUCT(MAX(('Checks'!$A$4:$A$503=$A7)*('Checks'!$B$4:$B$503=K$4)*'Checks'!$D$4:$D$503))),""))</f>
        <v/>
      </c>
    </row>
    <row r="8">
      <c r="A8" s="30" t="n"/>
      <c r="B8" s="31">
        <f>IF(OR($A8="",B$4=""),"",IFERROR(1/(1/SUMPRODUCT(MAX(('Checks'!$A$4:$A$503=$A8)*('Checks'!$B$4:$B$503=B$4)*'Checks'!$D$4:$D$503))),""))</f>
        <v/>
      </c>
      <c r="C8" s="31">
        <f>IF(OR($A8="",C$4=""),"",IFERROR(1/(1/SUMPRODUCT(MAX(('Checks'!$A$4:$A$503=$A8)*('Checks'!$B$4:$B$503=C$4)*'Checks'!$D$4:$D$503))),""))</f>
        <v/>
      </c>
      <c r="D8" s="31">
        <f>IF(OR($A8="",D$4=""),"",IFERROR(1/(1/SUMPRODUCT(MAX(('Checks'!$A$4:$A$503=$A8)*('Checks'!$B$4:$B$503=D$4)*'Checks'!$D$4:$D$503))),""))</f>
        <v/>
      </c>
      <c r="E8" s="31">
        <f>IF(OR($A8="",E$4=""),"",IFERROR(1/(1/SUMPRODUCT(MAX(('Checks'!$A$4:$A$503=$A8)*('Checks'!$B$4:$B$503=E$4)*'Checks'!$D$4:$D$503))),""))</f>
        <v/>
      </c>
      <c r="F8" s="31">
        <f>IF(OR($A8="",F$4=""),"",IFERROR(1/(1/SUMPRODUCT(MAX(('Checks'!$A$4:$A$503=$A8)*('Checks'!$B$4:$B$503=F$4)*'Checks'!$D$4:$D$503))),""))</f>
        <v/>
      </c>
      <c r="G8" s="31">
        <f>IF(OR($A8="",G$4=""),"",IFERROR(1/(1/SUMPRODUCT(MAX(('Checks'!$A$4:$A$503=$A8)*('Checks'!$B$4:$B$503=G$4)*'Checks'!$D$4:$D$503))),""))</f>
        <v/>
      </c>
      <c r="H8" s="31">
        <f>IF(OR($A8="",H$4=""),"",IFERROR(1/(1/SUMPRODUCT(MAX(('Checks'!$A$4:$A$503=$A8)*('Checks'!$B$4:$B$503=H$4)*'Checks'!$D$4:$D$503))),""))</f>
        <v/>
      </c>
      <c r="I8" s="31">
        <f>IF(OR($A8="",I$4=""),"",IFERROR(1/(1/SUMPRODUCT(MAX(('Checks'!$A$4:$A$503=$A8)*('Checks'!$B$4:$B$503=I$4)*'Checks'!$D$4:$D$503))),""))</f>
        <v/>
      </c>
      <c r="J8" s="31">
        <f>IF(OR($A8="",J$4=""),"",IFERROR(1/(1/SUMPRODUCT(MAX(('Checks'!$A$4:$A$503=$A8)*('Checks'!$B$4:$B$503=J$4)*'Checks'!$D$4:$D$503))),""))</f>
        <v/>
      </c>
      <c r="K8" s="31">
        <f>IF(OR($A8="",K$4=""),"",IFERROR(1/(1/SUMPRODUCT(MAX(('Checks'!$A$4:$A$503=$A8)*('Checks'!$B$4:$B$503=K$4)*'Checks'!$D$4:$D$503))),""))</f>
        <v/>
      </c>
    </row>
    <row r="9">
      <c r="A9" s="30" t="n"/>
      <c r="B9" s="31">
        <f>IF(OR($A9="",B$4=""),"",IFERROR(1/(1/SUMPRODUCT(MAX(('Checks'!$A$4:$A$503=$A9)*('Checks'!$B$4:$B$503=B$4)*'Checks'!$D$4:$D$503))),""))</f>
        <v/>
      </c>
      <c r="C9" s="31">
        <f>IF(OR($A9="",C$4=""),"",IFERROR(1/(1/SUMPRODUCT(MAX(('Checks'!$A$4:$A$503=$A9)*('Checks'!$B$4:$B$503=C$4)*'Checks'!$D$4:$D$503))),""))</f>
        <v/>
      </c>
      <c r="D9" s="31">
        <f>IF(OR($A9="",D$4=""),"",IFERROR(1/(1/SUMPRODUCT(MAX(('Checks'!$A$4:$A$503=$A9)*('Checks'!$B$4:$B$503=D$4)*'Checks'!$D$4:$D$503))),""))</f>
        <v/>
      </c>
      <c r="E9" s="31">
        <f>IF(OR($A9="",E$4=""),"",IFERROR(1/(1/SUMPRODUCT(MAX(('Checks'!$A$4:$A$503=$A9)*('Checks'!$B$4:$B$503=E$4)*'Checks'!$D$4:$D$503))),""))</f>
        <v/>
      </c>
      <c r="F9" s="31">
        <f>IF(OR($A9="",F$4=""),"",IFERROR(1/(1/SUMPRODUCT(MAX(('Checks'!$A$4:$A$503=$A9)*('Checks'!$B$4:$B$503=F$4)*'Checks'!$D$4:$D$503))),""))</f>
        <v/>
      </c>
      <c r="G9" s="31">
        <f>IF(OR($A9="",G$4=""),"",IFERROR(1/(1/SUMPRODUCT(MAX(('Checks'!$A$4:$A$503=$A9)*('Checks'!$B$4:$B$503=G$4)*'Checks'!$D$4:$D$503))),""))</f>
        <v/>
      </c>
      <c r="H9" s="31">
        <f>IF(OR($A9="",H$4=""),"",IFERROR(1/(1/SUMPRODUCT(MAX(('Checks'!$A$4:$A$503=$A9)*('Checks'!$B$4:$B$503=H$4)*'Checks'!$D$4:$D$503))),""))</f>
        <v/>
      </c>
      <c r="I9" s="31">
        <f>IF(OR($A9="",I$4=""),"",IFERROR(1/(1/SUMPRODUCT(MAX(('Checks'!$A$4:$A$503=$A9)*('Checks'!$B$4:$B$503=I$4)*'Checks'!$D$4:$D$503))),""))</f>
        <v/>
      </c>
      <c r="J9" s="31">
        <f>IF(OR($A9="",J$4=""),"",IFERROR(1/(1/SUMPRODUCT(MAX(('Checks'!$A$4:$A$503=$A9)*('Checks'!$B$4:$B$503=J$4)*'Checks'!$D$4:$D$503))),""))</f>
        <v/>
      </c>
      <c r="K9" s="31">
        <f>IF(OR($A9="",K$4=""),"",IFERROR(1/(1/SUMPRODUCT(MAX(('Checks'!$A$4:$A$503=$A9)*('Checks'!$B$4:$B$503=K$4)*'Checks'!$D$4:$D$503))),""))</f>
        <v/>
      </c>
    </row>
    <row r="10">
      <c r="A10" s="30" t="n"/>
      <c r="B10" s="31">
        <f>IF(OR($A10="",B$4=""),"",IFERROR(1/(1/SUMPRODUCT(MAX(('Checks'!$A$4:$A$503=$A10)*('Checks'!$B$4:$B$503=B$4)*'Checks'!$D$4:$D$503))),""))</f>
        <v/>
      </c>
      <c r="C10" s="31">
        <f>IF(OR($A10="",C$4=""),"",IFERROR(1/(1/SUMPRODUCT(MAX(('Checks'!$A$4:$A$503=$A10)*('Checks'!$B$4:$B$503=C$4)*'Checks'!$D$4:$D$503))),""))</f>
        <v/>
      </c>
      <c r="D10" s="31">
        <f>IF(OR($A10="",D$4=""),"",IFERROR(1/(1/SUMPRODUCT(MAX(('Checks'!$A$4:$A$503=$A10)*('Checks'!$B$4:$B$503=D$4)*'Checks'!$D$4:$D$503))),""))</f>
        <v/>
      </c>
      <c r="E10" s="31">
        <f>IF(OR($A10="",E$4=""),"",IFERROR(1/(1/SUMPRODUCT(MAX(('Checks'!$A$4:$A$503=$A10)*('Checks'!$B$4:$B$503=E$4)*'Checks'!$D$4:$D$503))),""))</f>
        <v/>
      </c>
      <c r="F10" s="31">
        <f>IF(OR($A10="",F$4=""),"",IFERROR(1/(1/SUMPRODUCT(MAX(('Checks'!$A$4:$A$503=$A10)*('Checks'!$B$4:$B$503=F$4)*'Checks'!$D$4:$D$503))),""))</f>
        <v/>
      </c>
      <c r="G10" s="31">
        <f>IF(OR($A10="",G$4=""),"",IFERROR(1/(1/SUMPRODUCT(MAX(('Checks'!$A$4:$A$503=$A10)*('Checks'!$B$4:$B$503=G$4)*'Checks'!$D$4:$D$503))),""))</f>
        <v/>
      </c>
      <c r="H10" s="31">
        <f>IF(OR($A10="",H$4=""),"",IFERROR(1/(1/SUMPRODUCT(MAX(('Checks'!$A$4:$A$503=$A10)*('Checks'!$B$4:$B$503=H$4)*'Checks'!$D$4:$D$503))),""))</f>
        <v/>
      </c>
      <c r="I10" s="31">
        <f>IF(OR($A10="",I$4=""),"",IFERROR(1/(1/SUMPRODUCT(MAX(('Checks'!$A$4:$A$503=$A10)*('Checks'!$B$4:$B$503=I$4)*'Checks'!$D$4:$D$503))),""))</f>
        <v/>
      </c>
      <c r="J10" s="31">
        <f>IF(OR($A10="",J$4=""),"",IFERROR(1/(1/SUMPRODUCT(MAX(('Checks'!$A$4:$A$503=$A10)*('Checks'!$B$4:$B$503=J$4)*'Checks'!$D$4:$D$503))),""))</f>
        <v/>
      </c>
      <c r="K10" s="31">
        <f>IF(OR($A10="",K$4=""),"",IFERROR(1/(1/SUMPRODUCT(MAX(('Checks'!$A$4:$A$503=$A10)*('Checks'!$B$4:$B$503=K$4)*'Checks'!$D$4:$D$503))),""))</f>
        <v/>
      </c>
    </row>
    <row r="11">
      <c r="A11" s="30" t="n"/>
      <c r="B11" s="31">
        <f>IF(OR($A11="",B$4=""),"",IFERROR(1/(1/SUMPRODUCT(MAX(('Checks'!$A$4:$A$503=$A11)*('Checks'!$B$4:$B$503=B$4)*'Checks'!$D$4:$D$503))),""))</f>
        <v/>
      </c>
      <c r="C11" s="31">
        <f>IF(OR($A11="",C$4=""),"",IFERROR(1/(1/SUMPRODUCT(MAX(('Checks'!$A$4:$A$503=$A11)*('Checks'!$B$4:$B$503=C$4)*'Checks'!$D$4:$D$503))),""))</f>
        <v/>
      </c>
      <c r="D11" s="31">
        <f>IF(OR($A11="",D$4=""),"",IFERROR(1/(1/SUMPRODUCT(MAX(('Checks'!$A$4:$A$503=$A11)*('Checks'!$B$4:$B$503=D$4)*'Checks'!$D$4:$D$503))),""))</f>
        <v/>
      </c>
      <c r="E11" s="31">
        <f>IF(OR($A11="",E$4=""),"",IFERROR(1/(1/SUMPRODUCT(MAX(('Checks'!$A$4:$A$503=$A11)*('Checks'!$B$4:$B$503=E$4)*'Checks'!$D$4:$D$503))),""))</f>
        <v/>
      </c>
      <c r="F11" s="31">
        <f>IF(OR($A11="",F$4=""),"",IFERROR(1/(1/SUMPRODUCT(MAX(('Checks'!$A$4:$A$503=$A11)*('Checks'!$B$4:$B$503=F$4)*'Checks'!$D$4:$D$503))),""))</f>
        <v/>
      </c>
      <c r="G11" s="31">
        <f>IF(OR($A11="",G$4=""),"",IFERROR(1/(1/SUMPRODUCT(MAX(('Checks'!$A$4:$A$503=$A11)*('Checks'!$B$4:$B$503=G$4)*'Checks'!$D$4:$D$503))),""))</f>
        <v/>
      </c>
      <c r="H11" s="31">
        <f>IF(OR($A11="",H$4=""),"",IFERROR(1/(1/SUMPRODUCT(MAX(('Checks'!$A$4:$A$503=$A11)*('Checks'!$B$4:$B$503=H$4)*'Checks'!$D$4:$D$503))),""))</f>
        <v/>
      </c>
      <c r="I11" s="31">
        <f>IF(OR($A11="",I$4=""),"",IFERROR(1/(1/SUMPRODUCT(MAX(('Checks'!$A$4:$A$503=$A11)*('Checks'!$B$4:$B$503=I$4)*'Checks'!$D$4:$D$503))),""))</f>
        <v/>
      </c>
      <c r="J11" s="31">
        <f>IF(OR($A11="",J$4=""),"",IFERROR(1/(1/SUMPRODUCT(MAX(('Checks'!$A$4:$A$503=$A11)*('Checks'!$B$4:$B$503=J$4)*'Checks'!$D$4:$D$503))),""))</f>
        <v/>
      </c>
      <c r="K11" s="31">
        <f>IF(OR($A11="",K$4=""),"",IFERROR(1/(1/SUMPRODUCT(MAX(('Checks'!$A$4:$A$503=$A11)*('Checks'!$B$4:$B$503=K$4)*'Checks'!$D$4:$D$503))),""))</f>
        <v/>
      </c>
    </row>
    <row r="12">
      <c r="A12" s="30" t="n"/>
      <c r="B12" s="31">
        <f>IF(OR($A12="",B$4=""),"",IFERROR(1/(1/SUMPRODUCT(MAX(('Checks'!$A$4:$A$503=$A12)*('Checks'!$B$4:$B$503=B$4)*'Checks'!$D$4:$D$503))),""))</f>
        <v/>
      </c>
      <c r="C12" s="31">
        <f>IF(OR($A12="",C$4=""),"",IFERROR(1/(1/SUMPRODUCT(MAX(('Checks'!$A$4:$A$503=$A12)*('Checks'!$B$4:$B$503=C$4)*'Checks'!$D$4:$D$503))),""))</f>
        <v/>
      </c>
      <c r="D12" s="31">
        <f>IF(OR($A12="",D$4=""),"",IFERROR(1/(1/SUMPRODUCT(MAX(('Checks'!$A$4:$A$503=$A12)*('Checks'!$B$4:$B$503=D$4)*'Checks'!$D$4:$D$503))),""))</f>
        <v/>
      </c>
      <c r="E12" s="31">
        <f>IF(OR($A12="",E$4=""),"",IFERROR(1/(1/SUMPRODUCT(MAX(('Checks'!$A$4:$A$503=$A12)*('Checks'!$B$4:$B$503=E$4)*'Checks'!$D$4:$D$503))),""))</f>
        <v/>
      </c>
      <c r="F12" s="31">
        <f>IF(OR($A12="",F$4=""),"",IFERROR(1/(1/SUMPRODUCT(MAX(('Checks'!$A$4:$A$503=$A12)*('Checks'!$B$4:$B$503=F$4)*'Checks'!$D$4:$D$503))),""))</f>
        <v/>
      </c>
      <c r="G12" s="31">
        <f>IF(OR($A12="",G$4=""),"",IFERROR(1/(1/SUMPRODUCT(MAX(('Checks'!$A$4:$A$503=$A12)*('Checks'!$B$4:$B$503=G$4)*'Checks'!$D$4:$D$503))),""))</f>
        <v/>
      </c>
      <c r="H12" s="31">
        <f>IF(OR($A12="",H$4=""),"",IFERROR(1/(1/SUMPRODUCT(MAX(('Checks'!$A$4:$A$503=$A12)*('Checks'!$B$4:$B$503=H$4)*'Checks'!$D$4:$D$503))),""))</f>
        <v/>
      </c>
      <c r="I12" s="31">
        <f>IF(OR($A12="",I$4=""),"",IFERROR(1/(1/SUMPRODUCT(MAX(('Checks'!$A$4:$A$503=$A12)*('Checks'!$B$4:$B$503=I$4)*'Checks'!$D$4:$D$503))),""))</f>
        <v/>
      </c>
      <c r="J12" s="31">
        <f>IF(OR($A12="",J$4=""),"",IFERROR(1/(1/SUMPRODUCT(MAX(('Checks'!$A$4:$A$503=$A12)*('Checks'!$B$4:$B$503=J$4)*'Checks'!$D$4:$D$503))),""))</f>
        <v/>
      </c>
      <c r="K12" s="31">
        <f>IF(OR($A12="",K$4=""),"",IFERROR(1/(1/SUMPRODUCT(MAX(('Checks'!$A$4:$A$503=$A12)*('Checks'!$B$4:$B$503=K$4)*'Checks'!$D$4:$D$503))),""))</f>
        <v/>
      </c>
    </row>
    <row r="13">
      <c r="A13" s="30" t="n"/>
      <c r="B13" s="31">
        <f>IF(OR($A13="",B$4=""),"",IFERROR(1/(1/SUMPRODUCT(MAX(('Checks'!$A$4:$A$503=$A13)*('Checks'!$B$4:$B$503=B$4)*'Checks'!$D$4:$D$503))),""))</f>
        <v/>
      </c>
      <c r="C13" s="31">
        <f>IF(OR($A13="",C$4=""),"",IFERROR(1/(1/SUMPRODUCT(MAX(('Checks'!$A$4:$A$503=$A13)*('Checks'!$B$4:$B$503=C$4)*'Checks'!$D$4:$D$503))),""))</f>
        <v/>
      </c>
      <c r="D13" s="31">
        <f>IF(OR($A13="",D$4=""),"",IFERROR(1/(1/SUMPRODUCT(MAX(('Checks'!$A$4:$A$503=$A13)*('Checks'!$B$4:$B$503=D$4)*'Checks'!$D$4:$D$503))),""))</f>
        <v/>
      </c>
      <c r="E13" s="31">
        <f>IF(OR($A13="",E$4=""),"",IFERROR(1/(1/SUMPRODUCT(MAX(('Checks'!$A$4:$A$503=$A13)*('Checks'!$B$4:$B$503=E$4)*'Checks'!$D$4:$D$503))),""))</f>
        <v/>
      </c>
      <c r="F13" s="31">
        <f>IF(OR($A13="",F$4=""),"",IFERROR(1/(1/SUMPRODUCT(MAX(('Checks'!$A$4:$A$503=$A13)*('Checks'!$B$4:$B$503=F$4)*'Checks'!$D$4:$D$503))),""))</f>
        <v/>
      </c>
      <c r="G13" s="31">
        <f>IF(OR($A13="",G$4=""),"",IFERROR(1/(1/SUMPRODUCT(MAX(('Checks'!$A$4:$A$503=$A13)*('Checks'!$B$4:$B$503=G$4)*'Checks'!$D$4:$D$503))),""))</f>
        <v/>
      </c>
      <c r="H13" s="31">
        <f>IF(OR($A13="",H$4=""),"",IFERROR(1/(1/SUMPRODUCT(MAX(('Checks'!$A$4:$A$503=$A13)*('Checks'!$B$4:$B$503=H$4)*'Checks'!$D$4:$D$503))),""))</f>
        <v/>
      </c>
      <c r="I13" s="31">
        <f>IF(OR($A13="",I$4=""),"",IFERROR(1/(1/SUMPRODUCT(MAX(('Checks'!$A$4:$A$503=$A13)*('Checks'!$B$4:$B$503=I$4)*'Checks'!$D$4:$D$503))),""))</f>
        <v/>
      </c>
      <c r="J13" s="31">
        <f>IF(OR($A13="",J$4=""),"",IFERROR(1/(1/SUMPRODUCT(MAX(('Checks'!$A$4:$A$503=$A13)*('Checks'!$B$4:$B$503=J$4)*'Checks'!$D$4:$D$503))),""))</f>
        <v/>
      </c>
      <c r="K13" s="31">
        <f>IF(OR($A13="",K$4=""),"",IFERROR(1/(1/SUMPRODUCT(MAX(('Checks'!$A$4:$A$503=$A13)*('Checks'!$B$4:$B$503=K$4)*'Checks'!$D$4:$D$503))),""))</f>
        <v/>
      </c>
    </row>
    <row r="14">
      <c r="A14" s="30" t="n"/>
      <c r="B14" s="31">
        <f>IF(OR($A14="",B$4=""),"",IFERROR(1/(1/SUMPRODUCT(MAX(('Checks'!$A$4:$A$503=$A14)*('Checks'!$B$4:$B$503=B$4)*'Checks'!$D$4:$D$503))),""))</f>
        <v/>
      </c>
      <c r="C14" s="31">
        <f>IF(OR($A14="",C$4=""),"",IFERROR(1/(1/SUMPRODUCT(MAX(('Checks'!$A$4:$A$503=$A14)*('Checks'!$B$4:$B$503=C$4)*'Checks'!$D$4:$D$503))),""))</f>
        <v/>
      </c>
      <c r="D14" s="31">
        <f>IF(OR($A14="",D$4=""),"",IFERROR(1/(1/SUMPRODUCT(MAX(('Checks'!$A$4:$A$503=$A14)*('Checks'!$B$4:$B$503=D$4)*'Checks'!$D$4:$D$503))),""))</f>
        <v/>
      </c>
      <c r="E14" s="31">
        <f>IF(OR($A14="",E$4=""),"",IFERROR(1/(1/SUMPRODUCT(MAX(('Checks'!$A$4:$A$503=$A14)*('Checks'!$B$4:$B$503=E$4)*'Checks'!$D$4:$D$503))),""))</f>
        <v/>
      </c>
      <c r="F14" s="31">
        <f>IF(OR($A14="",F$4=""),"",IFERROR(1/(1/SUMPRODUCT(MAX(('Checks'!$A$4:$A$503=$A14)*('Checks'!$B$4:$B$503=F$4)*'Checks'!$D$4:$D$503))),""))</f>
        <v/>
      </c>
      <c r="G14" s="31">
        <f>IF(OR($A14="",G$4=""),"",IFERROR(1/(1/SUMPRODUCT(MAX(('Checks'!$A$4:$A$503=$A14)*('Checks'!$B$4:$B$503=G$4)*'Checks'!$D$4:$D$503))),""))</f>
        <v/>
      </c>
      <c r="H14" s="31">
        <f>IF(OR($A14="",H$4=""),"",IFERROR(1/(1/SUMPRODUCT(MAX(('Checks'!$A$4:$A$503=$A14)*('Checks'!$B$4:$B$503=H$4)*'Checks'!$D$4:$D$503))),""))</f>
        <v/>
      </c>
      <c r="I14" s="31">
        <f>IF(OR($A14="",I$4=""),"",IFERROR(1/(1/SUMPRODUCT(MAX(('Checks'!$A$4:$A$503=$A14)*('Checks'!$B$4:$B$503=I$4)*'Checks'!$D$4:$D$503))),""))</f>
        <v/>
      </c>
      <c r="J14" s="31">
        <f>IF(OR($A14="",J$4=""),"",IFERROR(1/(1/SUMPRODUCT(MAX(('Checks'!$A$4:$A$503=$A14)*('Checks'!$B$4:$B$503=J$4)*'Checks'!$D$4:$D$503))),""))</f>
        <v/>
      </c>
      <c r="K14" s="31">
        <f>IF(OR($A14="",K$4=""),"",IFERROR(1/(1/SUMPRODUCT(MAX(('Checks'!$A$4:$A$503=$A14)*('Checks'!$B$4:$B$503=K$4)*'Checks'!$D$4:$D$503))),""))</f>
        <v/>
      </c>
    </row>
    <row r="15">
      <c r="A15" s="30" t="n"/>
      <c r="B15" s="31">
        <f>IF(OR($A15="",B$4=""),"",IFERROR(1/(1/SUMPRODUCT(MAX(('Checks'!$A$4:$A$503=$A15)*('Checks'!$B$4:$B$503=B$4)*'Checks'!$D$4:$D$503))),""))</f>
        <v/>
      </c>
      <c r="C15" s="31">
        <f>IF(OR($A15="",C$4=""),"",IFERROR(1/(1/SUMPRODUCT(MAX(('Checks'!$A$4:$A$503=$A15)*('Checks'!$B$4:$B$503=C$4)*'Checks'!$D$4:$D$503))),""))</f>
        <v/>
      </c>
      <c r="D15" s="31">
        <f>IF(OR($A15="",D$4=""),"",IFERROR(1/(1/SUMPRODUCT(MAX(('Checks'!$A$4:$A$503=$A15)*('Checks'!$B$4:$B$503=D$4)*'Checks'!$D$4:$D$503))),""))</f>
        <v/>
      </c>
      <c r="E15" s="31">
        <f>IF(OR($A15="",E$4=""),"",IFERROR(1/(1/SUMPRODUCT(MAX(('Checks'!$A$4:$A$503=$A15)*('Checks'!$B$4:$B$503=E$4)*'Checks'!$D$4:$D$503))),""))</f>
        <v/>
      </c>
      <c r="F15" s="31">
        <f>IF(OR($A15="",F$4=""),"",IFERROR(1/(1/SUMPRODUCT(MAX(('Checks'!$A$4:$A$503=$A15)*('Checks'!$B$4:$B$503=F$4)*'Checks'!$D$4:$D$503))),""))</f>
        <v/>
      </c>
      <c r="G15" s="31">
        <f>IF(OR($A15="",G$4=""),"",IFERROR(1/(1/SUMPRODUCT(MAX(('Checks'!$A$4:$A$503=$A15)*('Checks'!$B$4:$B$503=G$4)*'Checks'!$D$4:$D$503))),""))</f>
        <v/>
      </c>
      <c r="H15" s="31">
        <f>IF(OR($A15="",H$4=""),"",IFERROR(1/(1/SUMPRODUCT(MAX(('Checks'!$A$4:$A$503=$A15)*('Checks'!$B$4:$B$503=H$4)*'Checks'!$D$4:$D$503))),""))</f>
        <v/>
      </c>
      <c r="I15" s="31">
        <f>IF(OR($A15="",I$4=""),"",IFERROR(1/(1/SUMPRODUCT(MAX(('Checks'!$A$4:$A$503=$A15)*('Checks'!$B$4:$B$503=I$4)*'Checks'!$D$4:$D$503))),""))</f>
        <v/>
      </c>
      <c r="J15" s="31">
        <f>IF(OR($A15="",J$4=""),"",IFERROR(1/(1/SUMPRODUCT(MAX(('Checks'!$A$4:$A$503=$A15)*('Checks'!$B$4:$B$503=J$4)*'Checks'!$D$4:$D$503))),""))</f>
        <v/>
      </c>
      <c r="K15" s="31">
        <f>IF(OR($A15="",K$4=""),"",IFERROR(1/(1/SUMPRODUCT(MAX(('Checks'!$A$4:$A$503=$A15)*('Checks'!$B$4:$B$503=K$4)*'Checks'!$D$4:$D$503))),""))</f>
        <v/>
      </c>
    </row>
    <row r="16">
      <c r="A16" s="30" t="n"/>
      <c r="B16" s="31">
        <f>IF(OR($A16="",B$4=""),"",IFERROR(1/(1/SUMPRODUCT(MAX(('Checks'!$A$4:$A$503=$A16)*('Checks'!$B$4:$B$503=B$4)*'Checks'!$D$4:$D$503))),""))</f>
        <v/>
      </c>
      <c r="C16" s="31">
        <f>IF(OR($A16="",C$4=""),"",IFERROR(1/(1/SUMPRODUCT(MAX(('Checks'!$A$4:$A$503=$A16)*('Checks'!$B$4:$B$503=C$4)*'Checks'!$D$4:$D$503))),""))</f>
        <v/>
      </c>
      <c r="D16" s="31">
        <f>IF(OR($A16="",D$4=""),"",IFERROR(1/(1/SUMPRODUCT(MAX(('Checks'!$A$4:$A$503=$A16)*('Checks'!$B$4:$B$503=D$4)*'Checks'!$D$4:$D$503))),""))</f>
        <v/>
      </c>
      <c r="E16" s="31">
        <f>IF(OR($A16="",E$4=""),"",IFERROR(1/(1/SUMPRODUCT(MAX(('Checks'!$A$4:$A$503=$A16)*('Checks'!$B$4:$B$503=E$4)*'Checks'!$D$4:$D$503))),""))</f>
        <v/>
      </c>
      <c r="F16" s="31">
        <f>IF(OR($A16="",F$4=""),"",IFERROR(1/(1/SUMPRODUCT(MAX(('Checks'!$A$4:$A$503=$A16)*('Checks'!$B$4:$B$503=F$4)*'Checks'!$D$4:$D$503))),""))</f>
        <v/>
      </c>
      <c r="G16" s="31">
        <f>IF(OR($A16="",G$4=""),"",IFERROR(1/(1/SUMPRODUCT(MAX(('Checks'!$A$4:$A$503=$A16)*('Checks'!$B$4:$B$503=G$4)*'Checks'!$D$4:$D$503))),""))</f>
        <v/>
      </c>
      <c r="H16" s="31">
        <f>IF(OR($A16="",H$4=""),"",IFERROR(1/(1/SUMPRODUCT(MAX(('Checks'!$A$4:$A$503=$A16)*('Checks'!$B$4:$B$503=H$4)*'Checks'!$D$4:$D$503))),""))</f>
        <v/>
      </c>
      <c r="I16" s="31">
        <f>IF(OR($A16="",I$4=""),"",IFERROR(1/(1/SUMPRODUCT(MAX(('Checks'!$A$4:$A$503=$A16)*('Checks'!$B$4:$B$503=I$4)*'Checks'!$D$4:$D$503))),""))</f>
        <v/>
      </c>
      <c r="J16" s="31">
        <f>IF(OR($A16="",J$4=""),"",IFERROR(1/(1/SUMPRODUCT(MAX(('Checks'!$A$4:$A$503=$A16)*('Checks'!$B$4:$B$503=J$4)*'Checks'!$D$4:$D$503))),""))</f>
        <v/>
      </c>
      <c r="K16" s="31">
        <f>IF(OR($A16="",K$4=""),"",IFERROR(1/(1/SUMPRODUCT(MAX(('Checks'!$A$4:$A$503=$A16)*('Checks'!$B$4:$B$503=K$4)*'Checks'!$D$4:$D$503))),""))</f>
        <v/>
      </c>
    </row>
    <row r="17">
      <c r="A17" s="30" t="n"/>
      <c r="B17" s="31">
        <f>IF(OR($A17="",B$4=""),"",IFERROR(1/(1/SUMPRODUCT(MAX(('Checks'!$A$4:$A$503=$A17)*('Checks'!$B$4:$B$503=B$4)*'Checks'!$D$4:$D$503))),""))</f>
        <v/>
      </c>
      <c r="C17" s="31">
        <f>IF(OR($A17="",C$4=""),"",IFERROR(1/(1/SUMPRODUCT(MAX(('Checks'!$A$4:$A$503=$A17)*('Checks'!$B$4:$B$503=C$4)*'Checks'!$D$4:$D$503))),""))</f>
        <v/>
      </c>
      <c r="D17" s="31">
        <f>IF(OR($A17="",D$4=""),"",IFERROR(1/(1/SUMPRODUCT(MAX(('Checks'!$A$4:$A$503=$A17)*('Checks'!$B$4:$B$503=D$4)*'Checks'!$D$4:$D$503))),""))</f>
        <v/>
      </c>
      <c r="E17" s="31">
        <f>IF(OR($A17="",E$4=""),"",IFERROR(1/(1/SUMPRODUCT(MAX(('Checks'!$A$4:$A$503=$A17)*('Checks'!$B$4:$B$503=E$4)*'Checks'!$D$4:$D$503))),""))</f>
        <v/>
      </c>
      <c r="F17" s="31">
        <f>IF(OR($A17="",F$4=""),"",IFERROR(1/(1/SUMPRODUCT(MAX(('Checks'!$A$4:$A$503=$A17)*('Checks'!$B$4:$B$503=F$4)*'Checks'!$D$4:$D$503))),""))</f>
        <v/>
      </c>
      <c r="G17" s="31">
        <f>IF(OR($A17="",G$4=""),"",IFERROR(1/(1/SUMPRODUCT(MAX(('Checks'!$A$4:$A$503=$A17)*('Checks'!$B$4:$B$503=G$4)*'Checks'!$D$4:$D$503))),""))</f>
        <v/>
      </c>
      <c r="H17" s="31">
        <f>IF(OR($A17="",H$4=""),"",IFERROR(1/(1/SUMPRODUCT(MAX(('Checks'!$A$4:$A$503=$A17)*('Checks'!$B$4:$B$503=H$4)*'Checks'!$D$4:$D$503))),""))</f>
        <v/>
      </c>
      <c r="I17" s="31">
        <f>IF(OR($A17="",I$4=""),"",IFERROR(1/(1/SUMPRODUCT(MAX(('Checks'!$A$4:$A$503=$A17)*('Checks'!$B$4:$B$503=I$4)*'Checks'!$D$4:$D$503))),""))</f>
        <v/>
      </c>
      <c r="J17" s="31">
        <f>IF(OR($A17="",J$4=""),"",IFERROR(1/(1/SUMPRODUCT(MAX(('Checks'!$A$4:$A$503=$A17)*('Checks'!$B$4:$B$503=J$4)*'Checks'!$D$4:$D$503))),""))</f>
        <v/>
      </c>
      <c r="K17" s="31">
        <f>IF(OR($A17="",K$4=""),"",IFERROR(1/(1/SUMPRODUCT(MAX(('Checks'!$A$4:$A$503=$A17)*('Checks'!$B$4:$B$503=K$4)*'Checks'!$D$4:$D$503))),""))</f>
        <v/>
      </c>
    </row>
    <row r="18">
      <c r="A18" s="30" t="n"/>
      <c r="B18" s="31">
        <f>IF(OR($A18="",B$4=""),"",IFERROR(1/(1/SUMPRODUCT(MAX(('Checks'!$A$4:$A$503=$A18)*('Checks'!$B$4:$B$503=B$4)*'Checks'!$D$4:$D$503))),""))</f>
        <v/>
      </c>
      <c r="C18" s="31">
        <f>IF(OR($A18="",C$4=""),"",IFERROR(1/(1/SUMPRODUCT(MAX(('Checks'!$A$4:$A$503=$A18)*('Checks'!$B$4:$B$503=C$4)*'Checks'!$D$4:$D$503))),""))</f>
        <v/>
      </c>
      <c r="D18" s="31">
        <f>IF(OR($A18="",D$4=""),"",IFERROR(1/(1/SUMPRODUCT(MAX(('Checks'!$A$4:$A$503=$A18)*('Checks'!$B$4:$B$503=D$4)*'Checks'!$D$4:$D$503))),""))</f>
        <v/>
      </c>
      <c r="E18" s="31">
        <f>IF(OR($A18="",E$4=""),"",IFERROR(1/(1/SUMPRODUCT(MAX(('Checks'!$A$4:$A$503=$A18)*('Checks'!$B$4:$B$503=E$4)*'Checks'!$D$4:$D$503))),""))</f>
        <v/>
      </c>
      <c r="F18" s="31">
        <f>IF(OR($A18="",F$4=""),"",IFERROR(1/(1/SUMPRODUCT(MAX(('Checks'!$A$4:$A$503=$A18)*('Checks'!$B$4:$B$503=F$4)*'Checks'!$D$4:$D$503))),""))</f>
        <v/>
      </c>
      <c r="G18" s="31">
        <f>IF(OR($A18="",G$4=""),"",IFERROR(1/(1/SUMPRODUCT(MAX(('Checks'!$A$4:$A$503=$A18)*('Checks'!$B$4:$B$503=G$4)*'Checks'!$D$4:$D$503))),""))</f>
        <v/>
      </c>
      <c r="H18" s="31">
        <f>IF(OR($A18="",H$4=""),"",IFERROR(1/(1/SUMPRODUCT(MAX(('Checks'!$A$4:$A$503=$A18)*('Checks'!$B$4:$B$503=H$4)*'Checks'!$D$4:$D$503))),""))</f>
        <v/>
      </c>
      <c r="I18" s="31">
        <f>IF(OR($A18="",I$4=""),"",IFERROR(1/(1/SUMPRODUCT(MAX(('Checks'!$A$4:$A$503=$A18)*('Checks'!$B$4:$B$503=I$4)*'Checks'!$D$4:$D$503))),""))</f>
        <v/>
      </c>
      <c r="J18" s="31">
        <f>IF(OR($A18="",J$4=""),"",IFERROR(1/(1/SUMPRODUCT(MAX(('Checks'!$A$4:$A$503=$A18)*('Checks'!$B$4:$B$503=J$4)*'Checks'!$D$4:$D$503))),""))</f>
        <v/>
      </c>
      <c r="K18" s="31">
        <f>IF(OR($A18="",K$4=""),"",IFERROR(1/(1/SUMPRODUCT(MAX(('Checks'!$A$4:$A$503=$A18)*('Checks'!$B$4:$B$503=K$4)*'Checks'!$D$4:$D$503))),""))</f>
        <v/>
      </c>
    </row>
    <row r="19">
      <c r="A19" s="30" t="n"/>
      <c r="B19" s="31">
        <f>IF(OR($A19="",B$4=""),"",IFERROR(1/(1/SUMPRODUCT(MAX(('Checks'!$A$4:$A$503=$A19)*('Checks'!$B$4:$B$503=B$4)*'Checks'!$D$4:$D$503))),""))</f>
        <v/>
      </c>
      <c r="C19" s="31">
        <f>IF(OR($A19="",C$4=""),"",IFERROR(1/(1/SUMPRODUCT(MAX(('Checks'!$A$4:$A$503=$A19)*('Checks'!$B$4:$B$503=C$4)*'Checks'!$D$4:$D$503))),""))</f>
        <v/>
      </c>
      <c r="D19" s="31">
        <f>IF(OR($A19="",D$4=""),"",IFERROR(1/(1/SUMPRODUCT(MAX(('Checks'!$A$4:$A$503=$A19)*('Checks'!$B$4:$B$503=D$4)*'Checks'!$D$4:$D$503))),""))</f>
        <v/>
      </c>
      <c r="E19" s="31">
        <f>IF(OR($A19="",E$4=""),"",IFERROR(1/(1/SUMPRODUCT(MAX(('Checks'!$A$4:$A$503=$A19)*('Checks'!$B$4:$B$503=E$4)*'Checks'!$D$4:$D$503))),""))</f>
        <v/>
      </c>
      <c r="F19" s="31">
        <f>IF(OR($A19="",F$4=""),"",IFERROR(1/(1/SUMPRODUCT(MAX(('Checks'!$A$4:$A$503=$A19)*('Checks'!$B$4:$B$503=F$4)*'Checks'!$D$4:$D$503))),""))</f>
        <v/>
      </c>
      <c r="G19" s="31">
        <f>IF(OR($A19="",G$4=""),"",IFERROR(1/(1/SUMPRODUCT(MAX(('Checks'!$A$4:$A$503=$A19)*('Checks'!$B$4:$B$503=G$4)*'Checks'!$D$4:$D$503))),""))</f>
        <v/>
      </c>
      <c r="H19" s="31">
        <f>IF(OR($A19="",H$4=""),"",IFERROR(1/(1/SUMPRODUCT(MAX(('Checks'!$A$4:$A$503=$A19)*('Checks'!$B$4:$B$503=H$4)*'Checks'!$D$4:$D$503))),""))</f>
        <v/>
      </c>
      <c r="I19" s="31">
        <f>IF(OR($A19="",I$4=""),"",IFERROR(1/(1/SUMPRODUCT(MAX(('Checks'!$A$4:$A$503=$A19)*('Checks'!$B$4:$B$503=I$4)*'Checks'!$D$4:$D$503))),""))</f>
        <v/>
      </c>
      <c r="J19" s="31">
        <f>IF(OR($A19="",J$4=""),"",IFERROR(1/(1/SUMPRODUCT(MAX(('Checks'!$A$4:$A$503=$A19)*('Checks'!$B$4:$B$503=J$4)*'Checks'!$D$4:$D$503))),""))</f>
        <v/>
      </c>
      <c r="K19" s="31">
        <f>IF(OR($A19="",K$4=""),"",IFERROR(1/(1/SUMPRODUCT(MAX(('Checks'!$A$4:$A$503=$A19)*('Checks'!$B$4:$B$503=K$4)*'Checks'!$D$4:$D$503))),""))</f>
        <v/>
      </c>
    </row>
    <row r="20">
      <c r="A20" s="30" t="n"/>
      <c r="B20" s="31">
        <f>IF(OR($A20="",B$4=""),"",IFERROR(1/(1/SUMPRODUCT(MAX(('Checks'!$A$4:$A$503=$A20)*('Checks'!$B$4:$B$503=B$4)*'Checks'!$D$4:$D$503))),""))</f>
        <v/>
      </c>
      <c r="C20" s="31">
        <f>IF(OR($A20="",C$4=""),"",IFERROR(1/(1/SUMPRODUCT(MAX(('Checks'!$A$4:$A$503=$A20)*('Checks'!$B$4:$B$503=C$4)*'Checks'!$D$4:$D$503))),""))</f>
        <v/>
      </c>
      <c r="D20" s="31">
        <f>IF(OR($A20="",D$4=""),"",IFERROR(1/(1/SUMPRODUCT(MAX(('Checks'!$A$4:$A$503=$A20)*('Checks'!$B$4:$B$503=D$4)*'Checks'!$D$4:$D$503))),""))</f>
        <v/>
      </c>
      <c r="E20" s="31">
        <f>IF(OR($A20="",E$4=""),"",IFERROR(1/(1/SUMPRODUCT(MAX(('Checks'!$A$4:$A$503=$A20)*('Checks'!$B$4:$B$503=E$4)*'Checks'!$D$4:$D$503))),""))</f>
        <v/>
      </c>
      <c r="F20" s="31">
        <f>IF(OR($A20="",F$4=""),"",IFERROR(1/(1/SUMPRODUCT(MAX(('Checks'!$A$4:$A$503=$A20)*('Checks'!$B$4:$B$503=F$4)*'Checks'!$D$4:$D$503))),""))</f>
        <v/>
      </c>
      <c r="G20" s="31">
        <f>IF(OR($A20="",G$4=""),"",IFERROR(1/(1/SUMPRODUCT(MAX(('Checks'!$A$4:$A$503=$A20)*('Checks'!$B$4:$B$503=G$4)*'Checks'!$D$4:$D$503))),""))</f>
        <v/>
      </c>
      <c r="H20" s="31">
        <f>IF(OR($A20="",H$4=""),"",IFERROR(1/(1/SUMPRODUCT(MAX(('Checks'!$A$4:$A$503=$A20)*('Checks'!$B$4:$B$503=H$4)*'Checks'!$D$4:$D$503))),""))</f>
        <v/>
      </c>
      <c r="I20" s="31">
        <f>IF(OR($A20="",I$4=""),"",IFERROR(1/(1/SUMPRODUCT(MAX(('Checks'!$A$4:$A$503=$A20)*('Checks'!$B$4:$B$503=I$4)*'Checks'!$D$4:$D$503))),""))</f>
        <v/>
      </c>
      <c r="J20" s="31">
        <f>IF(OR($A20="",J$4=""),"",IFERROR(1/(1/SUMPRODUCT(MAX(('Checks'!$A$4:$A$503=$A20)*('Checks'!$B$4:$B$503=J$4)*'Checks'!$D$4:$D$503))),""))</f>
        <v/>
      </c>
      <c r="K20" s="31">
        <f>IF(OR($A20="",K$4=""),"",IFERROR(1/(1/SUMPRODUCT(MAX(('Checks'!$A$4:$A$503=$A20)*('Checks'!$B$4:$B$503=K$4)*'Checks'!$D$4:$D$503))),""))</f>
        <v/>
      </c>
    </row>
    <row r="21">
      <c r="A21" s="30" t="n"/>
      <c r="B21" s="31">
        <f>IF(OR($A21="",B$4=""),"",IFERROR(1/(1/SUMPRODUCT(MAX(('Checks'!$A$4:$A$503=$A21)*('Checks'!$B$4:$B$503=B$4)*'Checks'!$D$4:$D$503))),""))</f>
        <v/>
      </c>
      <c r="C21" s="31">
        <f>IF(OR($A21="",C$4=""),"",IFERROR(1/(1/SUMPRODUCT(MAX(('Checks'!$A$4:$A$503=$A21)*('Checks'!$B$4:$B$503=C$4)*'Checks'!$D$4:$D$503))),""))</f>
        <v/>
      </c>
      <c r="D21" s="31">
        <f>IF(OR($A21="",D$4=""),"",IFERROR(1/(1/SUMPRODUCT(MAX(('Checks'!$A$4:$A$503=$A21)*('Checks'!$B$4:$B$503=D$4)*'Checks'!$D$4:$D$503))),""))</f>
        <v/>
      </c>
      <c r="E21" s="31">
        <f>IF(OR($A21="",E$4=""),"",IFERROR(1/(1/SUMPRODUCT(MAX(('Checks'!$A$4:$A$503=$A21)*('Checks'!$B$4:$B$503=E$4)*'Checks'!$D$4:$D$503))),""))</f>
        <v/>
      </c>
      <c r="F21" s="31">
        <f>IF(OR($A21="",F$4=""),"",IFERROR(1/(1/SUMPRODUCT(MAX(('Checks'!$A$4:$A$503=$A21)*('Checks'!$B$4:$B$503=F$4)*'Checks'!$D$4:$D$503))),""))</f>
        <v/>
      </c>
      <c r="G21" s="31">
        <f>IF(OR($A21="",G$4=""),"",IFERROR(1/(1/SUMPRODUCT(MAX(('Checks'!$A$4:$A$503=$A21)*('Checks'!$B$4:$B$503=G$4)*'Checks'!$D$4:$D$503))),""))</f>
        <v/>
      </c>
      <c r="H21" s="31">
        <f>IF(OR($A21="",H$4=""),"",IFERROR(1/(1/SUMPRODUCT(MAX(('Checks'!$A$4:$A$503=$A21)*('Checks'!$B$4:$B$503=H$4)*'Checks'!$D$4:$D$503))),""))</f>
        <v/>
      </c>
      <c r="I21" s="31">
        <f>IF(OR($A21="",I$4=""),"",IFERROR(1/(1/SUMPRODUCT(MAX(('Checks'!$A$4:$A$503=$A21)*('Checks'!$B$4:$B$503=I$4)*'Checks'!$D$4:$D$503))),""))</f>
        <v/>
      </c>
      <c r="J21" s="31">
        <f>IF(OR($A21="",J$4=""),"",IFERROR(1/(1/SUMPRODUCT(MAX(('Checks'!$A$4:$A$503=$A21)*('Checks'!$B$4:$B$503=J$4)*'Checks'!$D$4:$D$503))),""))</f>
        <v/>
      </c>
      <c r="K21" s="31">
        <f>IF(OR($A21="",K$4=""),"",IFERROR(1/(1/SUMPRODUCT(MAX(('Checks'!$A$4:$A$503=$A21)*('Checks'!$B$4:$B$503=K$4)*'Checks'!$D$4:$D$503))),""))</f>
        <v/>
      </c>
    </row>
    <row r="22">
      <c r="A22" s="30" t="n"/>
      <c r="B22" s="31">
        <f>IF(OR($A22="",B$4=""),"",IFERROR(1/(1/SUMPRODUCT(MAX(('Checks'!$A$4:$A$503=$A22)*('Checks'!$B$4:$B$503=B$4)*'Checks'!$D$4:$D$503))),""))</f>
        <v/>
      </c>
      <c r="C22" s="31">
        <f>IF(OR($A22="",C$4=""),"",IFERROR(1/(1/SUMPRODUCT(MAX(('Checks'!$A$4:$A$503=$A22)*('Checks'!$B$4:$B$503=C$4)*'Checks'!$D$4:$D$503))),""))</f>
        <v/>
      </c>
      <c r="D22" s="31">
        <f>IF(OR($A22="",D$4=""),"",IFERROR(1/(1/SUMPRODUCT(MAX(('Checks'!$A$4:$A$503=$A22)*('Checks'!$B$4:$B$503=D$4)*'Checks'!$D$4:$D$503))),""))</f>
        <v/>
      </c>
      <c r="E22" s="31">
        <f>IF(OR($A22="",E$4=""),"",IFERROR(1/(1/SUMPRODUCT(MAX(('Checks'!$A$4:$A$503=$A22)*('Checks'!$B$4:$B$503=E$4)*'Checks'!$D$4:$D$503))),""))</f>
        <v/>
      </c>
      <c r="F22" s="31">
        <f>IF(OR($A22="",F$4=""),"",IFERROR(1/(1/SUMPRODUCT(MAX(('Checks'!$A$4:$A$503=$A22)*('Checks'!$B$4:$B$503=F$4)*'Checks'!$D$4:$D$503))),""))</f>
        <v/>
      </c>
      <c r="G22" s="31">
        <f>IF(OR($A22="",G$4=""),"",IFERROR(1/(1/SUMPRODUCT(MAX(('Checks'!$A$4:$A$503=$A22)*('Checks'!$B$4:$B$503=G$4)*'Checks'!$D$4:$D$503))),""))</f>
        <v/>
      </c>
      <c r="H22" s="31">
        <f>IF(OR($A22="",H$4=""),"",IFERROR(1/(1/SUMPRODUCT(MAX(('Checks'!$A$4:$A$503=$A22)*('Checks'!$B$4:$B$503=H$4)*'Checks'!$D$4:$D$503))),""))</f>
        <v/>
      </c>
      <c r="I22" s="31">
        <f>IF(OR($A22="",I$4=""),"",IFERROR(1/(1/SUMPRODUCT(MAX(('Checks'!$A$4:$A$503=$A22)*('Checks'!$B$4:$B$503=I$4)*'Checks'!$D$4:$D$503))),""))</f>
        <v/>
      </c>
      <c r="J22" s="31">
        <f>IF(OR($A22="",J$4=""),"",IFERROR(1/(1/SUMPRODUCT(MAX(('Checks'!$A$4:$A$503=$A22)*('Checks'!$B$4:$B$503=J$4)*'Checks'!$D$4:$D$503))),""))</f>
        <v/>
      </c>
      <c r="K22" s="31">
        <f>IF(OR($A22="",K$4=""),"",IFERROR(1/(1/SUMPRODUCT(MAX(('Checks'!$A$4:$A$503=$A22)*('Checks'!$B$4:$B$503=K$4)*'Checks'!$D$4:$D$503))),""))</f>
        <v/>
      </c>
    </row>
    <row r="23">
      <c r="A23" s="30" t="n"/>
      <c r="B23" s="31">
        <f>IF(OR($A23="",B$4=""),"",IFERROR(1/(1/SUMPRODUCT(MAX(('Checks'!$A$4:$A$503=$A23)*('Checks'!$B$4:$B$503=B$4)*'Checks'!$D$4:$D$503))),""))</f>
        <v/>
      </c>
      <c r="C23" s="31">
        <f>IF(OR($A23="",C$4=""),"",IFERROR(1/(1/SUMPRODUCT(MAX(('Checks'!$A$4:$A$503=$A23)*('Checks'!$B$4:$B$503=C$4)*'Checks'!$D$4:$D$503))),""))</f>
        <v/>
      </c>
      <c r="D23" s="31">
        <f>IF(OR($A23="",D$4=""),"",IFERROR(1/(1/SUMPRODUCT(MAX(('Checks'!$A$4:$A$503=$A23)*('Checks'!$B$4:$B$503=D$4)*'Checks'!$D$4:$D$503))),""))</f>
        <v/>
      </c>
      <c r="E23" s="31">
        <f>IF(OR($A23="",E$4=""),"",IFERROR(1/(1/SUMPRODUCT(MAX(('Checks'!$A$4:$A$503=$A23)*('Checks'!$B$4:$B$503=E$4)*'Checks'!$D$4:$D$503))),""))</f>
        <v/>
      </c>
      <c r="F23" s="31">
        <f>IF(OR($A23="",F$4=""),"",IFERROR(1/(1/SUMPRODUCT(MAX(('Checks'!$A$4:$A$503=$A23)*('Checks'!$B$4:$B$503=F$4)*'Checks'!$D$4:$D$503))),""))</f>
        <v/>
      </c>
      <c r="G23" s="31">
        <f>IF(OR($A23="",G$4=""),"",IFERROR(1/(1/SUMPRODUCT(MAX(('Checks'!$A$4:$A$503=$A23)*('Checks'!$B$4:$B$503=G$4)*'Checks'!$D$4:$D$503))),""))</f>
        <v/>
      </c>
      <c r="H23" s="31">
        <f>IF(OR($A23="",H$4=""),"",IFERROR(1/(1/SUMPRODUCT(MAX(('Checks'!$A$4:$A$503=$A23)*('Checks'!$B$4:$B$503=H$4)*'Checks'!$D$4:$D$503))),""))</f>
        <v/>
      </c>
      <c r="I23" s="31">
        <f>IF(OR($A23="",I$4=""),"",IFERROR(1/(1/SUMPRODUCT(MAX(('Checks'!$A$4:$A$503=$A23)*('Checks'!$B$4:$B$503=I$4)*'Checks'!$D$4:$D$503))),""))</f>
        <v/>
      </c>
      <c r="J23" s="31">
        <f>IF(OR($A23="",J$4=""),"",IFERROR(1/(1/SUMPRODUCT(MAX(('Checks'!$A$4:$A$503=$A23)*('Checks'!$B$4:$B$503=J$4)*'Checks'!$D$4:$D$503))),""))</f>
        <v/>
      </c>
      <c r="K23" s="31">
        <f>IF(OR($A23="",K$4=""),"",IFERROR(1/(1/SUMPRODUCT(MAX(('Checks'!$A$4:$A$503=$A23)*('Checks'!$B$4:$B$503=K$4)*'Checks'!$D$4:$D$503))),""))</f>
        <v/>
      </c>
    </row>
    <row r="24">
      <c r="A24" s="30" t="n"/>
      <c r="B24" s="31">
        <f>IF(OR($A24="",B$4=""),"",IFERROR(1/(1/SUMPRODUCT(MAX(('Checks'!$A$4:$A$503=$A24)*('Checks'!$B$4:$B$503=B$4)*'Checks'!$D$4:$D$503))),""))</f>
        <v/>
      </c>
      <c r="C24" s="31">
        <f>IF(OR($A24="",C$4=""),"",IFERROR(1/(1/SUMPRODUCT(MAX(('Checks'!$A$4:$A$503=$A24)*('Checks'!$B$4:$B$503=C$4)*'Checks'!$D$4:$D$503))),""))</f>
        <v/>
      </c>
      <c r="D24" s="31">
        <f>IF(OR($A24="",D$4=""),"",IFERROR(1/(1/SUMPRODUCT(MAX(('Checks'!$A$4:$A$503=$A24)*('Checks'!$B$4:$B$503=D$4)*'Checks'!$D$4:$D$503))),""))</f>
        <v/>
      </c>
      <c r="E24" s="31">
        <f>IF(OR($A24="",E$4=""),"",IFERROR(1/(1/SUMPRODUCT(MAX(('Checks'!$A$4:$A$503=$A24)*('Checks'!$B$4:$B$503=E$4)*'Checks'!$D$4:$D$503))),""))</f>
        <v/>
      </c>
      <c r="F24" s="31">
        <f>IF(OR($A24="",F$4=""),"",IFERROR(1/(1/SUMPRODUCT(MAX(('Checks'!$A$4:$A$503=$A24)*('Checks'!$B$4:$B$503=F$4)*'Checks'!$D$4:$D$503))),""))</f>
        <v/>
      </c>
      <c r="G24" s="31">
        <f>IF(OR($A24="",G$4=""),"",IFERROR(1/(1/SUMPRODUCT(MAX(('Checks'!$A$4:$A$503=$A24)*('Checks'!$B$4:$B$503=G$4)*'Checks'!$D$4:$D$503))),""))</f>
        <v/>
      </c>
      <c r="H24" s="31">
        <f>IF(OR($A24="",H$4=""),"",IFERROR(1/(1/SUMPRODUCT(MAX(('Checks'!$A$4:$A$503=$A24)*('Checks'!$B$4:$B$503=H$4)*'Checks'!$D$4:$D$503))),""))</f>
        <v/>
      </c>
      <c r="I24" s="31">
        <f>IF(OR($A24="",I$4=""),"",IFERROR(1/(1/SUMPRODUCT(MAX(('Checks'!$A$4:$A$503=$A24)*('Checks'!$B$4:$B$503=I$4)*'Checks'!$D$4:$D$503))),""))</f>
        <v/>
      </c>
      <c r="J24" s="31">
        <f>IF(OR($A24="",J$4=""),"",IFERROR(1/(1/SUMPRODUCT(MAX(('Checks'!$A$4:$A$503=$A24)*('Checks'!$B$4:$B$503=J$4)*'Checks'!$D$4:$D$503))),""))</f>
        <v/>
      </c>
      <c r="K24" s="31">
        <f>IF(OR($A24="",K$4=""),"",IFERROR(1/(1/SUMPRODUCT(MAX(('Checks'!$A$4:$A$503=$A24)*('Checks'!$B$4:$B$503=K$4)*'Checks'!$D$4:$D$503))),""))</f>
        <v/>
      </c>
    </row>
    <row r="25">
      <c r="A25" s="30" t="n"/>
      <c r="B25" s="31">
        <f>IF(OR($A25="",B$4=""),"",IFERROR(1/(1/SUMPRODUCT(MAX(('Checks'!$A$4:$A$503=$A25)*('Checks'!$B$4:$B$503=B$4)*'Checks'!$D$4:$D$503))),""))</f>
        <v/>
      </c>
      <c r="C25" s="31">
        <f>IF(OR($A25="",C$4=""),"",IFERROR(1/(1/SUMPRODUCT(MAX(('Checks'!$A$4:$A$503=$A25)*('Checks'!$B$4:$B$503=C$4)*'Checks'!$D$4:$D$503))),""))</f>
        <v/>
      </c>
      <c r="D25" s="31">
        <f>IF(OR($A25="",D$4=""),"",IFERROR(1/(1/SUMPRODUCT(MAX(('Checks'!$A$4:$A$503=$A25)*('Checks'!$B$4:$B$503=D$4)*'Checks'!$D$4:$D$503))),""))</f>
        <v/>
      </c>
      <c r="E25" s="31">
        <f>IF(OR($A25="",E$4=""),"",IFERROR(1/(1/SUMPRODUCT(MAX(('Checks'!$A$4:$A$503=$A25)*('Checks'!$B$4:$B$503=E$4)*'Checks'!$D$4:$D$503))),""))</f>
        <v/>
      </c>
      <c r="F25" s="31">
        <f>IF(OR($A25="",F$4=""),"",IFERROR(1/(1/SUMPRODUCT(MAX(('Checks'!$A$4:$A$503=$A25)*('Checks'!$B$4:$B$503=F$4)*'Checks'!$D$4:$D$503))),""))</f>
        <v/>
      </c>
      <c r="G25" s="31">
        <f>IF(OR($A25="",G$4=""),"",IFERROR(1/(1/SUMPRODUCT(MAX(('Checks'!$A$4:$A$503=$A25)*('Checks'!$B$4:$B$503=G$4)*'Checks'!$D$4:$D$503))),""))</f>
        <v/>
      </c>
      <c r="H25" s="31">
        <f>IF(OR($A25="",H$4=""),"",IFERROR(1/(1/SUMPRODUCT(MAX(('Checks'!$A$4:$A$503=$A25)*('Checks'!$B$4:$B$503=H$4)*'Checks'!$D$4:$D$503))),""))</f>
        <v/>
      </c>
      <c r="I25" s="31">
        <f>IF(OR($A25="",I$4=""),"",IFERROR(1/(1/SUMPRODUCT(MAX(('Checks'!$A$4:$A$503=$A25)*('Checks'!$B$4:$B$503=I$4)*'Checks'!$D$4:$D$503))),""))</f>
        <v/>
      </c>
      <c r="J25" s="31">
        <f>IF(OR($A25="",J$4=""),"",IFERROR(1/(1/SUMPRODUCT(MAX(('Checks'!$A$4:$A$503=$A25)*('Checks'!$B$4:$B$503=J$4)*'Checks'!$D$4:$D$503))),""))</f>
        <v/>
      </c>
      <c r="K25" s="31">
        <f>IF(OR($A25="",K$4=""),"",IFERROR(1/(1/SUMPRODUCT(MAX(('Checks'!$A$4:$A$503=$A25)*('Checks'!$B$4:$B$503=K$4)*'Checks'!$D$4:$D$503))),""))</f>
        <v/>
      </c>
    </row>
    <row r="26">
      <c r="A26" s="30" t="n"/>
      <c r="B26" s="31">
        <f>IF(OR($A26="",B$4=""),"",IFERROR(1/(1/SUMPRODUCT(MAX(('Checks'!$A$4:$A$503=$A26)*('Checks'!$B$4:$B$503=B$4)*'Checks'!$D$4:$D$503))),""))</f>
        <v/>
      </c>
      <c r="C26" s="31">
        <f>IF(OR($A26="",C$4=""),"",IFERROR(1/(1/SUMPRODUCT(MAX(('Checks'!$A$4:$A$503=$A26)*('Checks'!$B$4:$B$503=C$4)*'Checks'!$D$4:$D$503))),""))</f>
        <v/>
      </c>
      <c r="D26" s="31">
        <f>IF(OR($A26="",D$4=""),"",IFERROR(1/(1/SUMPRODUCT(MAX(('Checks'!$A$4:$A$503=$A26)*('Checks'!$B$4:$B$503=D$4)*'Checks'!$D$4:$D$503))),""))</f>
        <v/>
      </c>
      <c r="E26" s="31">
        <f>IF(OR($A26="",E$4=""),"",IFERROR(1/(1/SUMPRODUCT(MAX(('Checks'!$A$4:$A$503=$A26)*('Checks'!$B$4:$B$503=E$4)*'Checks'!$D$4:$D$503))),""))</f>
        <v/>
      </c>
      <c r="F26" s="31">
        <f>IF(OR($A26="",F$4=""),"",IFERROR(1/(1/SUMPRODUCT(MAX(('Checks'!$A$4:$A$503=$A26)*('Checks'!$B$4:$B$503=F$4)*'Checks'!$D$4:$D$503))),""))</f>
        <v/>
      </c>
      <c r="G26" s="31">
        <f>IF(OR($A26="",G$4=""),"",IFERROR(1/(1/SUMPRODUCT(MAX(('Checks'!$A$4:$A$503=$A26)*('Checks'!$B$4:$B$503=G$4)*'Checks'!$D$4:$D$503))),""))</f>
        <v/>
      </c>
      <c r="H26" s="31">
        <f>IF(OR($A26="",H$4=""),"",IFERROR(1/(1/SUMPRODUCT(MAX(('Checks'!$A$4:$A$503=$A26)*('Checks'!$B$4:$B$503=H$4)*'Checks'!$D$4:$D$503))),""))</f>
        <v/>
      </c>
      <c r="I26" s="31">
        <f>IF(OR($A26="",I$4=""),"",IFERROR(1/(1/SUMPRODUCT(MAX(('Checks'!$A$4:$A$503=$A26)*('Checks'!$B$4:$B$503=I$4)*'Checks'!$D$4:$D$503))),""))</f>
        <v/>
      </c>
      <c r="J26" s="31">
        <f>IF(OR($A26="",J$4=""),"",IFERROR(1/(1/SUMPRODUCT(MAX(('Checks'!$A$4:$A$503=$A26)*('Checks'!$B$4:$B$503=J$4)*'Checks'!$D$4:$D$503))),""))</f>
        <v/>
      </c>
      <c r="K26" s="31">
        <f>IF(OR($A26="",K$4=""),"",IFERROR(1/(1/SUMPRODUCT(MAX(('Checks'!$A$4:$A$503=$A26)*('Checks'!$B$4:$B$503=K$4)*'Checks'!$D$4:$D$503))),""))</f>
        <v/>
      </c>
    </row>
    <row r="27">
      <c r="A27" s="30" t="n"/>
      <c r="B27" s="31">
        <f>IF(OR($A27="",B$4=""),"",IFERROR(1/(1/SUMPRODUCT(MAX(('Checks'!$A$4:$A$503=$A27)*('Checks'!$B$4:$B$503=B$4)*'Checks'!$D$4:$D$503))),""))</f>
        <v/>
      </c>
      <c r="C27" s="31">
        <f>IF(OR($A27="",C$4=""),"",IFERROR(1/(1/SUMPRODUCT(MAX(('Checks'!$A$4:$A$503=$A27)*('Checks'!$B$4:$B$503=C$4)*'Checks'!$D$4:$D$503))),""))</f>
        <v/>
      </c>
      <c r="D27" s="31">
        <f>IF(OR($A27="",D$4=""),"",IFERROR(1/(1/SUMPRODUCT(MAX(('Checks'!$A$4:$A$503=$A27)*('Checks'!$B$4:$B$503=D$4)*'Checks'!$D$4:$D$503))),""))</f>
        <v/>
      </c>
      <c r="E27" s="31">
        <f>IF(OR($A27="",E$4=""),"",IFERROR(1/(1/SUMPRODUCT(MAX(('Checks'!$A$4:$A$503=$A27)*('Checks'!$B$4:$B$503=E$4)*'Checks'!$D$4:$D$503))),""))</f>
        <v/>
      </c>
      <c r="F27" s="31">
        <f>IF(OR($A27="",F$4=""),"",IFERROR(1/(1/SUMPRODUCT(MAX(('Checks'!$A$4:$A$503=$A27)*('Checks'!$B$4:$B$503=F$4)*'Checks'!$D$4:$D$503))),""))</f>
        <v/>
      </c>
      <c r="G27" s="31">
        <f>IF(OR($A27="",G$4=""),"",IFERROR(1/(1/SUMPRODUCT(MAX(('Checks'!$A$4:$A$503=$A27)*('Checks'!$B$4:$B$503=G$4)*'Checks'!$D$4:$D$503))),""))</f>
        <v/>
      </c>
      <c r="H27" s="31">
        <f>IF(OR($A27="",H$4=""),"",IFERROR(1/(1/SUMPRODUCT(MAX(('Checks'!$A$4:$A$503=$A27)*('Checks'!$B$4:$B$503=H$4)*'Checks'!$D$4:$D$503))),""))</f>
        <v/>
      </c>
      <c r="I27" s="31">
        <f>IF(OR($A27="",I$4=""),"",IFERROR(1/(1/SUMPRODUCT(MAX(('Checks'!$A$4:$A$503=$A27)*('Checks'!$B$4:$B$503=I$4)*'Checks'!$D$4:$D$503))),""))</f>
        <v/>
      </c>
      <c r="J27" s="31">
        <f>IF(OR($A27="",J$4=""),"",IFERROR(1/(1/SUMPRODUCT(MAX(('Checks'!$A$4:$A$503=$A27)*('Checks'!$B$4:$B$503=J$4)*'Checks'!$D$4:$D$503))),""))</f>
        <v/>
      </c>
      <c r="K27" s="31">
        <f>IF(OR($A27="",K$4=""),"",IFERROR(1/(1/SUMPRODUCT(MAX(('Checks'!$A$4:$A$503=$A27)*('Checks'!$B$4:$B$503=K$4)*'Checks'!$D$4:$D$503))),""))</f>
        <v/>
      </c>
    </row>
    <row r="28">
      <c r="A28" s="30" t="n"/>
      <c r="B28" s="31">
        <f>IF(OR($A28="",B$4=""),"",IFERROR(1/(1/SUMPRODUCT(MAX(('Checks'!$A$4:$A$503=$A28)*('Checks'!$B$4:$B$503=B$4)*'Checks'!$D$4:$D$503))),""))</f>
        <v/>
      </c>
      <c r="C28" s="31">
        <f>IF(OR($A28="",C$4=""),"",IFERROR(1/(1/SUMPRODUCT(MAX(('Checks'!$A$4:$A$503=$A28)*('Checks'!$B$4:$B$503=C$4)*'Checks'!$D$4:$D$503))),""))</f>
        <v/>
      </c>
      <c r="D28" s="31">
        <f>IF(OR($A28="",D$4=""),"",IFERROR(1/(1/SUMPRODUCT(MAX(('Checks'!$A$4:$A$503=$A28)*('Checks'!$B$4:$B$503=D$4)*'Checks'!$D$4:$D$503))),""))</f>
        <v/>
      </c>
      <c r="E28" s="31">
        <f>IF(OR($A28="",E$4=""),"",IFERROR(1/(1/SUMPRODUCT(MAX(('Checks'!$A$4:$A$503=$A28)*('Checks'!$B$4:$B$503=E$4)*'Checks'!$D$4:$D$503))),""))</f>
        <v/>
      </c>
      <c r="F28" s="31">
        <f>IF(OR($A28="",F$4=""),"",IFERROR(1/(1/SUMPRODUCT(MAX(('Checks'!$A$4:$A$503=$A28)*('Checks'!$B$4:$B$503=F$4)*'Checks'!$D$4:$D$503))),""))</f>
        <v/>
      </c>
      <c r="G28" s="31">
        <f>IF(OR($A28="",G$4=""),"",IFERROR(1/(1/SUMPRODUCT(MAX(('Checks'!$A$4:$A$503=$A28)*('Checks'!$B$4:$B$503=G$4)*'Checks'!$D$4:$D$503))),""))</f>
        <v/>
      </c>
      <c r="H28" s="31">
        <f>IF(OR($A28="",H$4=""),"",IFERROR(1/(1/SUMPRODUCT(MAX(('Checks'!$A$4:$A$503=$A28)*('Checks'!$B$4:$B$503=H$4)*'Checks'!$D$4:$D$503))),""))</f>
        <v/>
      </c>
      <c r="I28" s="31">
        <f>IF(OR($A28="",I$4=""),"",IFERROR(1/(1/SUMPRODUCT(MAX(('Checks'!$A$4:$A$503=$A28)*('Checks'!$B$4:$B$503=I$4)*'Checks'!$D$4:$D$503))),""))</f>
        <v/>
      </c>
      <c r="J28" s="31">
        <f>IF(OR($A28="",J$4=""),"",IFERROR(1/(1/SUMPRODUCT(MAX(('Checks'!$A$4:$A$503=$A28)*('Checks'!$B$4:$B$503=J$4)*'Checks'!$D$4:$D$503))),""))</f>
        <v/>
      </c>
      <c r="K28" s="31">
        <f>IF(OR($A28="",K$4=""),"",IFERROR(1/(1/SUMPRODUCT(MAX(('Checks'!$A$4:$A$503=$A28)*('Checks'!$B$4:$B$503=K$4)*'Checks'!$D$4:$D$503))),""))</f>
        <v/>
      </c>
    </row>
    <row r="29">
      <c r="A29" s="30" t="n"/>
      <c r="B29" s="31">
        <f>IF(OR($A29="",B$4=""),"",IFERROR(1/(1/SUMPRODUCT(MAX(('Checks'!$A$4:$A$503=$A29)*('Checks'!$B$4:$B$503=B$4)*'Checks'!$D$4:$D$503))),""))</f>
        <v/>
      </c>
      <c r="C29" s="31">
        <f>IF(OR($A29="",C$4=""),"",IFERROR(1/(1/SUMPRODUCT(MAX(('Checks'!$A$4:$A$503=$A29)*('Checks'!$B$4:$B$503=C$4)*'Checks'!$D$4:$D$503))),""))</f>
        <v/>
      </c>
      <c r="D29" s="31">
        <f>IF(OR($A29="",D$4=""),"",IFERROR(1/(1/SUMPRODUCT(MAX(('Checks'!$A$4:$A$503=$A29)*('Checks'!$B$4:$B$503=D$4)*'Checks'!$D$4:$D$503))),""))</f>
        <v/>
      </c>
      <c r="E29" s="31">
        <f>IF(OR($A29="",E$4=""),"",IFERROR(1/(1/SUMPRODUCT(MAX(('Checks'!$A$4:$A$503=$A29)*('Checks'!$B$4:$B$503=E$4)*'Checks'!$D$4:$D$503))),""))</f>
        <v/>
      </c>
      <c r="F29" s="31">
        <f>IF(OR($A29="",F$4=""),"",IFERROR(1/(1/SUMPRODUCT(MAX(('Checks'!$A$4:$A$503=$A29)*('Checks'!$B$4:$B$503=F$4)*'Checks'!$D$4:$D$503))),""))</f>
        <v/>
      </c>
      <c r="G29" s="31">
        <f>IF(OR($A29="",G$4=""),"",IFERROR(1/(1/SUMPRODUCT(MAX(('Checks'!$A$4:$A$503=$A29)*('Checks'!$B$4:$B$503=G$4)*'Checks'!$D$4:$D$503))),""))</f>
        <v/>
      </c>
      <c r="H29" s="31">
        <f>IF(OR($A29="",H$4=""),"",IFERROR(1/(1/SUMPRODUCT(MAX(('Checks'!$A$4:$A$503=$A29)*('Checks'!$B$4:$B$503=H$4)*'Checks'!$D$4:$D$503))),""))</f>
        <v/>
      </c>
      <c r="I29" s="31">
        <f>IF(OR($A29="",I$4=""),"",IFERROR(1/(1/SUMPRODUCT(MAX(('Checks'!$A$4:$A$503=$A29)*('Checks'!$B$4:$B$503=I$4)*'Checks'!$D$4:$D$503))),""))</f>
        <v/>
      </c>
      <c r="J29" s="31">
        <f>IF(OR($A29="",J$4=""),"",IFERROR(1/(1/SUMPRODUCT(MAX(('Checks'!$A$4:$A$503=$A29)*('Checks'!$B$4:$B$503=J$4)*'Checks'!$D$4:$D$503))),""))</f>
        <v/>
      </c>
      <c r="K29" s="31">
        <f>IF(OR($A29="",K$4=""),"",IFERROR(1/(1/SUMPRODUCT(MAX(('Checks'!$A$4:$A$503=$A29)*('Checks'!$B$4:$B$503=K$4)*'Checks'!$D$4:$D$503))),""))</f>
        <v/>
      </c>
    </row>
    <row r="30">
      <c r="A30" s="30" t="n"/>
      <c r="B30" s="31">
        <f>IF(OR($A30="",B$4=""),"",IFERROR(1/(1/SUMPRODUCT(MAX(('Checks'!$A$4:$A$503=$A30)*('Checks'!$B$4:$B$503=B$4)*'Checks'!$D$4:$D$503))),""))</f>
        <v/>
      </c>
      <c r="C30" s="31">
        <f>IF(OR($A30="",C$4=""),"",IFERROR(1/(1/SUMPRODUCT(MAX(('Checks'!$A$4:$A$503=$A30)*('Checks'!$B$4:$B$503=C$4)*'Checks'!$D$4:$D$503))),""))</f>
        <v/>
      </c>
      <c r="D30" s="31">
        <f>IF(OR($A30="",D$4=""),"",IFERROR(1/(1/SUMPRODUCT(MAX(('Checks'!$A$4:$A$503=$A30)*('Checks'!$B$4:$B$503=D$4)*'Checks'!$D$4:$D$503))),""))</f>
        <v/>
      </c>
      <c r="E30" s="31">
        <f>IF(OR($A30="",E$4=""),"",IFERROR(1/(1/SUMPRODUCT(MAX(('Checks'!$A$4:$A$503=$A30)*('Checks'!$B$4:$B$503=E$4)*'Checks'!$D$4:$D$503))),""))</f>
        <v/>
      </c>
      <c r="F30" s="31">
        <f>IF(OR($A30="",F$4=""),"",IFERROR(1/(1/SUMPRODUCT(MAX(('Checks'!$A$4:$A$503=$A30)*('Checks'!$B$4:$B$503=F$4)*'Checks'!$D$4:$D$503))),""))</f>
        <v/>
      </c>
      <c r="G30" s="31">
        <f>IF(OR($A30="",G$4=""),"",IFERROR(1/(1/SUMPRODUCT(MAX(('Checks'!$A$4:$A$503=$A30)*('Checks'!$B$4:$B$503=G$4)*'Checks'!$D$4:$D$503))),""))</f>
        <v/>
      </c>
      <c r="H30" s="31">
        <f>IF(OR($A30="",H$4=""),"",IFERROR(1/(1/SUMPRODUCT(MAX(('Checks'!$A$4:$A$503=$A30)*('Checks'!$B$4:$B$503=H$4)*'Checks'!$D$4:$D$503))),""))</f>
        <v/>
      </c>
      <c r="I30" s="31">
        <f>IF(OR($A30="",I$4=""),"",IFERROR(1/(1/SUMPRODUCT(MAX(('Checks'!$A$4:$A$503=$A30)*('Checks'!$B$4:$B$503=I$4)*'Checks'!$D$4:$D$503))),""))</f>
        <v/>
      </c>
      <c r="J30" s="31">
        <f>IF(OR($A30="",J$4=""),"",IFERROR(1/(1/SUMPRODUCT(MAX(('Checks'!$A$4:$A$503=$A30)*('Checks'!$B$4:$B$503=J$4)*'Checks'!$D$4:$D$503))),""))</f>
        <v/>
      </c>
      <c r="K30" s="31">
        <f>IF(OR($A30="",K$4=""),"",IFERROR(1/(1/SUMPRODUCT(MAX(('Checks'!$A$4:$A$503=$A30)*('Checks'!$B$4:$B$503=K$4)*'Checks'!$D$4:$D$503))),""))</f>
        <v/>
      </c>
    </row>
    <row r="31">
      <c r="A31" s="30" t="n"/>
      <c r="B31" s="31">
        <f>IF(OR($A31="",B$4=""),"",IFERROR(1/(1/SUMPRODUCT(MAX(('Checks'!$A$4:$A$503=$A31)*('Checks'!$B$4:$B$503=B$4)*'Checks'!$D$4:$D$503))),""))</f>
        <v/>
      </c>
      <c r="C31" s="31">
        <f>IF(OR($A31="",C$4=""),"",IFERROR(1/(1/SUMPRODUCT(MAX(('Checks'!$A$4:$A$503=$A31)*('Checks'!$B$4:$B$503=C$4)*'Checks'!$D$4:$D$503))),""))</f>
        <v/>
      </c>
      <c r="D31" s="31">
        <f>IF(OR($A31="",D$4=""),"",IFERROR(1/(1/SUMPRODUCT(MAX(('Checks'!$A$4:$A$503=$A31)*('Checks'!$B$4:$B$503=D$4)*'Checks'!$D$4:$D$503))),""))</f>
        <v/>
      </c>
      <c r="E31" s="31">
        <f>IF(OR($A31="",E$4=""),"",IFERROR(1/(1/SUMPRODUCT(MAX(('Checks'!$A$4:$A$503=$A31)*('Checks'!$B$4:$B$503=E$4)*'Checks'!$D$4:$D$503))),""))</f>
        <v/>
      </c>
      <c r="F31" s="31">
        <f>IF(OR($A31="",F$4=""),"",IFERROR(1/(1/SUMPRODUCT(MAX(('Checks'!$A$4:$A$503=$A31)*('Checks'!$B$4:$B$503=F$4)*'Checks'!$D$4:$D$503))),""))</f>
        <v/>
      </c>
      <c r="G31" s="31">
        <f>IF(OR($A31="",G$4=""),"",IFERROR(1/(1/SUMPRODUCT(MAX(('Checks'!$A$4:$A$503=$A31)*('Checks'!$B$4:$B$503=G$4)*'Checks'!$D$4:$D$503))),""))</f>
        <v/>
      </c>
      <c r="H31" s="31">
        <f>IF(OR($A31="",H$4=""),"",IFERROR(1/(1/SUMPRODUCT(MAX(('Checks'!$A$4:$A$503=$A31)*('Checks'!$B$4:$B$503=H$4)*'Checks'!$D$4:$D$503))),""))</f>
        <v/>
      </c>
      <c r="I31" s="31">
        <f>IF(OR($A31="",I$4=""),"",IFERROR(1/(1/SUMPRODUCT(MAX(('Checks'!$A$4:$A$503=$A31)*('Checks'!$B$4:$B$503=I$4)*'Checks'!$D$4:$D$503))),""))</f>
        <v/>
      </c>
      <c r="J31" s="31">
        <f>IF(OR($A31="",J$4=""),"",IFERROR(1/(1/SUMPRODUCT(MAX(('Checks'!$A$4:$A$503=$A31)*('Checks'!$B$4:$B$503=J$4)*'Checks'!$D$4:$D$503))),""))</f>
        <v/>
      </c>
      <c r="K31" s="31">
        <f>IF(OR($A31="",K$4=""),"",IFERROR(1/(1/SUMPRODUCT(MAX(('Checks'!$A$4:$A$503=$A31)*('Checks'!$B$4:$B$503=K$4)*'Checks'!$D$4:$D$503))),""))</f>
        <v/>
      </c>
    </row>
    <row r="32">
      <c r="A32" s="30" t="n"/>
      <c r="B32" s="31">
        <f>IF(OR($A32="",B$4=""),"",IFERROR(1/(1/SUMPRODUCT(MAX(('Checks'!$A$4:$A$503=$A32)*('Checks'!$B$4:$B$503=B$4)*'Checks'!$D$4:$D$503))),""))</f>
        <v/>
      </c>
      <c r="C32" s="31">
        <f>IF(OR($A32="",C$4=""),"",IFERROR(1/(1/SUMPRODUCT(MAX(('Checks'!$A$4:$A$503=$A32)*('Checks'!$B$4:$B$503=C$4)*'Checks'!$D$4:$D$503))),""))</f>
        <v/>
      </c>
      <c r="D32" s="31">
        <f>IF(OR($A32="",D$4=""),"",IFERROR(1/(1/SUMPRODUCT(MAX(('Checks'!$A$4:$A$503=$A32)*('Checks'!$B$4:$B$503=D$4)*'Checks'!$D$4:$D$503))),""))</f>
        <v/>
      </c>
      <c r="E32" s="31">
        <f>IF(OR($A32="",E$4=""),"",IFERROR(1/(1/SUMPRODUCT(MAX(('Checks'!$A$4:$A$503=$A32)*('Checks'!$B$4:$B$503=E$4)*'Checks'!$D$4:$D$503))),""))</f>
        <v/>
      </c>
      <c r="F32" s="31">
        <f>IF(OR($A32="",F$4=""),"",IFERROR(1/(1/SUMPRODUCT(MAX(('Checks'!$A$4:$A$503=$A32)*('Checks'!$B$4:$B$503=F$4)*'Checks'!$D$4:$D$503))),""))</f>
        <v/>
      </c>
      <c r="G32" s="31">
        <f>IF(OR($A32="",G$4=""),"",IFERROR(1/(1/SUMPRODUCT(MAX(('Checks'!$A$4:$A$503=$A32)*('Checks'!$B$4:$B$503=G$4)*'Checks'!$D$4:$D$503))),""))</f>
        <v/>
      </c>
      <c r="H32" s="31">
        <f>IF(OR($A32="",H$4=""),"",IFERROR(1/(1/SUMPRODUCT(MAX(('Checks'!$A$4:$A$503=$A32)*('Checks'!$B$4:$B$503=H$4)*'Checks'!$D$4:$D$503))),""))</f>
        <v/>
      </c>
      <c r="I32" s="31">
        <f>IF(OR($A32="",I$4=""),"",IFERROR(1/(1/SUMPRODUCT(MAX(('Checks'!$A$4:$A$503=$A32)*('Checks'!$B$4:$B$503=I$4)*'Checks'!$D$4:$D$503))),""))</f>
        <v/>
      </c>
      <c r="J32" s="31">
        <f>IF(OR($A32="",J$4=""),"",IFERROR(1/(1/SUMPRODUCT(MAX(('Checks'!$A$4:$A$503=$A32)*('Checks'!$B$4:$B$503=J$4)*'Checks'!$D$4:$D$503))),""))</f>
        <v/>
      </c>
      <c r="K32" s="31">
        <f>IF(OR($A32="",K$4=""),"",IFERROR(1/(1/SUMPRODUCT(MAX(('Checks'!$A$4:$A$503=$A32)*('Checks'!$B$4:$B$503=K$4)*'Checks'!$D$4:$D$503))),""))</f>
        <v/>
      </c>
    </row>
    <row r="33">
      <c r="A33" s="30" t="n"/>
      <c r="B33" s="31">
        <f>IF(OR($A33="",B$4=""),"",IFERROR(1/(1/SUMPRODUCT(MAX(('Checks'!$A$4:$A$503=$A33)*('Checks'!$B$4:$B$503=B$4)*'Checks'!$D$4:$D$503))),""))</f>
        <v/>
      </c>
      <c r="C33" s="31">
        <f>IF(OR($A33="",C$4=""),"",IFERROR(1/(1/SUMPRODUCT(MAX(('Checks'!$A$4:$A$503=$A33)*('Checks'!$B$4:$B$503=C$4)*'Checks'!$D$4:$D$503))),""))</f>
        <v/>
      </c>
      <c r="D33" s="31">
        <f>IF(OR($A33="",D$4=""),"",IFERROR(1/(1/SUMPRODUCT(MAX(('Checks'!$A$4:$A$503=$A33)*('Checks'!$B$4:$B$503=D$4)*'Checks'!$D$4:$D$503))),""))</f>
        <v/>
      </c>
      <c r="E33" s="31">
        <f>IF(OR($A33="",E$4=""),"",IFERROR(1/(1/SUMPRODUCT(MAX(('Checks'!$A$4:$A$503=$A33)*('Checks'!$B$4:$B$503=E$4)*'Checks'!$D$4:$D$503))),""))</f>
        <v/>
      </c>
      <c r="F33" s="31">
        <f>IF(OR($A33="",F$4=""),"",IFERROR(1/(1/SUMPRODUCT(MAX(('Checks'!$A$4:$A$503=$A33)*('Checks'!$B$4:$B$503=F$4)*'Checks'!$D$4:$D$503))),""))</f>
        <v/>
      </c>
      <c r="G33" s="31">
        <f>IF(OR($A33="",G$4=""),"",IFERROR(1/(1/SUMPRODUCT(MAX(('Checks'!$A$4:$A$503=$A33)*('Checks'!$B$4:$B$503=G$4)*'Checks'!$D$4:$D$503))),""))</f>
        <v/>
      </c>
      <c r="H33" s="31">
        <f>IF(OR($A33="",H$4=""),"",IFERROR(1/(1/SUMPRODUCT(MAX(('Checks'!$A$4:$A$503=$A33)*('Checks'!$B$4:$B$503=H$4)*'Checks'!$D$4:$D$503))),""))</f>
        <v/>
      </c>
      <c r="I33" s="31">
        <f>IF(OR($A33="",I$4=""),"",IFERROR(1/(1/SUMPRODUCT(MAX(('Checks'!$A$4:$A$503=$A33)*('Checks'!$B$4:$B$503=I$4)*'Checks'!$D$4:$D$503))),""))</f>
        <v/>
      </c>
      <c r="J33" s="31">
        <f>IF(OR($A33="",J$4=""),"",IFERROR(1/(1/SUMPRODUCT(MAX(('Checks'!$A$4:$A$503=$A33)*('Checks'!$B$4:$B$503=J$4)*'Checks'!$D$4:$D$503))),""))</f>
        <v/>
      </c>
      <c r="K33" s="31">
        <f>IF(OR($A33="",K$4=""),"",IFERROR(1/(1/SUMPRODUCT(MAX(('Checks'!$A$4:$A$503=$A33)*('Checks'!$B$4:$B$503=K$4)*'Checks'!$D$4:$D$503))),""))</f>
        <v/>
      </c>
    </row>
    <row r="34">
      <c r="A34" s="30" t="n"/>
      <c r="B34" s="31">
        <f>IF(OR($A34="",B$4=""),"",IFERROR(1/(1/SUMPRODUCT(MAX(('Checks'!$A$4:$A$503=$A34)*('Checks'!$B$4:$B$503=B$4)*'Checks'!$D$4:$D$503))),""))</f>
        <v/>
      </c>
      <c r="C34" s="31">
        <f>IF(OR($A34="",C$4=""),"",IFERROR(1/(1/SUMPRODUCT(MAX(('Checks'!$A$4:$A$503=$A34)*('Checks'!$B$4:$B$503=C$4)*'Checks'!$D$4:$D$503))),""))</f>
        <v/>
      </c>
      <c r="D34" s="31">
        <f>IF(OR($A34="",D$4=""),"",IFERROR(1/(1/SUMPRODUCT(MAX(('Checks'!$A$4:$A$503=$A34)*('Checks'!$B$4:$B$503=D$4)*'Checks'!$D$4:$D$503))),""))</f>
        <v/>
      </c>
      <c r="E34" s="31">
        <f>IF(OR($A34="",E$4=""),"",IFERROR(1/(1/SUMPRODUCT(MAX(('Checks'!$A$4:$A$503=$A34)*('Checks'!$B$4:$B$503=E$4)*'Checks'!$D$4:$D$503))),""))</f>
        <v/>
      </c>
      <c r="F34" s="31">
        <f>IF(OR($A34="",F$4=""),"",IFERROR(1/(1/SUMPRODUCT(MAX(('Checks'!$A$4:$A$503=$A34)*('Checks'!$B$4:$B$503=F$4)*'Checks'!$D$4:$D$503))),""))</f>
        <v/>
      </c>
      <c r="G34" s="31">
        <f>IF(OR($A34="",G$4=""),"",IFERROR(1/(1/SUMPRODUCT(MAX(('Checks'!$A$4:$A$503=$A34)*('Checks'!$B$4:$B$503=G$4)*'Checks'!$D$4:$D$503))),""))</f>
        <v/>
      </c>
      <c r="H34" s="31">
        <f>IF(OR($A34="",H$4=""),"",IFERROR(1/(1/SUMPRODUCT(MAX(('Checks'!$A$4:$A$503=$A34)*('Checks'!$B$4:$B$503=H$4)*'Checks'!$D$4:$D$503))),""))</f>
        <v/>
      </c>
      <c r="I34" s="31">
        <f>IF(OR($A34="",I$4=""),"",IFERROR(1/(1/SUMPRODUCT(MAX(('Checks'!$A$4:$A$503=$A34)*('Checks'!$B$4:$B$503=I$4)*'Checks'!$D$4:$D$503))),""))</f>
        <v/>
      </c>
      <c r="J34" s="31">
        <f>IF(OR($A34="",J$4=""),"",IFERROR(1/(1/SUMPRODUCT(MAX(('Checks'!$A$4:$A$503=$A34)*('Checks'!$B$4:$B$503=J$4)*'Checks'!$D$4:$D$503))),""))</f>
        <v/>
      </c>
      <c r="K34" s="31">
        <f>IF(OR($A34="",K$4=""),"",IFERROR(1/(1/SUMPRODUCT(MAX(('Checks'!$A$4:$A$503=$A34)*('Checks'!$B$4:$B$503=K$4)*'Checks'!$D$4:$D$503))),""))</f>
        <v/>
      </c>
    </row>
    <row r="35">
      <c r="A35" s="30" t="n"/>
      <c r="B35" s="31">
        <f>IF(OR($A35="",B$4=""),"",IFERROR(1/(1/SUMPRODUCT(MAX(('Checks'!$A$4:$A$503=$A35)*('Checks'!$B$4:$B$503=B$4)*'Checks'!$D$4:$D$503))),""))</f>
        <v/>
      </c>
      <c r="C35" s="31">
        <f>IF(OR($A35="",C$4=""),"",IFERROR(1/(1/SUMPRODUCT(MAX(('Checks'!$A$4:$A$503=$A35)*('Checks'!$B$4:$B$503=C$4)*'Checks'!$D$4:$D$503))),""))</f>
        <v/>
      </c>
      <c r="D35" s="31">
        <f>IF(OR($A35="",D$4=""),"",IFERROR(1/(1/SUMPRODUCT(MAX(('Checks'!$A$4:$A$503=$A35)*('Checks'!$B$4:$B$503=D$4)*'Checks'!$D$4:$D$503))),""))</f>
        <v/>
      </c>
      <c r="E35" s="31">
        <f>IF(OR($A35="",E$4=""),"",IFERROR(1/(1/SUMPRODUCT(MAX(('Checks'!$A$4:$A$503=$A35)*('Checks'!$B$4:$B$503=E$4)*'Checks'!$D$4:$D$503))),""))</f>
        <v/>
      </c>
      <c r="F35" s="31">
        <f>IF(OR($A35="",F$4=""),"",IFERROR(1/(1/SUMPRODUCT(MAX(('Checks'!$A$4:$A$503=$A35)*('Checks'!$B$4:$B$503=F$4)*'Checks'!$D$4:$D$503))),""))</f>
        <v/>
      </c>
      <c r="G35" s="31">
        <f>IF(OR($A35="",G$4=""),"",IFERROR(1/(1/SUMPRODUCT(MAX(('Checks'!$A$4:$A$503=$A35)*('Checks'!$B$4:$B$503=G$4)*'Checks'!$D$4:$D$503))),""))</f>
        <v/>
      </c>
      <c r="H35" s="31">
        <f>IF(OR($A35="",H$4=""),"",IFERROR(1/(1/SUMPRODUCT(MAX(('Checks'!$A$4:$A$503=$A35)*('Checks'!$B$4:$B$503=H$4)*'Checks'!$D$4:$D$503))),""))</f>
        <v/>
      </c>
      <c r="I35" s="31">
        <f>IF(OR($A35="",I$4=""),"",IFERROR(1/(1/SUMPRODUCT(MAX(('Checks'!$A$4:$A$503=$A35)*('Checks'!$B$4:$B$503=I$4)*'Checks'!$D$4:$D$503))),""))</f>
        <v/>
      </c>
      <c r="J35" s="31">
        <f>IF(OR($A35="",J$4=""),"",IFERROR(1/(1/SUMPRODUCT(MAX(('Checks'!$A$4:$A$503=$A35)*('Checks'!$B$4:$B$503=J$4)*'Checks'!$D$4:$D$503))),""))</f>
        <v/>
      </c>
      <c r="K35" s="31">
        <f>IF(OR($A35="",K$4=""),"",IFERROR(1/(1/SUMPRODUCT(MAX(('Checks'!$A$4:$A$503=$A35)*('Checks'!$B$4:$B$503=K$4)*'Checks'!$D$4:$D$503))),""))</f>
        <v/>
      </c>
    </row>
    <row r="36">
      <c r="A36" s="30" t="n"/>
      <c r="B36" s="31">
        <f>IF(OR($A36="",B$4=""),"",IFERROR(1/(1/SUMPRODUCT(MAX(('Checks'!$A$4:$A$503=$A36)*('Checks'!$B$4:$B$503=B$4)*'Checks'!$D$4:$D$503))),""))</f>
        <v/>
      </c>
      <c r="C36" s="31">
        <f>IF(OR($A36="",C$4=""),"",IFERROR(1/(1/SUMPRODUCT(MAX(('Checks'!$A$4:$A$503=$A36)*('Checks'!$B$4:$B$503=C$4)*'Checks'!$D$4:$D$503))),""))</f>
        <v/>
      </c>
      <c r="D36" s="31">
        <f>IF(OR($A36="",D$4=""),"",IFERROR(1/(1/SUMPRODUCT(MAX(('Checks'!$A$4:$A$503=$A36)*('Checks'!$B$4:$B$503=D$4)*'Checks'!$D$4:$D$503))),""))</f>
        <v/>
      </c>
      <c r="E36" s="31">
        <f>IF(OR($A36="",E$4=""),"",IFERROR(1/(1/SUMPRODUCT(MAX(('Checks'!$A$4:$A$503=$A36)*('Checks'!$B$4:$B$503=E$4)*'Checks'!$D$4:$D$503))),""))</f>
        <v/>
      </c>
      <c r="F36" s="31">
        <f>IF(OR($A36="",F$4=""),"",IFERROR(1/(1/SUMPRODUCT(MAX(('Checks'!$A$4:$A$503=$A36)*('Checks'!$B$4:$B$503=F$4)*'Checks'!$D$4:$D$503))),""))</f>
        <v/>
      </c>
      <c r="G36" s="31">
        <f>IF(OR($A36="",G$4=""),"",IFERROR(1/(1/SUMPRODUCT(MAX(('Checks'!$A$4:$A$503=$A36)*('Checks'!$B$4:$B$503=G$4)*'Checks'!$D$4:$D$503))),""))</f>
        <v/>
      </c>
      <c r="H36" s="31">
        <f>IF(OR($A36="",H$4=""),"",IFERROR(1/(1/SUMPRODUCT(MAX(('Checks'!$A$4:$A$503=$A36)*('Checks'!$B$4:$B$503=H$4)*'Checks'!$D$4:$D$503))),""))</f>
        <v/>
      </c>
      <c r="I36" s="31">
        <f>IF(OR($A36="",I$4=""),"",IFERROR(1/(1/SUMPRODUCT(MAX(('Checks'!$A$4:$A$503=$A36)*('Checks'!$B$4:$B$503=I$4)*'Checks'!$D$4:$D$503))),""))</f>
        <v/>
      </c>
      <c r="J36" s="31">
        <f>IF(OR($A36="",J$4=""),"",IFERROR(1/(1/SUMPRODUCT(MAX(('Checks'!$A$4:$A$503=$A36)*('Checks'!$B$4:$B$503=J$4)*'Checks'!$D$4:$D$503))),""))</f>
        <v/>
      </c>
      <c r="K36" s="31">
        <f>IF(OR($A36="",K$4=""),"",IFERROR(1/(1/SUMPRODUCT(MAX(('Checks'!$A$4:$A$503=$A36)*('Checks'!$B$4:$B$503=K$4)*'Checks'!$D$4:$D$503))),""))</f>
        <v/>
      </c>
    </row>
    <row r="37">
      <c r="A37" s="30" t="n"/>
      <c r="B37" s="31">
        <f>IF(OR($A37="",B$4=""),"",IFERROR(1/(1/SUMPRODUCT(MAX(('Checks'!$A$4:$A$503=$A37)*('Checks'!$B$4:$B$503=B$4)*'Checks'!$D$4:$D$503))),""))</f>
        <v/>
      </c>
      <c r="C37" s="31">
        <f>IF(OR($A37="",C$4=""),"",IFERROR(1/(1/SUMPRODUCT(MAX(('Checks'!$A$4:$A$503=$A37)*('Checks'!$B$4:$B$503=C$4)*'Checks'!$D$4:$D$503))),""))</f>
        <v/>
      </c>
      <c r="D37" s="31">
        <f>IF(OR($A37="",D$4=""),"",IFERROR(1/(1/SUMPRODUCT(MAX(('Checks'!$A$4:$A$503=$A37)*('Checks'!$B$4:$B$503=D$4)*'Checks'!$D$4:$D$503))),""))</f>
        <v/>
      </c>
      <c r="E37" s="31">
        <f>IF(OR($A37="",E$4=""),"",IFERROR(1/(1/SUMPRODUCT(MAX(('Checks'!$A$4:$A$503=$A37)*('Checks'!$B$4:$B$503=E$4)*'Checks'!$D$4:$D$503))),""))</f>
        <v/>
      </c>
      <c r="F37" s="31">
        <f>IF(OR($A37="",F$4=""),"",IFERROR(1/(1/SUMPRODUCT(MAX(('Checks'!$A$4:$A$503=$A37)*('Checks'!$B$4:$B$503=F$4)*'Checks'!$D$4:$D$503))),""))</f>
        <v/>
      </c>
      <c r="G37" s="31">
        <f>IF(OR($A37="",G$4=""),"",IFERROR(1/(1/SUMPRODUCT(MAX(('Checks'!$A$4:$A$503=$A37)*('Checks'!$B$4:$B$503=G$4)*'Checks'!$D$4:$D$503))),""))</f>
        <v/>
      </c>
      <c r="H37" s="31">
        <f>IF(OR($A37="",H$4=""),"",IFERROR(1/(1/SUMPRODUCT(MAX(('Checks'!$A$4:$A$503=$A37)*('Checks'!$B$4:$B$503=H$4)*'Checks'!$D$4:$D$503))),""))</f>
        <v/>
      </c>
      <c r="I37" s="31">
        <f>IF(OR($A37="",I$4=""),"",IFERROR(1/(1/SUMPRODUCT(MAX(('Checks'!$A$4:$A$503=$A37)*('Checks'!$B$4:$B$503=I$4)*'Checks'!$D$4:$D$503))),""))</f>
        <v/>
      </c>
      <c r="J37" s="31">
        <f>IF(OR($A37="",J$4=""),"",IFERROR(1/(1/SUMPRODUCT(MAX(('Checks'!$A$4:$A$503=$A37)*('Checks'!$B$4:$B$503=J$4)*'Checks'!$D$4:$D$503))),""))</f>
        <v/>
      </c>
      <c r="K37" s="31">
        <f>IF(OR($A37="",K$4=""),"",IFERROR(1/(1/SUMPRODUCT(MAX(('Checks'!$A$4:$A$503=$A37)*('Checks'!$B$4:$B$503=K$4)*'Checks'!$D$4:$D$503))),""))</f>
        <v/>
      </c>
    </row>
    <row r="38">
      <c r="A38" s="30" t="n"/>
      <c r="B38" s="31">
        <f>IF(OR($A38="",B$4=""),"",IFERROR(1/(1/SUMPRODUCT(MAX(('Checks'!$A$4:$A$503=$A38)*('Checks'!$B$4:$B$503=B$4)*'Checks'!$D$4:$D$503))),""))</f>
        <v/>
      </c>
      <c r="C38" s="31">
        <f>IF(OR($A38="",C$4=""),"",IFERROR(1/(1/SUMPRODUCT(MAX(('Checks'!$A$4:$A$503=$A38)*('Checks'!$B$4:$B$503=C$4)*'Checks'!$D$4:$D$503))),""))</f>
        <v/>
      </c>
      <c r="D38" s="31">
        <f>IF(OR($A38="",D$4=""),"",IFERROR(1/(1/SUMPRODUCT(MAX(('Checks'!$A$4:$A$503=$A38)*('Checks'!$B$4:$B$503=D$4)*'Checks'!$D$4:$D$503))),""))</f>
        <v/>
      </c>
      <c r="E38" s="31">
        <f>IF(OR($A38="",E$4=""),"",IFERROR(1/(1/SUMPRODUCT(MAX(('Checks'!$A$4:$A$503=$A38)*('Checks'!$B$4:$B$503=E$4)*'Checks'!$D$4:$D$503))),""))</f>
        <v/>
      </c>
      <c r="F38" s="31">
        <f>IF(OR($A38="",F$4=""),"",IFERROR(1/(1/SUMPRODUCT(MAX(('Checks'!$A$4:$A$503=$A38)*('Checks'!$B$4:$B$503=F$4)*'Checks'!$D$4:$D$503))),""))</f>
        <v/>
      </c>
      <c r="G38" s="31">
        <f>IF(OR($A38="",G$4=""),"",IFERROR(1/(1/SUMPRODUCT(MAX(('Checks'!$A$4:$A$503=$A38)*('Checks'!$B$4:$B$503=G$4)*'Checks'!$D$4:$D$503))),""))</f>
        <v/>
      </c>
      <c r="H38" s="31">
        <f>IF(OR($A38="",H$4=""),"",IFERROR(1/(1/SUMPRODUCT(MAX(('Checks'!$A$4:$A$503=$A38)*('Checks'!$B$4:$B$503=H$4)*'Checks'!$D$4:$D$503))),""))</f>
        <v/>
      </c>
      <c r="I38" s="31">
        <f>IF(OR($A38="",I$4=""),"",IFERROR(1/(1/SUMPRODUCT(MAX(('Checks'!$A$4:$A$503=$A38)*('Checks'!$B$4:$B$503=I$4)*'Checks'!$D$4:$D$503))),""))</f>
        <v/>
      </c>
      <c r="J38" s="31">
        <f>IF(OR($A38="",J$4=""),"",IFERROR(1/(1/SUMPRODUCT(MAX(('Checks'!$A$4:$A$503=$A38)*('Checks'!$B$4:$B$503=J$4)*'Checks'!$D$4:$D$503))),""))</f>
        <v/>
      </c>
      <c r="K38" s="31">
        <f>IF(OR($A38="",K$4=""),"",IFERROR(1/(1/SUMPRODUCT(MAX(('Checks'!$A$4:$A$503=$A38)*('Checks'!$B$4:$B$503=K$4)*'Checks'!$D$4:$D$503))),""))</f>
        <v/>
      </c>
    </row>
    <row r="39">
      <c r="A39" s="30" t="n"/>
      <c r="B39" s="31">
        <f>IF(OR($A39="",B$4=""),"",IFERROR(1/(1/SUMPRODUCT(MAX(('Checks'!$A$4:$A$503=$A39)*('Checks'!$B$4:$B$503=B$4)*'Checks'!$D$4:$D$503))),""))</f>
        <v/>
      </c>
      <c r="C39" s="31">
        <f>IF(OR($A39="",C$4=""),"",IFERROR(1/(1/SUMPRODUCT(MAX(('Checks'!$A$4:$A$503=$A39)*('Checks'!$B$4:$B$503=C$4)*'Checks'!$D$4:$D$503))),""))</f>
        <v/>
      </c>
      <c r="D39" s="31">
        <f>IF(OR($A39="",D$4=""),"",IFERROR(1/(1/SUMPRODUCT(MAX(('Checks'!$A$4:$A$503=$A39)*('Checks'!$B$4:$B$503=D$4)*'Checks'!$D$4:$D$503))),""))</f>
        <v/>
      </c>
      <c r="E39" s="31">
        <f>IF(OR($A39="",E$4=""),"",IFERROR(1/(1/SUMPRODUCT(MAX(('Checks'!$A$4:$A$503=$A39)*('Checks'!$B$4:$B$503=E$4)*'Checks'!$D$4:$D$503))),""))</f>
        <v/>
      </c>
      <c r="F39" s="31">
        <f>IF(OR($A39="",F$4=""),"",IFERROR(1/(1/SUMPRODUCT(MAX(('Checks'!$A$4:$A$503=$A39)*('Checks'!$B$4:$B$503=F$4)*'Checks'!$D$4:$D$503))),""))</f>
        <v/>
      </c>
      <c r="G39" s="31">
        <f>IF(OR($A39="",G$4=""),"",IFERROR(1/(1/SUMPRODUCT(MAX(('Checks'!$A$4:$A$503=$A39)*('Checks'!$B$4:$B$503=G$4)*'Checks'!$D$4:$D$503))),""))</f>
        <v/>
      </c>
      <c r="H39" s="31">
        <f>IF(OR($A39="",H$4=""),"",IFERROR(1/(1/SUMPRODUCT(MAX(('Checks'!$A$4:$A$503=$A39)*('Checks'!$B$4:$B$503=H$4)*'Checks'!$D$4:$D$503))),""))</f>
        <v/>
      </c>
      <c r="I39" s="31">
        <f>IF(OR($A39="",I$4=""),"",IFERROR(1/(1/SUMPRODUCT(MAX(('Checks'!$A$4:$A$503=$A39)*('Checks'!$B$4:$B$503=I$4)*'Checks'!$D$4:$D$503))),""))</f>
        <v/>
      </c>
      <c r="J39" s="31">
        <f>IF(OR($A39="",J$4=""),"",IFERROR(1/(1/SUMPRODUCT(MAX(('Checks'!$A$4:$A$503=$A39)*('Checks'!$B$4:$B$503=J$4)*'Checks'!$D$4:$D$503))),""))</f>
        <v/>
      </c>
      <c r="K39" s="31">
        <f>IF(OR($A39="",K$4=""),"",IFERROR(1/(1/SUMPRODUCT(MAX(('Checks'!$A$4:$A$503=$A39)*('Checks'!$B$4:$B$503=K$4)*'Checks'!$D$4:$D$503))),""))</f>
        <v/>
      </c>
    </row>
    <row r="40">
      <c r="A40" s="30" t="n"/>
      <c r="B40" s="31">
        <f>IF(OR($A40="",B$4=""),"",IFERROR(1/(1/SUMPRODUCT(MAX(('Checks'!$A$4:$A$503=$A40)*('Checks'!$B$4:$B$503=B$4)*'Checks'!$D$4:$D$503))),""))</f>
        <v/>
      </c>
      <c r="C40" s="31">
        <f>IF(OR($A40="",C$4=""),"",IFERROR(1/(1/SUMPRODUCT(MAX(('Checks'!$A$4:$A$503=$A40)*('Checks'!$B$4:$B$503=C$4)*'Checks'!$D$4:$D$503))),""))</f>
        <v/>
      </c>
      <c r="D40" s="31">
        <f>IF(OR($A40="",D$4=""),"",IFERROR(1/(1/SUMPRODUCT(MAX(('Checks'!$A$4:$A$503=$A40)*('Checks'!$B$4:$B$503=D$4)*'Checks'!$D$4:$D$503))),""))</f>
        <v/>
      </c>
      <c r="E40" s="31">
        <f>IF(OR($A40="",E$4=""),"",IFERROR(1/(1/SUMPRODUCT(MAX(('Checks'!$A$4:$A$503=$A40)*('Checks'!$B$4:$B$503=E$4)*'Checks'!$D$4:$D$503))),""))</f>
        <v/>
      </c>
      <c r="F40" s="31">
        <f>IF(OR($A40="",F$4=""),"",IFERROR(1/(1/SUMPRODUCT(MAX(('Checks'!$A$4:$A$503=$A40)*('Checks'!$B$4:$B$503=F$4)*'Checks'!$D$4:$D$503))),""))</f>
        <v/>
      </c>
      <c r="G40" s="31">
        <f>IF(OR($A40="",G$4=""),"",IFERROR(1/(1/SUMPRODUCT(MAX(('Checks'!$A$4:$A$503=$A40)*('Checks'!$B$4:$B$503=G$4)*'Checks'!$D$4:$D$503))),""))</f>
        <v/>
      </c>
      <c r="H40" s="31">
        <f>IF(OR($A40="",H$4=""),"",IFERROR(1/(1/SUMPRODUCT(MAX(('Checks'!$A$4:$A$503=$A40)*('Checks'!$B$4:$B$503=H$4)*'Checks'!$D$4:$D$503))),""))</f>
        <v/>
      </c>
      <c r="I40" s="31">
        <f>IF(OR($A40="",I$4=""),"",IFERROR(1/(1/SUMPRODUCT(MAX(('Checks'!$A$4:$A$503=$A40)*('Checks'!$B$4:$B$503=I$4)*'Checks'!$D$4:$D$503))),""))</f>
        <v/>
      </c>
      <c r="J40" s="31">
        <f>IF(OR($A40="",J$4=""),"",IFERROR(1/(1/SUMPRODUCT(MAX(('Checks'!$A$4:$A$503=$A40)*('Checks'!$B$4:$B$503=J$4)*'Checks'!$D$4:$D$503))),""))</f>
        <v/>
      </c>
      <c r="K40" s="31">
        <f>IF(OR($A40="",K$4=""),"",IFERROR(1/(1/SUMPRODUCT(MAX(('Checks'!$A$4:$A$503=$A40)*('Checks'!$B$4:$B$503=K$4)*'Checks'!$D$4:$D$503))),""))</f>
        <v/>
      </c>
    </row>
    <row r="41">
      <c r="A41" s="30" t="n"/>
      <c r="B41" s="31">
        <f>IF(OR($A41="",B$4=""),"",IFERROR(1/(1/SUMPRODUCT(MAX(('Checks'!$A$4:$A$503=$A41)*('Checks'!$B$4:$B$503=B$4)*'Checks'!$D$4:$D$503))),""))</f>
        <v/>
      </c>
      <c r="C41" s="31">
        <f>IF(OR($A41="",C$4=""),"",IFERROR(1/(1/SUMPRODUCT(MAX(('Checks'!$A$4:$A$503=$A41)*('Checks'!$B$4:$B$503=C$4)*'Checks'!$D$4:$D$503))),""))</f>
        <v/>
      </c>
      <c r="D41" s="31">
        <f>IF(OR($A41="",D$4=""),"",IFERROR(1/(1/SUMPRODUCT(MAX(('Checks'!$A$4:$A$503=$A41)*('Checks'!$B$4:$B$503=D$4)*'Checks'!$D$4:$D$503))),""))</f>
        <v/>
      </c>
      <c r="E41" s="31">
        <f>IF(OR($A41="",E$4=""),"",IFERROR(1/(1/SUMPRODUCT(MAX(('Checks'!$A$4:$A$503=$A41)*('Checks'!$B$4:$B$503=E$4)*'Checks'!$D$4:$D$503))),""))</f>
        <v/>
      </c>
      <c r="F41" s="31">
        <f>IF(OR($A41="",F$4=""),"",IFERROR(1/(1/SUMPRODUCT(MAX(('Checks'!$A$4:$A$503=$A41)*('Checks'!$B$4:$B$503=F$4)*'Checks'!$D$4:$D$503))),""))</f>
        <v/>
      </c>
      <c r="G41" s="31">
        <f>IF(OR($A41="",G$4=""),"",IFERROR(1/(1/SUMPRODUCT(MAX(('Checks'!$A$4:$A$503=$A41)*('Checks'!$B$4:$B$503=G$4)*'Checks'!$D$4:$D$503))),""))</f>
        <v/>
      </c>
      <c r="H41" s="31">
        <f>IF(OR($A41="",H$4=""),"",IFERROR(1/(1/SUMPRODUCT(MAX(('Checks'!$A$4:$A$503=$A41)*('Checks'!$B$4:$B$503=H$4)*'Checks'!$D$4:$D$503))),""))</f>
        <v/>
      </c>
      <c r="I41" s="31">
        <f>IF(OR($A41="",I$4=""),"",IFERROR(1/(1/SUMPRODUCT(MAX(('Checks'!$A$4:$A$503=$A41)*('Checks'!$B$4:$B$503=I$4)*'Checks'!$D$4:$D$503))),""))</f>
        <v/>
      </c>
      <c r="J41" s="31">
        <f>IF(OR($A41="",J$4=""),"",IFERROR(1/(1/SUMPRODUCT(MAX(('Checks'!$A$4:$A$503=$A41)*('Checks'!$B$4:$B$503=J$4)*'Checks'!$D$4:$D$503))),""))</f>
        <v/>
      </c>
      <c r="K41" s="31">
        <f>IF(OR($A41="",K$4=""),"",IFERROR(1/(1/SUMPRODUCT(MAX(('Checks'!$A$4:$A$503=$A41)*('Checks'!$B$4:$B$503=K$4)*'Checks'!$D$4:$D$503))),""))</f>
        <v/>
      </c>
    </row>
    <row r="42">
      <c r="A42" s="30" t="n"/>
      <c r="B42" s="31">
        <f>IF(OR($A42="",B$4=""),"",IFERROR(1/(1/SUMPRODUCT(MAX(('Checks'!$A$4:$A$503=$A42)*('Checks'!$B$4:$B$503=B$4)*'Checks'!$D$4:$D$503))),""))</f>
        <v/>
      </c>
      <c r="C42" s="31">
        <f>IF(OR($A42="",C$4=""),"",IFERROR(1/(1/SUMPRODUCT(MAX(('Checks'!$A$4:$A$503=$A42)*('Checks'!$B$4:$B$503=C$4)*'Checks'!$D$4:$D$503))),""))</f>
        <v/>
      </c>
      <c r="D42" s="31">
        <f>IF(OR($A42="",D$4=""),"",IFERROR(1/(1/SUMPRODUCT(MAX(('Checks'!$A$4:$A$503=$A42)*('Checks'!$B$4:$B$503=D$4)*'Checks'!$D$4:$D$503))),""))</f>
        <v/>
      </c>
      <c r="E42" s="31">
        <f>IF(OR($A42="",E$4=""),"",IFERROR(1/(1/SUMPRODUCT(MAX(('Checks'!$A$4:$A$503=$A42)*('Checks'!$B$4:$B$503=E$4)*'Checks'!$D$4:$D$503))),""))</f>
        <v/>
      </c>
      <c r="F42" s="31">
        <f>IF(OR($A42="",F$4=""),"",IFERROR(1/(1/SUMPRODUCT(MAX(('Checks'!$A$4:$A$503=$A42)*('Checks'!$B$4:$B$503=F$4)*'Checks'!$D$4:$D$503))),""))</f>
        <v/>
      </c>
      <c r="G42" s="31">
        <f>IF(OR($A42="",G$4=""),"",IFERROR(1/(1/SUMPRODUCT(MAX(('Checks'!$A$4:$A$503=$A42)*('Checks'!$B$4:$B$503=G$4)*'Checks'!$D$4:$D$503))),""))</f>
        <v/>
      </c>
      <c r="H42" s="31">
        <f>IF(OR($A42="",H$4=""),"",IFERROR(1/(1/SUMPRODUCT(MAX(('Checks'!$A$4:$A$503=$A42)*('Checks'!$B$4:$B$503=H$4)*'Checks'!$D$4:$D$503))),""))</f>
        <v/>
      </c>
      <c r="I42" s="31">
        <f>IF(OR($A42="",I$4=""),"",IFERROR(1/(1/SUMPRODUCT(MAX(('Checks'!$A$4:$A$503=$A42)*('Checks'!$B$4:$B$503=I$4)*'Checks'!$D$4:$D$503))),""))</f>
        <v/>
      </c>
      <c r="J42" s="31">
        <f>IF(OR($A42="",J$4=""),"",IFERROR(1/(1/SUMPRODUCT(MAX(('Checks'!$A$4:$A$503=$A42)*('Checks'!$B$4:$B$503=J$4)*'Checks'!$D$4:$D$503))),""))</f>
        <v/>
      </c>
      <c r="K42" s="31">
        <f>IF(OR($A42="",K$4=""),"",IFERROR(1/(1/SUMPRODUCT(MAX(('Checks'!$A$4:$A$503=$A42)*('Checks'!$B$4:$B$503=K$4)*'Checks'!$D$4:$D$503))),""))</f>
        <v/>
      </c>
    </row>
    <row r="43">
      <c r="A43" s="30" t="n"/>
      <c r="B43" s="31">
        <f>IF(OR($A43="",B$4=""),"",IFERROR(1/(1/SUMPRODUCT(MAX(('Checks'!$A$4:$A$503=$A43)*('Checks'!$B$4:$B$503=B$4)*'Checks'!$D$4:$D$503))),""))</f>
        <v/>
      </c>
      <c r="C43" s="31">
        <f>IF(OR($A43="",C$4=""),"",IFERROR(1/(1/SUMPRODUCT(MAX(('Checks'!$A$4:$A$503=$A43)*('Checks'!$B$4:$B$503=C$4)*'Checks'!$D$4:$D$503))),""))</f>
        <v/>
      </c>
      <c r="D43" s="31">
        <f>IF(OR($A43="",D$4=""),"",IFERROR(1/(1/SUMPRODUCT(MAX(('Checks'!$A$4:$A$503=$A43)*('Checks'!$B$4:$B$503=D$4)*'Checks'!$D$4:$D$503))),""))</f>
        <v/>
      </c>
      <c r="E43" s="31">
        <f>IF(OR($A43="",E$4=""),"",IFERROR(1/(1/SUMPRODUCT(MAX(('Checks'!$A$4:$A$503=$A43)*('Checks'!$B$4:$B$503=E$4)*'Checks'!$D$4:$D$503))),""))</f>
        <v/>
      </c>
      <c r="F43" s="31">
        <f>IF(OR($A43="",F$4=""),"",IFERROR(1/(1/SUMPRODUCT(MAX(('Checks'!$A$4:$A$503=$A43)*('Checks'!$B$4:$B$503=F$4)*'Checks'!$D$4:$D$503))),""))</f>
        <v/>
      </c>
      <c r="G43" s="31">
        <f>IF(OR($A43="",G$4=""),"",IFERROR(1/(1/SUMPRODUCT(MAX(('Checks'!$A$4:$A$503=$A43)*('Checks'!$B$4:$B$503=G$4)*'Checks'!$D$4:$D$503))),""))</f>
        <v/>
      </c>
      <c r="H43" s="31">
        <f>IF(OR($A43="",H$4=""),"",IFERROR(1/(1/SUMPRODUCT(MAX(('Checks'!$A$4:$A$503=$A43)*('Checks'!$B$4:$B$503=H$4)*'Checks'!$D$4:$D$503))),""))</f>
        <v/>
      </c>
      <c r="I43" s="31">
        <f>IF(OR($A43="",I$4=""),"",IFERROR(1/(1/SUMPRODUCT(MAX(('Checks'!$A$4:$A$503=$A43)*('Checks'!$B$4:$B$503=I$4)*'Checks'!$D$4:$D$503))),""))</f>
        <v/>
      </c>
      <c r="J43" s="31">
        <f>IF(OR($A43="",J$4=""),"",IFERROR(1/(1/SUMPRODUCT(MAX(('Checks'!$A$4:$A$503=$A43)*('Checks'!$B$4:$B$503=J$4)*'Checks'!$D$4:$D$503))),""))</f>
        <v/>
      </c>
      <c r="K43" s="31">
        <f>IF(OR($A43="",K$4=""),"",IFERROR(1/(1/SUMPRODUCT(MAX(('Checks'!$A$4:$A$503=$A43)*('Checks'!$B$4:$B$503=K$4)*'Checks'!$D$4:$D$503))),""))</f>
        <v/>
      </c>
    </row>
    <row r="44">
      <c r="A44" s="30" t="n"/>
      <c r="B44" s="31">
        <f>IF(OR($A44="",B$4=""),"",IFERROR(1/(1/SUMPRODUCT(MAX(('Checks'!$A$4:$A$503=$A44)*('Checks'!$B$4:$B$503=B$4)*'Checks'!$D$4:$D$503))),""))</f>
        <v/>
      </c>
      <c r="C44" s="31">
        <f>IF(OR($A44="",C$4=""),"",IFERROR(1/(1/SUMPRODUCT(MAX(('Checks'!$A$4:$A$503=$A44)*('Checks'!$B$4:$B$503=C$4)*'Checks'!$D$4:$D$503))),""))</f>
        <v/>
      </c>
      <c r="D44" s="31">
        <f>IF(OR($A44="",D$4=""),"",IFERROR(1/(1/SUMPRODUCT(MAX(('Checks'!$A$4:$A$503=$A44)*('Checks'!$B$4:$B$503=D$4)*'Checks'!$D$4:$D$503))),""))</f>
        <v/>
      </c>
      <c r="E44" s="31">
        <f>IF(OR($A44="",E$4=""),"",IFERROR(1/(1/SUMPRODUCT(MAX(('Checks'!$A$4:$A$503=$A44)*('Checks'!$B$4:$B$503=E$4)*'Checks'!$D$4:$D$503))),""))</f>
        <v/>
      </c>
      <c r="F44" s="31">
        <f>IF(OR($A44="",F$4=""),"",IFERROR(1/(1/SUMPRODUCT(MAX(('Checks'!$A$4:$A$503=$A44)*('Checks'!$B$4:$B$503=F$4)*'Checks'!$D$4:$D$503))),""))</f>
        <v/>
      </c>
      <c r="G44" s="31">
        <f>IF(OR($A44="",G$4=""),"",IFERROR(1/(1/SUMPRODUCT(MAX(('Checks'!$A$4:$A$503=$A44)*('Checks'!$B$4:$B$503=G$4)*'Checks'!$D$4:$D$503))),""))</f>
        <v/>
      </c>
      <c r="H44" s="31">
        <f>IF(OR($A44="",H$4=""),"",IFERROR(1/(1/SUMPRODUCT(MAX(('Checks'!$A$4:$A$503=$A44)*('Checks'!$B$4:$B$503=H$4)*'Checks'!$D$4:$D$503))),""))</f>
        <v/>
      </c>
      <c r="I44" s="31">
        <f>IF(OR($A44="",I$4=""),"",IFERROR(1/(1/SUMPRODUCT(MAX(('Checks'!$A$4:$A$503=$A44)*('Checks'!$B$4:$B$503=I$4)*'Checks'!$D$4:$D$503))),""))</f>
        <v/>
      </c>
      <c r="J44" s="31">
        <f>IF(OR($A44="",J$4=""),"",IFERROR(1/(1/SUMPRODUCT(MAX(('Checks'!$A$4:$A$503=$A44)*('Checks'!$B$4:$B$503=J$4)*'Checks'!$D$4:$D$503))),""))</f>
        <v/>
      </c>
      <c r="K44" s="31">
        <f>IF(OR($A44="",K$4=""),"",IFERROR(1/(1/SUMPRODUCT(MAX(('Checks'!$A$4:$A$503=$A44)*('Checks'!$B$4:$B$503=K$4)*'Checks'!$D$4:$D$503))),""))</f>
        <v/>
      </c>
    </row>
    <row r="45">
      <c r="A45" s="30" t="n"/>
      <c r="B45" s="31">
        <f>IF(OR($A45="",B$4=""),"",IFERROR(1/(1/SUMPRODUCT(MAX(('Checks'!$A$4:$A$503=$A45)*('Checks'!$B$4:$B$503=B$4)*'Checks'!$D$4:$D$503))),""))</f>
        <v/>
      </c>
      <c r="C45" s="31">
        <f>IF(OR($A45="",C$4=""),"",IFERROR(1/(1/SUMPRODUCT(MAX(('Checks'!$A$4:$A$503=$A45)*('Checks'!$B$4:$B$503=C$4)*'Checks'!$D$4:$D$503))),""))</f>
        <v/>
      </c>
      <c r="D45" s="31">
        <f>IF(OR($A45="",D$4=""),"",IFERROR(1/(1/SUMPRODUCT(MAX(('Checks'!$A$4:$A$503=$A45)*('Checks'!$B$4:$B$503=D$4)*'Checks'!$D$4:$D$503))),""))</f>
        <v/>
      </c>
      <c r="E45" s="31">
        <f>IF(OR($A45="",E$4=""),"",IFERROR(1/(1/SUMPRODUCT(MAX(('Checks'!$A$4:$A$503=$A45)*('Checks'!$B$4:$B$503=E$4)*'Checks'!$D$4:$D$503))),""))</f>
        <v/>
      </c>
      <c r="F45" s="31">
        <f>IF(OR($A45="",F$4=""),"",IFERROR(1/(1/SUMPRODUCT(MAX(('Checks'!$A$4:$A$503=$A45)*('Checks'!$B$4:$B$503=F$4)*'Checks'!$D$4:$D$503))),""))</f>
        <v/>
      </c>
      <c r="G45" s="31">
        <f>IF(OR($A45="",G$4=""),"",IFERROR(1/(1/SUMPRODUCT(MAX(('Checks'!$A$4:$A$503=$A45)*('Checks'!$B$4:$B$503=G$4)*'Checks'!$D$4:$D$503))),""))</f>
        <v/>
      </c>
      <c r="H45" s="31">
        <f>IF(OR($A45="",H$4=""),"",IFERROR(1/(1/SUMPRODUCT(MAX(('Checks'!$A$4:$A$503=$A45)*('Checks'!$B$4:$B$503=H$4)*'Checks'!$D$4:$D$503))),""))</f>
        <v/>
      </c>
      <c r="I45" s="31">
        <f>IF(OR($A45="",I$4=""),"",IFERROR(1/(1/SUMPRODUCT(MAX(('Checks'!$A$4:$A$503=$A45)*('Checks'!$B$4:$B$503=I$4)*'Checks'!$D$4:$D$503))),""))</f>
        <v/>
      </c>
      <c r="J45" s="31">
        <f>IF(OR($A45="",J$4=""),"",IFERROR(1/(1/SUMPRODUCT(MAX(('Checks'!$A$4:$A$503=$A45)*('Checks'!$B$4:$B$503=J$4)*'Checks'!$D$4:$D$503))),""))</f>
        <v/>
      </c>
      <c r="K45" s="31">
        <f>IF(OR($A45="",K$4=""),"",IFERROR(1/(1/SUMPRODUCT(MAX(('Checks'!$A$4:$A$503=$A45)*('Checks'!$B$4:$B$503=K$4)*'Checks'!$D$4:$D$503))),""))</f>
        <v/>
      </c>
    </row>
    <row r="46">
      <c r="A46" s="30" t="n"/>
      <c r="B46" s="31">
        <f>IF(OR($A46="",B$4=""),"",IFERROR(1/(1/SUMPRODUCT(MAX(('Checks'!$A$4:$A$503=$A46)*('Checks'!$B$4:$B$503=B$4)*'Checks'!$D$4:$D$503))),""))</f>
        <v/>
      </c>
      <c r="C46" s="31">
        <f>IF(OR($A46="",C$4=""),"",IFERROR(1/(1/SUMPRODUCT(MAX(('Checks'!$A$4:$A$503=$A46)*('Checks'!$B$4:$B$503=C$4)*'Checks'!$D$4:$D$503))),""))</f>
        <v/>
      </c>
      <c r="D46" s="31">
        <f>IF(OR($A46="",D$4=""),"",IFERROR(1/(1/SUMPRODUCT(MAX(('Checks'!$A$4:$A$503=$A46)*('Checks'!$B$4:$B$503=D$4)*'Checks'!$D$4:$D$503))),""))</f>
        <v/>
      </c>
      <c r="E46" s="31">
        <f>IF(OR($A46="",E$4=""),"",IFERROR(1/(1/SUMPRODUCT(MAX(('Checks'!$A$4:$A$503=$A46)*('Checks'!$B$4:$B$503=E$4)*'Checks'!$D$4:$D$503))),""))</f>
        <v/>
      </c>
      <c r="F46" s="31">
        <f>IF(OR($A46="",F$4=""),"",IFERROR(1/(1/SUMPRODUCT(MAX(('Checks'!$A$4:$A$503=$A46)*('Checks'!$B$4:$B$503=F$4)*'Checks'!$D$4:$D$503))),""))</f>
        <v/>
      </c>
      <c r="G46" s="31">
        <f>IF(OR($A46="",G$4=""),"",IFERROR(1/(1/SUMPRODUCT(MAX(('Checks'!$A$4:$A$503=$A46)*('Checks'!$B$4:$B$503=G$4)*'Checks'!$D$4:$D$503))),""))</f>
        <v/>
      </c>
      <c r="H46" s="31">
        <f>IF(OR($A46="",H$4=""),"",IFERROR(1/(1/SUMPRODUCT(MAX(('Checks'!$A$4:$A$503=$A46)*('Checks'!$B$4:$B$503=H$4)*'Checks'!$D$4:$D$503))),""))</f>
        <v/>
      </c>
      <c r="I46" s="31">
        <f>IF(OR($A46="",I$4=""),"",IFERROR(1/(1/SUMPRODUCT(MAX(('Checks'!$A$4:$A$503=$A46)*('Checks'!$B$4:$B$503=I$4)*'Checks'!$D$4:$D$503))),""))</f>
        <v/>
      </c>
      <c r="J46" s="31">
        <f>IF(OR($A46="",J$4=""),"",IFERROR(1/(1/SUMPRODUCT(MAX(('Checks'!$A$4:$A$503=$A46)*('Checks'!$B$4:$B$503=J$4)*'Checks'!$D$4:$D$503))),""))</f>
        <v/>
      </c>
      <c r="K46" s="31">
        <f>IF(OR($A46="",K$4=""),"",IFERROR(1/(1/SUMPRODUCT(MAX(('Checks'!$A$4:$A$503=$A46)*('Checks'!$B$4:$B$503=K$4)*'Checks'!$D$4:$D$503))),""))</f>
        <v/>
      </c>
    </row>
    <row r="47">
      <c r="A47" s="30" t="n"/>
      <c r="B47" s="31">
        <f>IF(OR($A47="",B$4=""),"",IFERROR(1/(1/SUMPRODUCT(MAX(('Checks'!$A$4:$A$503=$A47)*('Checks'!$B$4:$B$503=B$4)*'Checks'!$D$4:$D$503))),""))</f>
        <v/>
      </c>
      <c r="C47" s="31">
        <f>IF(OR($A47="",C$4=""),"",IFERROR(1/(1/SUMPRODUCT(MAX(('Checks'!$A$4:$A$503=$A47)*('Checks'!$B$4:$B$503=C$4)*'Checks'!$D$4:$D$503))),""))</f>
        <v/>
      </c>
      <c r="D47" s="31">
        <f>IF(OR($A47="",D$4=""),"",IFERROR(1/(1/SUMPRODUCT(MAX(('Checks'!$A$4:$A$503=$A47)*('Checks'!$B$4:$B$503=D$4)*'Checks'!$D$4:$D$503))),""))</f>
        <v/>
      </c>
      <c r="E47" s="31">
        <f>IF(OR($A47="",E$4=""),"",IFERROR(1/(1/SUMPRODUCT(MAX(('Checks'!$A$4:$A$503=$A47)*('Checks'!$B$4:$B$503=E$4)*'Checks'!$D$4:$D$503))),""))</f>
        <v/>
      </c>
      <c r="F47" s="31">
        <f>IF(OR($A47="",F$4=""),"",IFERROR(1/(1/SUMPRODUCT(MAX(('Checks'!$A$4:$A$503=$A47)*('Checks'!$B$4:$B$503=F$4)*'Checks'!$D$4:$D$503))),""))</f>
        <v/>
      </c>
      <c r="G47" s="31">
        <f>IF(OR($A47="",G$4=""),"",IFERROR(1/(1/SUMPRODUCT(MAX(('Checks'!$A$4:$A$503=$A47)*('Checks'!$B$4:$B$503=G$4)*'Checks'!$D$4:$D$503))),""))</f>
        <v/>
      </c>
      <c r="H47" s="31">
        <f>IF(OR($A47="",H$4=""),"",IFERROR(1/(1/SUMPRODUCT(MAX(('Checks'!$A$4:$A$503=$A47)*('Checks'!$B$4:$B$503=H$4)*'Checks'!$D$4:$D$503))),""))</f>
        <v/>
      </c>
      <c r="I47" s="31">
        <f>IF(OR($A47="",I$4=""),"",IFERROR(1/(1/SUMPRODUCT(MAX(('Checks'!$A$4:$A$503=$A47)*('Checks'!$B$4:$B$503=I$4)*'Checks'!$D$4:$D$503))),""))</f>
        <v/>
      </c>
      <c r="J47" s="31">
        <f>IF(OR($A47="",J$4=""),"",IFERROR(1/(1/SUMPRODUCT(MAX(('Checks'!$A$4:$A$503=$A47)*('Checks'!$B$4:$B$503=J$4)*'Checks'!$D$4:$D$503))),""))</f>
        <v/>
      </c>
      <c r="K47" s="31">
        <f>IF(OR($A47="",K$4=""),"",IFERROR(1/(1/SUMPRODUCT(MAX(('Checks'!$A$4:$A$503=$A47)*('Checks'!$B$4:$B$503=K$4)*'Checks'!$D$4:$D$503))),""))</f>
        <v/>
      </c>
    </row>
    <row r="48">
      <c r="A48" s="30" t="n"/>
      <c r="B48" s="31">
        <f>IF(OR($A48="",B$4=""),"",IFERROR(1/(1/SUMPRODUCT(MAX(('Checks'!$A$4:$A$503=$A48)*('Checks'!$B$4:$B$503=B$4)*'Checks'!$D$4:$D$503))),""))</f>
        <v/>
      </c>
      <c r="C48" s="31">
        <f>IF(OR($A48="",C$4=""),"",IFERROR(1/(1/SUMPRODUCT(MAX(('Checks'!$A$4:$A$503=$A48)*('Checks'!$B$4:$B$503=C$4)*'Checks'!$D$4:$D$503))),""))</f>
        <v/>
      </c>
      <c r="D48" s="31">
        <f>IF(OR($A48="",D$4=""),"",IFERROR(1/(1/SUMPRODUCT(MAX(('Checks'!$A$4:$A$503=$A48)*('Checks'!$B$4:$B$503=D$4)*'Checks'!$D$4:$D$503))),""))</f>
        <v/>
      </c>
      <c r="E48" s="31">
        <f>IF(OR($A48="",E$4=""),"",IFERROR(1/(1/SUMPRODUCT(MAX(('Checks'!$A$4:$A$503=$A48)*('Checks'!$B$4:$B$503=E$4)*'Checks'!$D$4:$D$503))),""))</f>
        <v/>
      </c>
      <c r="F48" s="31">
        <f>IF(OR($A48="",F$4=""),"",IFERROR(1/(1/SUMPRODUCT(MAX(('Checks'!$A$4:$A$503=$A48)*('Checks'!$B$4:$B$503=F$4)*'Checks'!$D$4:$D$503))),""))</f>
        <v/>
      </c>
      <c r="G48" s="31">
        <f>IF(OR($A48="",G$4=""),"",IFERROR(1/(1/SUMPRODUCT(MAX(('Checks'!$A$4:$A$503=$A48)*('Checks'!$B$4:$B$503=G$4)*'Checks'!$D$4:$D$503))),""))</f>
        <v/>
      </c>
      <c r="H48" s="31">
        <f>IF(OR($A48="",H$4=""),"",IFERROR(1/(1/SUMPRODUCT(MAX(('Checks'!$A$4:$A$503=$A48)*('Checks'!$B$4:$B$503=H$4)*'Checks'!$D$4:$D$503))),""))</f>
        <v/>
      </c>
      <c r="I48" s="31">
        <f>IF(OR($A48="",I$4=""),"",IFERROR(1/(1/SUMPRODUCT(MAX(('Checks'!$A$4:$A$503=$A48)*('Checks'!$B$4:$B$503=I$4)*'Checks'!$D$4:$D$503))),""))</f>
        <v/>
      </c>
      <c r="J48" s="31">
        <f>IF(OR($A48="",J$4=""),"",IFERROR(1/(1/SUMPRODUCT(MAX(('Checks'!$A$4:$A$503=$A48)*('Checks'!$B$4:$B$503=J$4)*'Checks'!$D$4:$D$503))),""))</f>
        <v/>
      </c>
      <c r="K48" s="31">
        <f>IF(OR($A48="",K$4=""),"",IFERROR(1/(1/SUMPRODUCT(MAX(('Checks'!$A$4:$A$503=$A48)*('Checks'!$B$4:$B$503=K$4)*'Checks'!$D$4:$D$503))),""))</f>
        <v/>
      </c>
    </row>
    <row r="49">
      <c r="A49" s="30" t="n"/>
      <c r="B49" s="31">
        <f>IF(OR($A49="",B$4=""),"",IFERROR(1/(1/SUMPRODUCT(MAX(('Checks'!$A$4:$A$503=$A49)*('Checks'!$B$4:$B$503=B$4)*'Checks'!$D$4:$D$503))),""))</f>
        <v/>
      </c>
      <c r="C49" s="31">
        <f>IF(OR($A49="",C$4=""),"",IFERROR(1/(1/SUMPRODUCT(MAX(('Checks'!$A$4:$A$503=$A49)*('Checks'!$B$4:$B$503=C$4)*'Checks'!$D$4:$D$503))),""))</f>
        <v/>
      </c>
      <c r="D49" s="31">
        <f>IF(OR($A49="",D$4=""),"",IFERROR(1/(1/SUMPRODUCT(MAX(('Checks'!$A$4:$A$503=$A49)*('Checks'!$B$4:$B$503=D$4)*'Checks'!$D$4:$D$503))),""))</f>
        <v/>
      </c>
      <c r="E49" s="31">
        <f>IF(OR($A49="",E$4=""),"",IFERROR(1/(1/SUMPRODUCT(MAX(('Checks'!$A$4:$A$503=$A49)*('Checks'!$B$4:$B$503=E$4)*'Checks'!$D$4:$D$503))),""))</f>
        <v/>
      </c>
      <c r="F49" s="31">
        <f>IF(OR($A49="",F$4=""),"",IFERROR(1/(1/SUMPRODUCT(MAX(('Checks'!$A$4:$A$503=$A49)*('Checks'!$B$4:$B$503=F$4)*'Checks'!$D$4:$D$503))),""))</f>
        <v/>
      </c>
      <c r="G49" s="31">
        <f>IF(OR($A49="",G$4=""),"",IFERROR(1/(1/SUMPRODUCT(MAX(('Checks'!$A$4:$A$503=$A49)*('Checks'!$B$4:$B$503=G$4)*'Checks'!$D$4:$D$503))),""))</f>
        <v/>
      </c>
      <c r="H49" s="31">
        <f>IF(OR($A49="",H$4=""),"",IFERROR(1/(1/SUMPRODUCT(MAX(('Checks'!$A$4:$A$503=$A49)*('Checks'!$B$4:$B$503=H$4)*'Checks'!$D$4:$D$503))),""))</f>
        <v/>
      </c>
      <c r="I49" s="31">
        <f>IF(OR($A49="",I$4=""),"",IFERROR(1/(1/SUMPRODUCT(MAX(('Checks'!$A$4:$A$503=$A49)*('Checks'!$B$4:$B$503=I$4)*'Checks'!$D$4:$D$503))),""))</f>
        <v/>
      </c>
      <c r="J49" s="31">
        <f>IF(OR($A49="",J$4=""),"",IFERROR(1/(1/SUMPRODUCT(MAX(('Checks'!$A$4:$A$503=$A49)*('Checks'!$B$4:$B$503=J$4)*'Checks'!$D$4:$D$503))),""))</f>
        <v/>
      </c>
      <c r="K49" s="31">
        <f>IF(OR($A49="",K$4=""),"",IFERROR(1/(1/SUMPRODUCT(MAX(('Checks'!$A$4:$A$503=$A49)*('Checks'!$B$4:$B$503=K$4)*'Checks'!$D$4:$D$503))),""))</f>
        <v/>
      </c>
    </row>
    <row r="50">
      <c r="A50" s="30" t="n"/>
      <c r="B50" s="31">
        <f>IF(OR($A50="",B$4=""),"",IFERROR(1/(1/SUMPRODUCT(MAX(('Checks'!$A$4:$A$503=$A50)*('Checks'!$B$4:$B$503=B$4)*'Checks'!$D$4:$D$503))),""))</f>
        <v/>
      </c>
      <c r="C50" s="31">
        <f>IF(OR($A50="",C$4=""),"",IFERROR(1/(1/SUMPRODUCT(MAX(('Checks'!$A$4:$A$503=$A50)*('Checks'!$B$4:$B$503=C$4)*'Checks'!$D$4:$D$503))),""))</f>
        <v/>
      </c>
      <c r="D50" s="31">
        <f>IF(OR($A50="",D$4=""),"",IFERROR(1/(1/SUMPRODUCT(MAX(('Checks'!$A$4:$A$503=$A50)*('Checks'!$B$4:$B$503=D$4)*'Checks'!$D$4:$D$503))),""))</f>
        <v/>
      </c>
      <c r="E50" s="31">
        <f>IF(OR($A50="",E$4=""),"",IFERROR(1/(1/SUMPRODUCT(MAX(('Checks'!$A$4:$A$503=$A50)*('Checks'!$B$4:$B$503=E$4)*'Checks'!$D$4:$D$503))),""))</f>
        <v/>
      </c>
      <c r="F50" s="31">
        <f>IF(OR($A50="",F$4=""),"",IFERROR(1/(1/SUMPRODUCT(MAX(('Checks'!$A$4:$A$503=$A50)*('Checks'!$B$4:$B$503=F$4)*'Checks'!$D$4:$D$503))),""))</f>
        <v/>
      </c>
      <c r="G50" s="31">
        <f>IF(OR($A50="",G$4=""),"",IFERROR(1/(1/SUMPRODUCT(MAX(('Checks'!$A$4:$A$503=$A50)*('Checks'!$B$4:$B$503=G$4)*'Checks'!$D$4:$D$503))),""))</f>
        <v/>
      </c>
      <c r="H50" s="31">
        <f>IF(OR($A50="",H$4=""),"",IFERROR(1/(1/SUMPRODUCT(MAX(('Checks'!$A$4:$A$503=$A50)*('Checks'!$B$4:$B$503=H$4)*'Checks'!$D$4:$D$503))),""))</f>
        <v/>
      </c>
      <c r="I50" s="31">
        <f>IF(OR($A50="",I$4=""),"",IFERROR(1/(1/SUMPRODUCT(MAX(('Checks'!$A$4:$A$503=$A50)*('Checks'!$B$4:$B$503=I$4)*'Checks'!$D$4:$D$503))),""))</f>
        <v/>
      </c>
      <c r="J50" s="31">
        <f>IF(OR($A50="",J$4=""),"",IFERROR(1/(1/SUMPRODUCT(MAX(('Checks'!$A$4:$A$503=$A50)*('Checks'!$B$4:$B$503=J$4)*'Checks'!$D$4:$D$503))),""))</f>
        <v/>
      </c>
      <c r="K50" s="31">
        <f>IF(OR($A50="",K$4=""),"",IFERROR(1/(1/SUMPRODUCT(MAX(('Checks'!$A$4:$A$503=$A50)*('Checks'!$B$4:$B$503=K$4)*'Checks'!$D$4:$D$503))),""))</f>
        <v/>
      </c>
    </row>
    <row r="51">
      <c r="A51" s="30" t="n"/>
      <c r="B51" s="31">
        <f>IF(OR($A51="",B$4=""),"",IFERROR(1/(1/SUMPRODUCT(MAX(('Checks'!$A$4:$A$503=$A51)*('Checks'!$B$4:$B$503=B$4)*'Checks'!$D$4:$D$503))),""))</f>
        <v/>
      </c>
      <c r="C51" s="31">
        <f>IF(OR($A51="",C$4=""),"",IFERROR(1/(1/SUMPRODUCT(MAX(('Checks'!$A$4:$A$503=$A51)*('Checks'!$B$4:$B$503=C$4)*'Checks'!$D$4:$D$503))),""))</f>
        <v/>
      </c>
      <c r="D51" s="31">
        <f>IF(OR($A51="",D$4=""),"",IFERROR(1/(1/SUMPRODUCT(MAX(('Checks'!$A$4:$A$503=$A51)*('Checks'!$B$4:$B$503=D$4)*'Checks'!$D$4:$D$503))),""))</f>
        <v/>
      </c>
      <c r="E51" s="31">
        <f>IF(OR($A51="",E$4=""),"",IFERROR(1/(1/SUMPRODUCT(MAX(('Checks'!$A$4:$A$503=$A51)*('Checks'!$B$4:$B$503=E$4)*'Checks'!$D$4:$D$503))),""))</f>
        <v/>
      </c>
      <c r="F51" s="31">
        <f>IF(OR($A51="",F$4=""),"",IFERROR(1/(1/SUMPRODUCT(MAX(('Checks'!$A$4:$A$503=$A51)*('Checks'!$B$4:$B$503=F$4)*'Checks'!$D$4:$D$503))),""))</f>
        <v/>
      </c>
      <c r="G51" s="31">
        <f>IF(OR($A51="",G$4=""),"",IFERROR(1/(1/SUMPRODUCT(MAX(('Checks'!$A$4:$A$503=$A51)*('Checks'!$B$4:$B$503=G$4)*'Checks'!$D$4:$D$503))),""))</f>
        <v/>
      </c>
      <c r="H51" s="31">
        <f>IF(OR($A51="",H$4=""),"",IFERROR(1/(1/SUMPRODUCT(MAX(('Checks'!$A$4:$A$503=$A51)*('Checks'!$B$4:$B$503=H$4)*'Checks'!$D$4:$D$503))),""))</f>
        <v/>
      </c>
      <c r="I51" s="31">
        <f>IF(OR($A51="",I$4=""),"",IFERROR(1/(1/SUMPRODUCT(MAX(('Checks'!$A$4:$A$503=$A51)*('Checks'!$B$4:$B$503=I$4)*'Checks'!$D$4:$D$503))),""))</f>
        <v/>
      </c>
      <c r="J51" s="31">
        <f>IF(OR($A51="",J$4=""),"",IFERROR(1/(1/SUMPRODUCT(MAX(('Checks'!$A$4:$A$503=$A51)*('Checks'!$B$4:$B$503=J$4)*'Checks'!$D$4:$D$503))),""))</f>
        <v/>
      </c>
      <c r="K51" s="31">
        <f>IF(OR($A51="",K$4=""),"",IFERROR(1/(1/SUMPRODUCT(MAX(('Checks'!$A$4:$A$503=$A51)*('Checks'!$B$4:$B$503=K$4)*'Checks'!$D$4:$D$503))),""))</f>
        <v/>
      </c>
    </row>
    <row r="52">
      <c r="A52" s="30" t="n"/>
      <c r="B52" s="31">
        <f>IF(OR($A52="",B$4=""),"",IFERROR(1/(1/SUMPRODUCT(MAX(('Checks'!$A$4:$A$503=$A52)*('Checks'!$B$4:$B$503=B$4)*'Checks'!$D$4:$D$503))),""))</f>
        <v/>
      </c>
      <c r="C52" s="31">
        <f>IF(OR($A52="",C$4=""),"",IFERROR(1/(1/SUMPRODUCT(MAX(('Checks'!$A$4:$A$503=$A52)*('Checks'!$B$4:$B$503=C$4)*'Checks'!$D$4:$D$503))),""))</f>
        <v/>
      </c>
      <c r="D52" s="31">
        <f>IF(OR($A52="",D$4=""),"",IFERROR(1/(1/SUMPRODUCT(MAX(('Checks'!$A$4:$A$503=$A52)*('Checks'!$B$4:$B$503=D$4)*'Checks'!$D$4:$D$503))),""))</f>
        <v/>
      </c>
      <c r="E52" s="31">
        <f>IF(OR($A52="",E$4=""),"",IFERROR(1/(1/SUMPRODUCT(MAX(('Checks'!$A$4:$A$503=$A52)*('Checks'!$B$4:$B$503=E$4)*'Checks'!$D$4:$D$503))),""))</f>
        <v/>
      </c>
      <c r="F52" s="31">
        <f>IF(OR($A52="",F$4=""),"",IFERROR(1/(1/SUMPRODUCT(MAX(('Checks'!$A$4:$A$503=$A52)*('Checks'!$B$4:$B$503=F$4)*'Checks'!$D$4:$D$503))),""))</f>
        <v/>
      </c>
      <c r="G52" s="31">
        <f>IF(OR($A52="",G$4=""),"",IFERROR(1/(1/SUMPRODUCT(MAX(('Checks'!$A$4:$A$503=$A52)*('Checks'!$B$4:$B$503=G$4)*'Checks'!$D$4:$D$503))),""))</f>
        <v/>
      </c>
      <c r="H52" s="31">
        <f>IF(OR($A52="",H$4=""),"",IFERROR(1/(1/SUMPRODUCT(MAX(('Checks'!$A$4:$A$503=$A52)*('Checks'!$B$4:$B$503=H$4)*'Checks'!$D$4:$D$503))),""))</f>
        <v/>
      </c>
      <c r="I52" s="31">
        <f>IF(OR($A52="",I$4=""),"",IFERROR(1/(1/SUMPRODUCT(MAX(('Checks'!$A$4:$A$503=$A52)*('Checks'!$B$4:$B$503=I$4)*'Checks'!$D$4:$D$503))),""))</f>
        <v/>
      </c>
      <c r="J52" s="31">
        <f>IF(OR($A52="",J$4=""),"",IFERROR(1/(1/SUMPRODUCT(MAX(('Checks'!$A$4:$A$503=$A52)*('Checks'!$B$4:$B$503=J$4)*'Checks'!$D$4:$D$503))),""))</f>
        <v/>
      </c>
      <c r="K52" s="31">
        <f>IF(OR($A52="",K$4=""),"",IFERROR(1/(1/SUMPRODUCT(MAX(('Checks'!$A$4:$A$503=$A52)*('Checks'!$B$4:$B$503=K$4)*'Checks'!$D$4:$D$503))),""))</f>
        <v/>
      </c>
    </row>
    <row r="53">
      <c r="A53" s="30" t="n"/>
      <c r="B53" s="31">
        <f>IF(OR($A53="",B$4=""),"",IFERROR(1/(1/SUMPRODUCT(MAX(('Checks'!$A$4:$A$503=$A53)*('Checks'!$B$4:$B$503=B$4)*'Checks'!$D$4:$D$503))),""))</f>
        <v/>
      </c>
      <c r="C53" s="31">
        <f>IF(OR($A53="",C$4=""),"",IFERROR(1/(1/SUMPRODUCT(MAX(('Checks'!$A$4:$A$503=$A53)*('Checks'!$B$4:$B$503=C$4)*'Checks'!$D$4:$D$503))),""))</f>
        <v/>
      </c>
      <c r="D53" s="31">
        <f>IF(OR($A53="",D$4=""),"",IFERROR(1/(1/SUMPRODUCT(MAX(('Checks'!$A$4:$A$503=$A53)*('Checks'!$B$4:$B$503=D$4)*'Checks'!$D$4:$D$503))),""))</f>
        <v/>
      </c>
      <c r="E53" s="31">
        <f>IF(OR($A53="",E$4=""),"",IFERROR(1/(1/SUMPRODUCT(MAX(('Checks'!$A$4:$A$503=$A53)*('Checks'!$B$4:$B$503=E$4)*'Checks'!$D$4:$D$503))),""))</f>
        <v/>
      </c>
      <c r="F53" s="31">
        <f>IF(OR($A53="",F$4=""),"",IFERROR(1/(1/SUMPRODUCT(MAX(('Checks'!$A$4:$A$503=$A53)*('Checks'!$B$4:$B$503=F$4)*'Checks'!$D$4:$D$503))),""))</f>
        <v/>
      </c>
      <c r="G53" s="31">
        <f>IF(OR($A53="",G$4=""),"",IFERROR(1/(1/SUMPRODUCT(MAX(('Checks'!$A$4:$A$503=$A53)*('Checks'!$B$4:$B$503=G$4)*'Checks'!$D$4:$D$503))),""))</f>
        <v/>
      </c>
      <c r="H53" s="31">
        <f>IF(OR($A53="",H$4=""),"",IFERROR(1/(1/SUMPRODUCT(MAX(('Checks'!$A$4:$A$503=$A53)*('Checks'!$B$4:$B$503=H$4)*'Checks'!$D$4:$D$503))),""))</f>
        <v/>
      </c>
      <c r="I53" s="31">
        <f>IF(OR($A53="",I$4=""),"",IFERROR(1/(1/SUMPRODUCT(MAX(('Checks'!$A$4:$A$503=$A53)*('Checks'!$B$4:$B$503=I$4)*'Checks'!$D$4:$D$503))),""))</f>
        <v/>
      </c>
      <c r="J53" s="31">
        <f>IF(OR($A53="",J$4=""),"",IFERROR(1/(1/SUMPRODUCT(MAX(('Checks'!$A$4:$A$503=$A53)*('Checks'!$B$4:$B$503=J$4)*'Checks'!$D$4:$D$503))),""))</f>
        <v/>
      </c>
      <c r="K53" s="31">
        <f>IF(OR($A53="",K$4=""),"",IFERROR(1/(1/SUMPRODUCT(MAX(('Checks'!$A$4:$A$503=$A53)*('Checks'!$B$4:$B$503=K$4)*'Checks'!$D$4:$D$503))),""))</f>
        <v/>
      </c>
    </row>
    <row r="54">
      <c r="A54" s="30" t="n"/>
      <c r="B54" s="31">
        <f>IF(OR($A54="",B$4=""),"",IFERROR(1/(1/SUMPRODUCT(MAX(('Checks'!$A$4:$A$503=$A54)*('Checks'!$B$4:$B$503=B$4)*'Checks'!$D$4:$D$503))),""))</f>
        <v/>
      </c>
      <c r="C54" s="31">
        <f>IF(OR($A54="",C$4=""),"",IFERROR(1/(1/SUMPRODUCT(MAX(('Checks'!$A$4:$A$503=$A54)*('Checks'!$B$4:$B$503=C$4)*'Checks'!$D$4:$D$503))),""))</f>
        <v/>
      </c>
      <c r="D54" s="31">
        <f>IF(OR($A54="",D$4=""),"",IFERROR(1/(1/SUMPRODUCT(MAX(('Checks'!$A$4:$A$503=$A54)*('Checks'!$B$4:$B$503=D$4)*'Checks'!$D$4:$D$503))),""))</f>
        <v/>
      </c>
      <c r="E54" s="31">
        <f>IF(OR($A54="",E$4=""),"",IFERROR(1/(1/SUMPRODUCT(MAX(('Checks'!$A$4:$A$503=$A54)*('Checks'!$B$4:$B$503=E$4)*'Checks'!$D$4:$D$503))),""))</f>
        <v/>
      </c>
      <c r="F54" s="31">
        <f>IF(OR($A54="",F$4=""),"",IFERROR(1/(1/SUMPRODUCT(MAX(('Checks'!$A$4:$A$503=$A54)*('Checks'!$B$4:$B$503=F$4)*'Checks'!$D$4:$D$503))),""))</f>
        <v/>
      </c>
      <c r="G54" s="31">
        <f>IF(OR($A54="",G$4=""),"",IFERROR(1/(1/SUMPRODUCT(MAX(('Checks'!$A$4:$A$503=$A54)*('Checks'!$B$4:$B$503=G$4)*'Checks'!$D$4:$D$503))),""))</f>
        <v/>
      </c>
      <c r="H54" s="31">
        <f>IF(OR($A54="",H$4=""),"",IFERROR(1/(1/SUMPRODUCT(MAX(('Checks'!$A$4:$A$503=$A54)*('Checks'!$B$4:$B$503=H$4)*'Checks'!$D$4:$D$503))),""))</f>
        <v/>
      </c>
      <c r="I54" s="31">
        <f>IF(OR($A54="",I$4=""),"",IFERROR(1/(1/SUMPRODUCT(MAX(('Checks'!$A$4:$A$503=$A54)*('Checks'!$B$4:$B$503=I$4)*'Checks'!$D$4:$D$503))),""))</f>
        <v/>
      </c>
      <c r="J54" s="31">
        <f>IF(OR($A54="",J$4=""),"",IFERROR(1/(1/SUMPRODUCT(MAX(('Checks'!$A$4:$A$503=$A54)*('Checks'!$B$4:$B$503=J$4)*'Checks'!$D$4:$D$503))),""))</f>
        <v/>
      </c>
      <c r="K54" s="31">
        <f>IF(OR($A54="",K$4=""),"",IFERROR(1/(1/SUMPRODUCT(MAX(('Checks'!$A$4:$A$503=$A54)*('Checks'!$B$4:$B$503=K$4)*'Checks'!$D$4:$D$503))),""))</f>
        <v/>
      </c>
    </row>
    <row r="55">
      <c r="A55" s="30" t="n"/>
      <c r="B55" s="31">
        <f>IF(OR($A55="",B$4=""),"",IFERROR(1/(1/SUMPRODUCT(MAX(('Checks'!$A$4:$A$503=$A55)*('Checks'!$B$4:$B$503=B$4)*'Checks'!$D$4:$D$503))),""))</f>
        <v/>
      </c>
      <c r="C55" s="31">
        <f>IF(OR($A55="",C$4=""),"",IFERROR(1/(1/SUMPRODUCT(MAX(('Checks'!$A$4:$A$503=$A55)*('Checks'!$B$4:$B$503=C$4)*'Checks'!$D$4:$D$503))),""))</f>
        <v/>
      </c>
      <c r="D55" s="31">
        <f>IF(OR($A55="",D$4=""),"",IFERROR(1/(1/SUMPRODUCT(MAX(('Checks'!$A$4:$A$503=$A55)*('Checks'!$B$4:$B$503=D$4)*'Checks'!$D$4:$D$503))),""))</f>
        <v/>
      </c>
      <c r="E55" s="31">
        <f>IF(OR($A55="",E$4=""),"",IFERROR(1/(1/SUMPRODUCT(MAX(('Checks'!$A$4:$A$503=$A55)*('Checks'!$B$4:$B$503=E$4)*'Checks'!$D$4:$D$503))),""))</f>
        <v/>
      </c>
      <c r="F55" s="31">
        <f>IF(OR($A55="",F$4=""),"",IFERROR(1/(1/SUMPRODUCT(MAX(('Checks'!$A$4:$A$503=$A55)*('Checks'!$B$4:$B$503=F$4)*'Checks'!$D$4:$D$503))),""))</f>
        <v/>
      </c>
      <c r="G55" s="31">
        <f>IF(OR($A55="",G$4=""),"",IFERROR(1/(1/SUMPRODUCT(MAX(('Checks'!$A$4:$A$503=$A55)*('Checks'!$B$4:$B$503=G$4)*'Checks'!$D$4:$D$503))),""))</f>
        <v/>
      </c>
      <c r="H55" s="31">
        <f>IF(OR($A55="",H$4=""),"",IFERROR(1/(1/SUMPRODUCT(MAX(('Checks'!$A$4:$A$503=$A55)*('Checks'!$B$4:$B$503=H$4)*'Checks'!$D$4:$D$503))),""))</f>
        <v/>
      </c>
      <c r="I55" s="31">
        <f>IF(OR($A55="",I$4=""),"",IFERROR(1/(1/SUMPRODUCT(MAX(('Checks'!$A$4:$A$503=$A55)*('Checks'!$B$4:$B$503=I$4)*'Checks'!$D$4:$D$503))),""))</f>
        <v/>
      </c>
      <c r="J55" s="31">
        <f>IF(OR($A55="",J$4=""),"",IFERROR(1/(1/SUMPRODUCT(MAX(('Checks'!$A$4:$A$503=$A55)*('Checks'!$B$4:$B$503=J$4)*'Checks'!$D$4:$D$503))),""))</f>
        <v/>
      </c>
      <c r="K55" s="31">
        <f>IF(OR($A55="",K$4=""),"",IFERROR(1/(1/SUMPRODUCT(MAX(('Checks'!$A$4:$A$503=$A55)*('Checks'!$B$4:$B$503=K$4)*'Checks'!$D$4:$D$503))),""))</f>
        <v/>
      </c>
    </row>
    <row r="56">
      <c r="A56" s="30" t="n"/>
      <c r="B56" s="31">
        <f>IF(OR($A56="",B$4=""),"",IFERROR(1/(1/SUMPRODUCT(MAX(('Checks'!$A$4:$A$503=$A56)*('Checks'!$B$4:$B$503=B$4)*'Checks'!$D$4:$D$503))),""))</f>
        <v/>
      </c>
      <c r="C56" s="31">
        <f>IF(OR($A56="",C$4=""),"",IFERROR(1/(1/SUMPRODUCT(MAX(('Checks'!$A$4:$A$503=$A56)*('Checks'!$B$4:$B$503=C$4)*'Checks'!$D$4:$D$503))),""))</f>
        <v/>
      </c>
      <c r="D56" s="31">
        <f>IF(OR($A56="",D$4=""),"",IFERROR(1/(1/SUMPRODUCT(MAX(('Checks'!$A$4:$A$503=$A56)*('Checks'!$B$4:$B$503=D$4)*'Checks'!$D$4:$D$503))),""))</f>
        <v/>
      </c>
      <c r="E56" s="31">
        <f>IF(OR($A56="",E$4=""),"",IFERROR(1/(1/SUMPRODUCT(MAX(('Checks'!$A$4:$A$503=$A56)*('Checks'!$B$4:$B$503=E$4)*'Checks'!$D$4:$D$503))),""))</f>
        <v/>
      </c>
      <c r="F56" s="31">
        <f>IF(OR($A56="",F$4=""),"",IFERROR(1/(1/SUMPRODUCT(MAX(('Checks'!$A$4:$A$503=$A56)*('Checks'!$B$4:$B$503=F$4)*'Checks'!$D$4:$D$503))),""))</f>
        <v/>
      </c>
      <c r="G56" s="31">
        <f>IF(OR($A56="",G$4=""),"",IFERROR(1/(1/SUMPRODUCT(MAX(('Checks'!$A$4:$A$503=$A56)*('Checks'!$B$4:$B$503=G$4)*'Checks'!$D$4:$D$503))),""))</f>
        <v/>
      </c>
      <c r="H56" s="31">
        <f>IF(OR($A56="",H$4=""),"",IFERROR(1/(1/SUMPRODUCT(MAX(('Checks'!$A$4:$A$503=$A56)*('Checks'!$B$4:$B$503=H$4)*'Checks'!$D$4:$D$503))),""))</f>
        <v/>
      </c>
      <c r="I56" s="31">
        <f>IF(OR($A56="",I$4=""),"",IFERROR(1/(1/SUMPRODUCT(MAX(('Checks'!$A$4:$A$503=$A56)*('Checks'!$B$4:$B$503=I$4)*'Checks'!$D$4:$D$503))),""))</f>
        <v/>
      </c>
      <c r="J56" s="31">
        <f>IF(OR($A56="",J$4=""),"",IFERROR(1/(1/SUMPRODUCT(MAX(('Checks'!$A$4:$A$503=$A56)*('Checks'!$B$4:$B$503=J$4)*'Checks'!$D$4:$D$503))),""))</f>
        <v/>
      </c>
      <c r="K56" s="31">
        <f>IF(OR($A56="",K$4=""),"",IFERROR(1/(1/SUMPRODUCT(MAX(('Checks'!$A$4:$A$503=$A56)*('Checks'!$B$4:$B$503=K$4)*'Checks'!$D$4:$D$503))),""))</f>
        <v/>
      </c>
    </row>
    <row r="57">
      <c r="A57" s="30" t="n"/>
      <c r="B57" s="31">
        <f>IF(OR($A57="",B$4=""),"",IFERROR(1/(1/SUMPRODUCT(MAX(('Checks'!$A$4:$A$503=$A57)*('Checks'!$B$4:$B$503=B$4)*'Checks'!$D$4:$D$503))),""))</f>
        <v/>
      </c>
      <c r="C57" s="31">
        <f>IF(OR($A57="",C$4=""),"",IFERROR(1/(1/SUMPRODUCT(MAX(('Checks'!$A$4:$A$503=$A57)*('Checks'!$B$4:$B$503=C$4)*'Checks'!$D$4:$D$503))),""))</f>
        <v/>
      </c>
      <c r="D57" s="31">
        <f>IF(OR($A57="",D$4=""),"",IFERROR(1/(1/SUMPRODUCT(MAX(('Checks'!$A$4:$A$503=$A57)*('Checks'!$B$4:$B$503=D$4)*'Checks'!$D$4:$D$503))),""))</f>
        <v/>
      </c>
      <c r="E57" s="31">
        <f>IF(OR($A57="",E$4=""),"",IFERROR(1/(1/SUMPRODUCT(MAX(('Checks'!$A$4:$A$503=$A57)*('Checks'!$B$4:$B$503=E$4)*'Checks'!$D$4:$D$503))),""))</f>
        <v/>
      </c>
      <c r="F57" s="31">
        <f>IF(OR($A57="",F$4=""),"",IFERROR(1/(1/SUMPRODUCT(MAX(('Checks'!$A$4:$A$503=$A57)*('Checks'!$B$4:$B$503=F$4)*'Checks'!$D$4:$D$503))),""))</f>
        <v/>
      </c>
      <c r="G57" s="31">
        <f>IF(OR($A57="",G$4=""),"",IFERROR(1/(1/SUMPRODUCT(MAX(('Checks'!$A$4:$A$503=$A57)*('Checks'!$B$4:$B$503=G$4)*'Checks'!$D$4:$D$503))),""))</f>
        <v/>
      </c>
      <c r="H57" s="31">
        <f>IF(OR($A57="",H$4=""),"",IFERROR(1/(1/SUMPRODUCT(MAX(('Checks'!$A$4:$A$503=$A57)*('Checks'!$B$4:$B$503=H$4)*'Checks'!$D$4:$D$503))),""))</f>
        <v/>
      </c>
      <c r="I57" s="31">
        <f>IF(OR($A57="",I$4=""),"",IFERROR(1/(1/SUMPRODUCT(MAX(('Checks'!$A$4:$A$503=$A57)*('Checks'!$B$4:$B$503=I$4)*'Checks'!$D$4:$D$503))),""))</f>
        <v/>
      </c>
      <c r="J57" s="31">
        <f>IF(OR($A57="",J$4=""),"",IFERROR(1/(1/SUMPRODUCT(MAX(('Checks'!$A$4:$A$503=$A57)*('Checks'!$B$4:$B$503=J$4)*'Checks'!$D$4:$D$503))),""))</f>
        <v/>
      </c>
      <c r="K57" s="31">
        <f>IF(OR($A57="",K$4=""),"",IFERROR(1/(1/SUMPRODUCT(MAX(('Checks'!$A$4:$A$503=$A57)*('Checks'!$B$4:$B$503=K$4)*'Checks'!$D$4:$D$503))),""))</f>
        <v/>
      </c>
    </row>
    <row r="58">
      <c r="A58" s="30" t="n"/>
      <c r="B58" s="31">
        <f>IF(OR($A58="",B$4=""),"",IFERROR(1/(1/SUMPRODUCT(MAX(('Checks'!$A$4:$A$503=$A58)*('Checks'!$B$4:$B$503=B$4)*'Checks'!$D$4:$D$503))),""))</f>
        <v/>
      </c>
      <c r="C58" s="31">
        <f>IF(OR($A58="",C$4=""),"",IFERROR(1/(1/SUMPRODUCT(MAX(('Checks'!$A$4:$A$503=$A58)*('Checks'!$B$4:$B$503=C$4)*'Checks'!$D$4:$D$503))),""))</f>
        <v/>
      </c>
      <c r="D58" s="31">
        <f>IF(OR($A58="",D$4=""),"",IFERROR(1/(1/SUMPRODUCT(MAX(('Checks'!$A$4:$A$503=$A58)*('Checks'!$B$4:$B$503=D$4)*'Checks'!$D$4:$D$503))),""))</f>
        <v/>
      </c>
      <c r="E58" s="31">
        <f>IF(OR($A58="",E$4=""),"",IFERROR(1/(1/SUMPRODUCT(MAX(('Checks'!$A$4:$A$503=$A58)*('Checks'!$B$4:$B$503=E$4)*'Checks'!$D$4:$D$503))),""))</f>
        <v/>
      </c>
      <c r="F58" s="31">
        <f>IF(OR($A58="",F$4=""),"",IFERROR(1/(1/SUMPRODUCT(MAX(('Checks'!$A$4:$A$503=$A58)*('Checks'!$B$4:$B$503=F$4)*'Checks'!$D$4:$D$503))),""))</f>
        <v/>
      </c>
      <c r="G58" s="31">
        <f>IF(OR($A58="",G$4=""),"",IFERROR(1/(1/SUMPRODUCT(MAX(('Checks'!$A$4:$A$503=$A58)*('Checks'!$B$4:$B$503=G$4)*'Checks'!$D$4:$D$503))),""))</f>
        <v/>
      </c>
      <c r="H58" s="31">
        <f>IF(OR($A58="",H$4=""),"",IFERROR(1/(1/SUMPRODUCT(MAX(('Checks'!$A$4:$A$503=$A58)*('Checks'!$B$4:$B$503=H$4)*'Checks'!$D$4:$D$503))),""))</f>
        <v/>
      </c>
      <c r="I58" s="31">
        <f>IF(OR($A58="",I$4=""),"",IFERROR(1/(1/SUMPRODUCT(MAX(('Checks'!$A$4:$A$503=$A58)*('Checks'!$B$4:$B$503=I$4)*'Checks'!$D$4:$D$503))),""))</f>
        <v/>
      </c>
      <c r="J58" s="31">
        <f>IF(OR($A58="",J$4=""),"",IFERROR(1/(1/SUMPRODUCT(MAX(('Checks'!$A$4:$A$503=$A58)*('Checks'!$B$4:$B$503=J$4)*'Checks'!$D$4:$D$503))),""))</f>
        <v/>
      </c>
      <c r="K58" s="31">
        <f>IF(OR($A58="",K$4=""),"",IFERROR(1/(1/SUMPRODUCT(MAX(('Checks'!$A$4:$A$503=$A58)*('Checks'!$B$4:$B$503=K$4)*'Checks'!$D$4:$D$503))),""))</f>
        <v/>
      </c>
    </row>
    <row r="59">
      <c r="A59" s="30" t="n"/>
      <c r="B59" s="31">
        <f>IF(OR($A59="",B$4=""),"",IFERROR(1/(1/SUMPRODUCT(MAX(('Checks'!$A$4:$A$503=$A59)*('Checks'!$B$4:$B$503=B$4)*'Checks'!$D$4:$D$503))),""))</f>
        <v/>
      </c>
      <c r="C59" s="31">
        <f>IF(OR($A59="",C$4=""),"",IFERROR(1/(1/SUMPRODUCT(MAX(('Checks'!$A$4:$A$503=$A59)*('Checks'!$B$4:$B$503=C$4)*'Checks'!$D$4:$D$503))),""))</f>
        <v/>
      </c>
      <c r="D59" s="31">
        <f>IF(OR($A59="",D$4=""),"",IFERROR(1/(1/SUMPRODUCT(MAX(('Checks'!$A$4:$A$503=$A59)*('Checks'!$B$4:$B$503=D$4)*'Checks'!$D$4:$D$503))),""))</f>
        <v/>
      </c>
      <c r="E59" s="31">
        <f>IF(OR($A59="",E$4=""),"",IFERROR(1/(1/SUMPRODUCT(MAX(('Checks'!$A$4:$A$503=$A59)*('Checks'!$B$4:$B$503=E$4)*'Checks'!$D$4:$D$503))),""))</f>
        <v/>
      </c>
      <c r="F59" s="31">
        <f>IF(OR($A59="",F$4=""),"",IFERROR(1/(1/SUMPRODUCT(MAX(('Checks'!$A$4:$A$503=$A59)*('Checks'!$B$4:$B$503=F$4)*'Checks'!$D$4:$D$503))),""))</f>
        <v/>
      </c>
      <c r="G59" s="31">
        <f>IF(OR($A59="",G$4=""),"",IFERROR(1/(1/SUMPRODUCT(MAX(('Checks'!$A$4:$A$503=$A59)*('Checks'!$B$4:$B$503=G$4)*'Checks'!$D$4:$D$503))),""))</f>
        <v/>
      </c>
      <c r="H59" s="31">
        <f>IF(OR($A59="",H$4=""),"",IFERROR(1/(1/SUMPRODUCT(MAX(('Checks'!$A$4:$A$503=$A59)*('Checks'!$B$4:$B$503=H$4)*'Checks'!$D$4:$D$503))),""))</f>
        <v/>
      </c>
      <c r="I59" s="31">
        <f>IF(OR($A59="",I$4=""),"",IFERROR(1/(1/SUMPRODUCT(MAX(('Checks'!$A$4:$A$503=$A59)*('Checks'!$B$4:$B$503=I$4)*'Checks'!$D$4:$D$503))),""))</f>
        <v/>
      </c>
      <c r="J59" s="31">
        <f>IF(OR($A59="",J$4=""),"",IFERROR(1/(1/SUMPRODUCT(MAX(('Checks'!$A$4:$A$503=$A59)*('Checks'!$B$4:$B$503=J$4)*'Checks'!$D$4:$D$503))),""))</f>
        <v/>
      </c>
      <c r="K59" s="31">
        <f>IF(OR($A59="",K$4=""),"",IFERROR(1/(1/SUMPRODUCT(MAX(('Checks'!$A$4:$A$503=$A59)*('Checks'!$B$4:$B$503=K$4)*'Checks'!$D$4:$D$503))),""))</f>
        <v/>
      </c>
    </row>
    <row r="60">
      <c r="A60" s="30" t="n"/>
      <c r="B60" s="31">
        <f>IF(OR($A60="",B$4=""),"",IFERROR(1/(1/SUMPRODUCT(MAX(('Checks'!$A$4:$A$503=$A60)*('Checks'!$B$4:$B$503=B$4)*'Checks'!$D$4:$D$503))),""))</f>
        <v/>
      </c>
      <c r="C60" s="31">
        <f>IF(OR($A60="",C$4=""),"",IFERROR(1/(1/SUMPRODUCT(MAX(('Checks'!$A$4:$A$503=$A60)*('Checks'!$B$4:$B$503=C$4)*'Checks'!$D$4:$D$503))),""))</f>
        <v/>
      </c>
      <c r="D60" s="31">
        <f>IF(OR($A60="",D$4=""),"",IFERROR(1/(1/SUMPRODUCT(MAX(('Checks'!$A$4:$A$503=$A60)*('Checks'!$B$4:$B$503=D$4)*'Checks'!$D$4:$D$503))),""))</f>
        <v/>
      </c>
      <c r="E60" s="31">
        <f>IF(OR($A60="",E$4=""),"",IFERROR(1/(1/SUMPRODUCT(MAX(('Checks'!$A$4:$A$503=$A60)*('Checks'!$B$4:$B$503=E$4)*'Checks'!$D$4:$D$503))),""))</f>
        <v/>
      </c>
      <c r="F60" s="31">
        <f>IF(OR($A60="",F$4=""),"",IFERROR(1/(1/SUMPRODUCT(MAX(('Checks'!$A$4:$A$503=$A60)*('Checks'!$B$4:$B$503=F$4)*'Checks'!$D$4:$D$503))),""))</f>
        <v/>
      </c>
      <c r="G60" s="31">
        <f>IF(OR($A60="",G$4=""),"",IFERROR(1/(1/SUMPRODUCT(MAX(('Checks'!$A$4:$A$503=$A60)*('Checks'!$B$4:$B$503=G$4)*'Checks'!$D$4:$D$503))),""))</f>
        <v/>
      </c>
      <c r="H60" s="31">
        <f>IF(OR($A60="",H$4=""),"",IFERROR(1/(1/SUMPRODUCT(MAX(('Checks'!$A$4:$A$503=$A60)*('Checks'!$B$4:$B$503=H$4)*'Checks'!$D$4:$D$503))),""))</f>
        <v/>
      </c>
      <c r="I60" s="31">
        <f>IF(OR($A60="",I$4=""),"",IFERROR(1/(1/SUMPRODUCT(MAX(('Checks'!$A$4:$A$503=$A60)*('Checks'!$B$4:$B$503=I$4)*'Checks'!$D$4:$D$503))),""))</f>
        <v/>
      </c>
      <c r="J60" s="31">
        <f>IF(OR($A60="",J$4=""),"",IFERROR(1/(1/SUMPRODUCT(MAX(('Checks'!$A$4:$A$503=$A60)*('Checks'!$B$4:$B$503=J$4)*'Checks'!$D$4:$D$503))),""))</f>
        <v/>
      </c>
      <c r="K60" s="31">
        <f>IF(OR($A60="",K$4=""),"",IFERROR(1/(1/SUMPRODUCT(MAX(('Checks'!$A$4:$A$503=$A60)*('Checks'!$B$4:$B$503=K$4)*'Checks'!$D$4:$D$503))),""))</f>
        <v/>
      </c>
    </row>
    <row r="61">
      <c r="A61" s="30" t="n"/>
      <c r="B61" s="31">
        <f>IF(OR($A61="",B$4=""),"",IFERROR(1/(1/SUMPRODUCT(MAX(('Checks'!$A$4:$A$503=$A61)*('Checks'!$B$4:$B$503=B$4)*'Checks'!$D$4:$D$503))),""))</f>
        <v/>
      </c>
      <c r="C61" s="31">
        <f>IF(OR($A61="",C$4=""),"",IFERROR(1/(1/SUMPRODUCT(MAX(('Checks'!$A$4:$A$503=$A61)*('Checks'!$B$4:$B$503=C$4)*'Checks'!$D$4:$D$503))),""))</f>
        <v/>
      </c>
      <c r="D61" s="31">
        <f>IF(OR($A61="",D$4=""),"",IFERROR(1/(1/SUMPRODUCT(MAX(('Checks'!$A$4:$A$503=$A61)*('Checks'!$B$4:$B$503=D$4)*'Checks'!$D$4:$D$503))),""))</f>
        <v/>
      </c>
      <c r="E61" s="31">
        <f>IF(OR($A61="",E$4=""),"",IFERROR(1/(1/SUMPRODUCT(MAX(('Checks'!$A$4:$A$503=$A61)*('Checks'!$B$4:$B$503=E$4)*'Checks'!$D$4:$D$503))),""))</f>
        <v/>
      </c>
      <c r="F61" s="31">
        <f>IF(OR($A61="",F$4=""),"",IFERROR(1/(1/SUMPRODUCT(MAX(('Checks'!$A$4:$A$503=$A61)*('Checks'!$B$4:$B$503=F$4)*'Checks'!$D$4:$D$503))),""))</f>
        <v/>
      </c>
      <c r="G61" s="31">
        <f>IF(OR($A61="",G$4=""),"",IFERROR(1/(1/SUMPRODUCT(MAX(('Checks'!$A$4:$A$503=$A61)*('Checks'!$B$4:$B$503=G$4)*'Checks'!$D$4:$D$503))),""))</f>
        <v/>
      </c>
      <c r="H61" s="31">
        <f>IF(OR($A61="",H$4=""),"",IFERROR(1/(1/SUMPRODUCT(MAX(('Checks'!$A$4:$A$503=$A61)*('Checks'!$B$4:$B$503=H$4)*'Checks'!$D$4:$D$503))),""))</f>
        <v/>
      </c>
      <c r="I61" s="31">
        <f>IF(OR($A61="",I$4=""),"",IFERROR(1/(1/SUMPRODUCT(MAX(('Checks'!$A$4:$A$503=$A61)*('Checks'!$B$4:$B$503=I$4)*'Checks'!$D$4:$D$503))),""))</f>
        <v/>
      </c>
      <c r="J61" s="31">
        <f>IF(OR($A61="",J$4=""),"",IFERROR(1/(1/SUMPRODUCT(MAX(('Checks'!$A$4:$A$503=$A61)*('Checks'!$B$4:$B$503=J$4)*'Checks'!$D$4:$D$503))),""))</f>
        <v/>
      </c>
      <c r="K61" s="31">
        <f>IF(OR($A61="",K$4=""),"",IFERROR(1/(1/SUMPRODUCT(MAX(('Checks'!$A$4:$A$503=$A61)*('Checks'!$B$4:$B$503=K$4)*'Checks'!$D$4:$D$503))),""))</f>
        <v/>
      </c>
    </row>
    <row r="62">
      <c r="A62" s="30" t="n"/>
      <c r="B62" s="31">
        <f>IF(OR($A62="",B$4=""),"",IFERROR(1/(1/SUMPRODUCT(MAX(('Checks'!$A$4:$A$503=$A62)*('Checks'!$B$4:$B$503=B$4)*'Checks'!$D$4:$D$503))),""))</f>
        <v/>
      </c>
      <c r="C62" s="31">
        <f>IF(OR($A62="",C$4=""),"",IFERROR(1/(1/SUMPRODUCT(MAX(('Checks'!$A$4:$A$503=$A62)*('Checks'!$B$4:$B$503=C$4)*'Checks'!$D$4:$D$503))),""))</f>
        <v/>
      </c>
      <c r="D62" s="31">
        <f>IF(OR($A62="",D$4=""),"",IFERROR(1/(1/SUMPRODUCT(MAX(('Checks'!$A$4:$A$503=$A62)*('Checks'!$B$4:$B$503=D$4)*'Checks'!$D$4:$D$503))),""))</f>
        <v/>
      </c>
      <c r="E62" s="31">
        <f>IF(OR($A62="",E$4=""),"",IFERROR(1/(1/SUMPRODUCT(MAX(('Checks'!$A$4:$A$503=$A62)*('Checks'!$B$4:$B$503=E$4)*'Checks'!$D$4:$D$503))),""))</f>
        <v/>
      </c>
      <c r="F62" s="31">
        <f>IF(OR($A62="",F$4=""),"",IFERROR(1/(1/SUMPRODUCT(MAX(('Checks'!$A$4:$A$503=$A62)*('Checks'!$B$4:$B$503=F$4)*'Checks'!$D$4:$D$503))),""))</f>
        <v/>
      </c>
      <c r="G62" s="31">
        <f>IF(OR($A62="",G$4=""),"",IFERROR(1/(1/SUMPRODUCT(MAX(('Checks'!$A$4:$A$503=$A62)*('Checks'!$B$4:$B$503=G$4)*'Checks'!$D$4:$D$503))),""))</f>
        <v/>
      </c>
      <c r="H62" s="31">
        <f>IF(OR($A62="",H$4=""),"",IFERROR(1/(1/SUMPRODUCT(MAX(('Checks'!$A$4:$A$503=$A62)*('Checks'!$B$4:$B$503=H$4)*'Checks'!$D$4:$D$503))),""))</f>
        <v/>
      </c>
      <c r="I62" s="31">
        <f>IF(OR($A62="",I$4=""),"",IFERROR(1/(1/SUMPRODUCT(MAX(('Checks'!$A$4:$A$503=$A62)*('Checks'!$B$4:$B$503=I$4)*'Checks'!$D$4:$D$503))),""))</f>
        <v/>
      </c>
      <c r="J62" s="31">
        <f>IF(OR($A62="",J$4=""),"",IFERROR(1/(1/SUMPRODUCT(MAX(('Checks'!$A$4:$A$503=$A62)*('Checks'!$B$4:$B$503=J$4)*'Checks'!$D$4:$D$503))),""))</f>
        <v/>
      </c>
      <c r="K62" s="31">
        <f>IF(OR($A62="",K$4=""),"",IFERROR(1/(1/SUMPRODUCT(MAX(('Checks'!$A$4:$A$503=$A62)*('Checks'!$B$4:$B$503=K$4)*'Checks'!$D$4:$D$503))),""))</f>
        <v/>
      </c>
    </row>
    <row r="63">
      <c r="A63" s="30" t="n"/>
      <c r="B63" s="31">
        <f>IF(OR($A63="",B$4=""),"",IFERROR(1/(1/SUMPRODUCT(MAX(('Checks'!$A$4:$A$503=$A63)*('Checks'!$B$4:$B$503=B$4)*'Checks'!$D$4:$D$503))),""))</f>
        <v/>
      </c>
      <c r="C63" s="31">
        <f>IF(OR($A63="",C$4=""),"",IFERROR(1/(1/SUMPRODUCT(MAX(('Checks'!$A$4:$A$503=$A63)*('Checks'!$B$4:$B$503=C$4)*'Checks'!$D$4:$D$503))),""))</f>
        <v/>
      </c>
      <c r="D63" s="31">
        <f>IF(OR($A63="",D$4=""),"",IFERROR(1/(1/SUMPRODUCT(MAX(('Checks'!$A$4:$A$503=$A63)*('Checks'!$B$4:$B$503=D$4)*'Checks'!$D$4:$D$503))),""))</f>
        <v/>
      </c>
      <c r="E63" s="31">
        <f>IF(OR($A63="",E$4=""),"",IFERROR(1/(1/SUMPRODUCT(MAX(('Checks'!$A$4:$A$503=$A63)*('Checks'!$B$4:$B$503=E$4)*'Checks'!$D$4:$D$503))),""))</f>
        <v/>
      </c>
      <c r="F63" s="31">
        <f>IF(OR($A63="",F$4=""),"",IFERROR(1/(1/SUMPRODUCT(MAX(('Checks'!$A$4:$A$503=$A63)*('Checks'!$B$4:$B$503=F$4)*'Checks'!$D$4:$D$503))),""))</f>
        <v/>
      </c>
      <c r="G63" s="31">
        <f>IF(OR($A63="",G$4=""),"",IFERROR(1/(1/SUMPRODUCT(MAX(('Checks'!$A$4:$A$503=$A63)*('Checks'!$B$4:$B$503=G$4)*'Checks'!$D$4:$D$503))),""))</f>
        <v/>
      </c>
      <c r="H63" s="31">
        <f>IF(OR($A63="",H$4=""),"",IFERROR(1/(1/SUMPRODUCT(MAX(('Checks'!$A$4:$A$503=$A63)*('Checks'!$B$4:$B$503=H$4)*'Checks'!$D$4:$D$503))),""))</f>
        <v/>
      </c>
      <c r="I63" s="31">
        <f>IF(OR($A63="",I$4=""),"",IFERROR(1/(1/SUMPRODUCT(MAX(('Checks'!$A$4:$A$503=$A63)*('Checks'!$B$4:$B$503=I$4)*'Checks'!$D$4:$D$503))),""))</f>
        <v/>
      </c>
      <c r="J63" s="31">
        <f>IF(OR($A63="",J$4=""),"",IFERROR(1/(1/SUMPRODUCT(MAX(('Checks'!$A$4:$A$503=$A63)*('Checks'!$B$4:$B$503=J$4)*'Checks'!$D$4:$D$503))),""))</f>
        <v/>
      </c>
      <c r="K63" s="31">
        <f>IF(OR($A63="",K$4=""),"",IFERROR(1/(1/SUMPRODUCT(MAX(('Checks'!$A$4:$A$503=$A63)*('Checks'!$B$4:$B$503=K$4)*'Checks'!$D$4:$D$503))),""))</f>
        <v/>
      </c>
    </row>
    <row r="64">
      <c r="A64" s="30" t="n"/>
      <c r="B64" s="31">
        <f>IF(OR($A64="",B$4=""),"",IFERROR(1/(1/SUMPRODUCT(MAX(('Checks'!$A$4:$A$503=$A64)*('Checks'!$B$4:$B$503=B$4)*'Checks'!$D$4:$D$503))),""))</f>
        <v/>
      </c>
      <c r="C64" s="31">
        <f>IF(OR($A64="",C$4=""),"",IFERROR(1/(1/SUMPRODUCT(MAX(('Checks'!$A$4:$A$503=$A64)*('Checks'!$B$4:$B$503=C$4)*'Checks'!$D$4:$D$503))),""))</f>
        <v/>
      </c>
      <c r="D64" s="31">
        <f>IF(OR($A64="",D$4=""),"",IFERROR(1/(1/SUMPRODUCT(MAX(('Checks'!$A$4:$A$503=$A64)*('Checks'!$B$4:$B$503=D$4)*'Checks'!$D$4:$D$503))),""))</f>
        <v/>
      </c>
      <c r="E64" s="31">
        <f>IF(OR($A64="",E$4=""),"",IFERROR(1/(1/SUMPRODUCT(MAX(('Checks'!$A$4:$A$503=$A64)*('Checks'!$B$4:$B$503=E$4)*'Checks'!$D$4:$D$503))),""))</f>
        <v/>
      </c>
      <c r="F64" s="31">
        <f>IF(OR($A64="",F$4=""),"",IFERROR(1/(1/SUMPRODUCT(MAX(('Checks'!$A$4:$A$503=$A64)*('Checks'!$B$4:$B$503=F$4)*'Checks'!$D$4:$D$503))),""))</f>
        <v/>
      </c>
      <c r="G64" s="31">
        <f>IF(OR($A64="",G$4=""),"",IFERROR(1/(1/SUMPRODUCT(MAX(('Checks'!$A$4:$A$503=$A64)*('Checks'!$B$4:$B$503=G$4)*'Checks'!$D$4:$D$503))),""))</f>
        <v/>
      </c>
      <c r="H64" s="31">
        <f>IF(OR($A64="",H$4=""),"",IFERROR(1/(1/SUMPRODUCT(MAX(('Checks'!$A$4:$A$503=$A64)*('Checks'!$B$4:$B$503=H$4)*'Checks'!$D$4:$D$503))),""))</f>
        <v/>
      </c>
      <c r="I64" s="31">
        <f>IF(OR($A64="",I$4=""),"",IFERROR(1/(1/SUMPRODUCT(MAX(('Checks'!$A$4:$A$503=$A64)*('Checks'!$B$4:$B$503=I$4)*'Checks'!$D$4:$D$503))),""))</f>
        <v/>
      </c>
      <c r="J64" s="31">
        <f>IF(OR($A64="",J$4=""),"",IFERROR(1/(1/SUMPRODUCT(MAX(('Checks'!$A$4:$A$503=$A64)*('Checks'!$B$4:$B$503=J$4)*'Checks'!$D$4:$D$503))),""))</f>
        <v/>
      </c>
      <c r="K64" s="31">
        <f>IF(OR($A64="",K$4=""),"",IFERROR(1/(1/SUMPRODUCT(MAX(('Checks'!$A$4:$A$503=$A64)*('Checks'!$B$4:$B$503=K$4)*'Checks'!$D$4:$D$503))),""))</f>
        <v/>
      </c>
    </row>
    <row r="65">
      <c r="A65" s="30" t="n"/>
      <c r="B65" s="31">
        <f>IF(OR($A65="",B$4=""),"",IFERROR(1/(1/SUMPRODUCT(MAX(('Checks'!$A$4:$A$503=$A65)*('Checks'!$B$4:$B$503=B$4)*'Checks'!$D$4:$D$503))),""))</f>
        <v/>
      </c>
      <c r="C65" s="31">
        <f>IF(OR($A65="",C$4=""),"",IFERROR(1/(1/SUMPRODUCT(MAX(('Checks'!$A$4:$A$503=$A65)*('Checks'!$B$4:$B$503=C$4)*'Checks'!$D$4:$D$503))),""))</f>
        <v/>
      </c>
      <c r="D65" s="31">
        <f>IF(OR($A65="",D$4=""),"",IFERROR(1/(1/SUMPRODUCT(MAX(('Checks'!$A$4:$A$503=$A65)*('Checks'!$B$4:$B$503=D$4)*'Checks'!$D$4:$D$503))),""))</f>
        <v/>
      </c>
      <c r="E65" s="31">
        <f>IF(OR($A65="",E$4=""),"",IFERROR(1/(1/SUMPRODUCT(MAX(('Checks'!$A$4:$A$503=$A65)*('Checks'!$B$4:$B$503=E$4)*'Checks'!$D$4:$D$503))),""))</f>
        <v/>
      </c>
      <c r="F65" s="31">
        <f>IF(OR($A65="",F$4=""),"",IFERROR(1/(1/SUMPRODUCT(MAX(('Checks'!$A$4:$A$503=$A65)*('Checks'!$B$4:$B$503=F$4)*'Checks'!$D$4:$D$503))),""))</f>
        <v/>
      </c>
      <c r="G65" s="31">
        <f>IF(OR($A65="",G$4=""),"",IFERROR(1/(1/SUMPRODUCT(MAX(('Checks'!$A$4:$A$503=$A65)*('Checks'!$B$4:$B$503=G$4)*'Checks'!$D$4:$D$503))),""))</f>
        <v/>
      </c>
      <c r="H65" s="31">
        <f>IF(OR($A65="",H$4=""),"",IFERROR(1/(1/SUMPRODUCT(MAX(('Checks'!$A$4:$A$503=$A65)*('Checks'!$B$4:$B$503=H$4)*'Checks'!$D$4:$D$503))),""))</f>
        <v/>
      </c>
      <c r="I65" s="31">
        <f>IF(OR($A65="",I$4=""),"",IFERROR(1/(1/SUMPRODUCT(MAX(('Checks'!$A$4:$A$503=$A65)*('Checks'!$B$4:$B$503=I$4)*'Checks'!$D$4:$D$503))),""))</f>
        <v/>
      </c>
      <c r="J65" s="31">
        <f>IF(OR($A65="",J$4=""),"",IFERROR(1/(1/SUMPRODUCT(MAX(('Checks'!$A$4:$A$503=$A65)*('Checks'!$B$4:$B$503=J$4)*'Checks'!$D$4:$D$503))),""))</f>
        <v/>
      </c>
      <c r="K65" s="31">
        <f>IF(OR($A65="",K$4=""),"",IFERROR(1/(1/SUMPRODUCT(MAX(('Checks'!$A$4:$A$503=$A65)*('Checks'!$B$4:$B$503=K$4)*'Checks'!$D$4:$D$503))),""))</f>
        <v/>
      </c>
    </row>
    <row r="66">
      <c r="A66" s="30" t="n"/>
      <c r="B66" s="31">
        <f>IF(OR($A66="",B$4=""),"",IFERROR(1/(1/SUMPRODUCT(MAX(('Checks'!$A$4:$A$503=$A66)*('Checks'!$B$4:$B$503=B$4)*'Checks'!$D$4:$D$503))),""))</f>
        <v/>
      </c>
      <c r="C66" s="31">
        <f>IF(OR($A66="",C$4=""),"",IFERROR(1/(1/SUMPRODUCT(MAX(('Checks'!$A$4:$A$503=$A66)*('Checks'!$B$4:$B$503=C$4)*'Checks'!$D$4:$D$503))),""))</f>
        <v/>
      </c>
      <c r="D66" s="31">
        <f>IF(OR($A66="",D$4=""),"",IFERROR(1/(1/SUMPRODUCT(MAX(('Checks'!$A$4:$A$503=$A66)*('Checks'!$B$4:$B$503=D$4)*'Checks'!$D$4:$D$503))),""))</f>
        <v/>
      </c>
      <c r="E66" s="31">
        <f>IF(OR($A66="",E$4=""),"",IFERROR(1/(1/SUMPRODUCT(MAX(('Checks'!$A$4:$A$503=$A66)*('Checks'!$B$4:$B$503=E$4)*'Checks'!$D$4:$D$503))),""))</f>
        <v/>
      </c>
      <c r="F66" s="31">
        <f>IF(OR($A66="",F$4=""),"",IFERROR(1/(1/SUMPRODUCT(MAX(('Checks'!$A$4:$A$503=$A66)*('Checks'!$B$4:$B$503=F$4)*'Checks'!$D$4:$D$503))),""))</f>
        <v/>
      </c>
      <c r="G66" s="31">
        <f>IF(OR($A66="",G$4=""),"",IFERROR(1/(1/SUMPRODUCT(MAX(('Checks'!$A$4:$A$503=$A66)*('Checks'!$B$4:$B$503=G$4)*'Checks'!$D$4:$D$503))),""))</f>
        <v/>
      </c>
      <c r="H66" s="31">
        <f>IF(OR($A66="",H$4=""),"",IFERROR(1/(1/SUMPRODUCT(MAX(('Checks'!$A$4:$A$503=$A66)*('Checks'!$B$4:$B$503=H$4)*'Checks'!$D$4:$D$503))),""))</f>
        <v/>
      </c>
      <c r="I66" s="31">
        <f>IF(OR($A66="",I$4=""),"",IFERROR(1/(1/SUMPRODUCT(MAX(('Checks'!$A$4:$A$503=$A66)*('Checks'!$B$4:$B$503=I$4)*'Checks'!$D$4:$D$503))),""))</f>
        <v/>
      </c>
      <c r="J66" s="31">
        <f>IF(OR($A66="",J$4=""),"",IFERROR(1/(1/SUMPRODUCT(MAX(('Checks'!$A$4:$A$503=$A66)*('Checks'!$B$4:$B$503=J$4)*'Checks'!$D$4:$D$503))),""))</f>
        <v/>
      </c>
      <c r="K66" s="31">
        <f>IF(OR($A66="",K$4=""),"",IFERROR(1/(1/SUMPRODUCT(MAX(('Checks'!$A$4:$A$503=$A66)*('Checks'!$B$4:$B$503=K$4)*'Checks'!$D$4:$D$503))),""))</f>
        <v/>
      </c>
    </row>
    <row r="67">
      <c r="A67" s="30" t="n"/>
      <c r="B67" s="31">
        <f>IF(OR($A67="",B$4=""),"",IFERROR(1/(1/SUMPRODUCT(MAX(('Checks'!$A$4:$A$503=$A67)*('Checks'!$B$4:$B$503=B$4)*'Checks'!$D$4:$D$503))),""))</f>
        <v/>
      </c>
      <c r="C67" s="31">
        <f>IF(OR($A67="",C$4=""),"",IFERROR(1/(1/SUMPRODUCT(MAX(('Checks'!$A$4:$A$503=$A67)*('Checks'!$B$4:$B$503=C$4)*'Checks'!$D$4:$D$503))),""))</f>
        <v/>
      </c>
      <c r="D67" s="31">
        <f>IF(OR($A67="",D$4=""),"",IFERROR(1/(1/SUMPRODUCT(MAX(('Checks'!$A$4:$A$503=$A67)*('Checks'!$B$4:$B$503=D$4)*'Checks'!$D$4:$D$503))),""))</f>
        <v/>
      </c>
      <c r="E67" s="31">
        <f>IF(OR($A67="",E$4=""),"",IFERROR(1/(1/SUMPRODUCT(MAX(('Checks'!$A$4:$A$503=$A67)*('Checks'!$B$4:$B$503=E$4)*'Checks'!$D$4:$D$503))),""))</f>
        <v/>
      </c>
      <c r="F67" s="31">
        <f>IF(OR($A67="",F$4=""),"",IFERROR(1/(1/SUMPRODUCT(MAX(('Checks'!$A$4:$A$503=$A67)*('Checks'!$B$4:$B$503=F$4)*'Checks'!$D$4:$D$503))),""))</f>
        <v/>
      </c>
      <c r="G67" s="31">
        <f>IF(OR($A67="",G$4=""),"",IFERROR(1/(1/SUMPRODUCT(MAX(('Checks'!$A$4:$A$503=$A67)*('Checks'!$B$4:$B$503=G$4)*'Checks'!$D$4:$D$503))),""))</f>
        <v/>
      </c>
      <c r="H67" s="31">
        <f>IF(OR($A67="",H$4=""),"",IFERROR(1/(1/SUMPRODUCT(MAX(('Checks'!$A$4:$A$503=$A67)*('Checks'!$B$4:$B$503=H$4)*'Checks'!$D$4:$D$503))),""))</f>
        <v/>
      </c>
      <c r="I67" s="31">
        <f>IF(OR($A67="",I$4=""),"",IFERROR(1/(1/SUMPRODUCT(MAX(('Checks'!$A$4:$A$503=$A67)*('Checks'!$B$4:$B$503=I$4)*'Checks'!$D$4:$D$503))),""))</f>
        <v/>
      </c>
      <c r="J67" s="31">
        <f>IF(OR($A67="",J$4=""),"",IFERROR(1/(1/SUMPRODUCT(MAX(('Checks'!$A$4:$A$503=$A67)*('Checks'!$B$4:$B$503=J$4)*'Checks'!$D$4:$D$503))),""))</f>
        <v/>
      </c>
      <c r="K67" s="31">
        <f>IF(OR($A67="",K$4=""),"",IFERROR(1/(1/SUMPRODUCT(MAX(('Checks'!$A$4:$A$503=$A67)*('Checks'!$B$4:$B$503=K$4)*'Checks'!$D$4:$D$503))),""))</f>
        <v/>
      </c>
    </row>
    <row r="68">
      <c r="A68" s="30" t="n"/>
      <c r="B68" s="31">
        <f>IF(OR($A68="",B$4=""),"",IFERROR(1/(1/SUMPRODUCT(MAX(('Checks'!$A$4:$A$503=$A68)*('Checks'!$B$4:$B$503=B$4)*'Checks'!$D$4:$D$503))),""))</f>
        <v/>
      </c>
      <c r="C68" s="31">
        <f>IF(OR($A68="",C$4=""),"",IFERROR(1/(1/SUMPRODUCT(MAX(('Checks'!$A$4:$A$503=$A68)*('Checks'!$B$4:$B$503=C$4)*'Checks'!$D$4:$D$503))),""))</f>
        <v/>
      </c>
      <c r="D68" s="31">
        <f>IF(OR($A68="",D$4=""),"",IFERROR(1/(1/SUMPRODUCT(MAX(('Checks'!$A$4:$A$503=$A68)*('Checks'!$B$4:$B$503=D$4)*'Checks'!$D$4:$D$503))),""))</f>
        <v/>
      </c>
      <c r="E68" s="31">
        <f>IF(OR($A68="",E$4=""),"",IFERROR(1/(1/SUMPRODUCT(MAX(('Checks'!$A$4:$A$503=$A68)*('Checks'!$B$4:$B$503=E$4)*'Checks'!$D$4:$D$503))),""))</f>
        <v/>
      </c>
      <c r="F68" s="31">
        <f>IF(OR($A68="",F$4=""),"",IFERROR(1/(1/SUMPRODUCT(MAX(('Checks'!$A$4:$A$503=$A68)*('Checks'!$B$4:$B$503=F$4)*'Checks'!$D$4:$D$503))),""))</f>
        <v/>
      </c>
      <c r="G68" s="31">
        <f>IF(OR($A68="",G$4=""),"",IFERROR(1/(1/SUMPRODUCT(MAX(('Checks'!$A$4:$A$503=$A68)*('Checks'!$B$4:$B$503=G$4)*'Checks'!$D$4:$D$503))),""))</f>
        <v/>
      </c>
      <c r="H68" s="31">
        <f>IF(OR($A68="",H$4=""),"",IFERROR(1/(1/SUMPRODUCT(MAX(('Checks'!$A$4:$A$503=$A68)*('Checks'!$B$4:$B$503=H$4)*'Checks'!$D$4:$D$503))),""))</f>
        <v/>
      </c>
      <c r="I68" s="31">
        <f>IF(OR($A68="",I$4=""),"",IFERROR(1/(1/SUMPRODUCT(MAX(('Checks'!$A$4:$A$503=$A68)*('Checks'!$B$4:$B$503=I$4)*'Checks'!$D$4:$D$503))),""))</f>
        <v/>
      </c>
      <c r="J68" s="31">
        <f>IF(OR($A68="",J$4=""),"",IFERROR(1/(1/SUMPRODUCT(MAX(('Checks'!$A$4:$A$503=$A68)*('Checks'!$B$4:$B$503=J$4)*'Checks'!$D$4:$D$503))),""))</f>
        <v/>
      </c>
      <c r="K68" s="31">
        <f>IF(OR($A68="",K$4=""),"",IFERROR(1/(1/SUMPRODUCT(MAX(('Checks'!$A$4:$A$503=$A68)*('Checks'!$B$4:$B$503=K$4)*'Checks'!$D$4:$D$503))),""))</f>
        <v/>
      </c>
    </row>
    <row r="69">
      <c r="A69" s="30" t="n"/>
      <c r="B69" s="31">
        <f>IF(OR($A69="",B$4=""),"",IFERROR(1/(1/SUMPRODUCT(MAX(('Checks'!$A$4:$A$503=$A69)*('Checks'!$B$4:$B$503=B$4)*'Checks'!$D$4:$D$503))),""))</f>
        <v/>
      </c>
      <c r="C69" s="31">
        <f>IF(OR($A69="",C$4=""),"",IFERROR(1/(1/SUMPRODUCT(MAX(('Checks'!$A$4:$A$503=$A69)*('Checks'!$B$4:$B$503=C$4)*'Checks'!$D$4:$D$503))),""))</f>
        <v/>
      </c>
      <c r="D69" s="31">
        <f>IF(OR($A69="",D$4=""),"",IFERROR(1/(1/SUMPRODUCT(MAX(('Checks'!$A$4:$A$503=$A69)*('Checks'!$B$4:$B$503=D$4)*'Checks'!$D$4:$D$503))),""))</f>
        <v/>
      </c>
      <c r="E69" s="31">
        <f>IF(OR($A69="",E$4=""),"",IFERROR(1/(1/SUMPRODUCT(MAX(('Checks'!$A$4:$A$503=$A69)*('Checks'!$B$4:$B$503=E$4)*'Checks'!$D$4:$D$503))),""))</f>
        <v/>
      </c>
      <c r="F69" s="31">
        <f>IF(OR($A69="",F$4=""),"",IFERROR(1/(1/SUMPRODUCT(MAX(('Checks'!$A$4:$A$503=$A69)*('Checks'!$B$4:$B$503=F$4)*'Checks'!$D$4:$D$503))),""))</f>
        <v/>
      </c>
      <c r="G69" s="31">
        <f>IF(OR($A69="",G$4=""),"",IFERROR(1/(1/SUMPRODUCT(MAX(('Checks'!$A$4:$A$503=$A69)*('Checks'!$B$4:$B$503=G$4)*'Checks'!$D$4:$D$503))),""))</f>
        <v/>
      </c>
      <c r="H69" s="31">
        <f>IF(OR($A69="",H$4=""),"",IFERROR(1/(1/SUMPRODUCT(MAX(('Checks'!$A$4:$A$503=$A69)*('Checks'!$B$4:$B$503=H$4)*'Checks'!$D$4:$D$503))),""))</f>
        <v/>
      </c>
      <c r="I69" s="31">
        <f>IF(OR($A69="",I$4=""),"",IFERROR(1/(1/SUMPRODUCT(MAX(('Checks'!$A$4:$A$503=$A69)*('Checks'!$B$4:$B$503=I$4)*'Checks'!$D$4:$D$503))),""))</f>
        <v/>
      </c>
      <c r="J69" s="31">
        <f>IF(OR($A69="",J$4=""),"",IFERROR(1/(1/SUMPRODUCT(MAX(('Checks'!$A$4:$A$503=$A69)*('Checks'!$B$4:$B$503=J$4)*'Checks'!$D$4:$D$503))),""))</f>
        <v/>
      </c>
      <c r="K69" s="31">
        <f>IF(OR($A69="",K$4=""),"",IFERROR(1/(1/SUMPRODUCT(MAX(('Checks'!$A$4:$A$503=$A69)*('Checks'!$B$4:$B$503=K$4)*'Checks'!$D$4:$D$503))),""))</f>
        <v/>
      </c>
    </row>
    <row r="70">
      <c r="A70" s="30" t="n"/>
      <c r="B70" s="31">
        <f>IF(OR($A70="",B$4=""),"",IFERROR(1/(1/SUMPRODUCT(MAX(('Checks'!$A$4:$A$503=$A70)*('Checks'!$B$4:$B$503=B$4)*'Checks'!$D$4:$D$503))),""))</f>
        <v/>
      </c>
      <c r="C70" s="31">
        <f>IF(OR($A70="",C$4=""),"",IFERROR(1/(1/SUMPRODUCT(MAX(('Checks'!$A$4:$A$503=$A70)*('Checks'!$B$4:$B$503=C$4)*'Checks'!$D$4:$D$503))),""))</f>
        <v/>
      </c>
      <c r="D70" s="31">
        <f>IF(OR($A70="",D$4=""),"",IFERROR(1/(1/SUMPRODUCT(MAX(('Checks'!$A$4:$A$503=$A70)*('Checks'!$B$4:$B$503=D$4)*'Checks'!$D$4:$D$503))),""))</f>
        <v/>
      </c>
      <c r="E70" s="31">
        <f>IF(OR($A70="",E$4=""),"",IFERROR(1/(1/SUMPRODUCT(MAX(('Checks'!$A$4:$A$503=$A70)*('Checks'!$B$4:$B$503=E$4)*'Checks'!$D$4:$D$503))),""))</f>
        <v/>
      </c>
      <c r="F70" s="31">
        <f>IF(OR($A70="",F$4=""),"",IFERROR(1/(1/SUMPRODUCT(MAX(('Checks'!$A$4:$A$503=$A70)*('Checks'!$B$4:$B$503=F$4)*'Checks'!$D$4:$D$503))),""))</f>
        <v/>
      </c>
      <c r="G70" s="31">
        <f>IF(OR($A70="",G$4=""),"",IFERROR(1/(1/SUMPRODUCT(MAX(('Checks'!$A$4:$A$503=$A70)*('Checks'!$B$4:$B$503=G$4)*'Checks'!$D$4:$D$503))),""))</f>
        <v/>
      </c>
      <c r="H70" s="31">
        <f>IF(OR($A70="",H$4=""),"",IFERROR(1/(1/SUMPRODUCT(MAX(('Checks'!$A$4:$A$503=$A70)*('Checks'!$B$4:$B$503=H$4)*'Checks'!$D$4:$D$503))),""))</f>
        <v/>
      </c>
      <c r="I70" s="31">
        <f>IF(OR($A70="",I$4=""),"",IFERROR(1/(1/SUMPRODUCT(MAX(('Checks'!$A$4:$A$503=$A70)*('Checks'!$B$4:$B$503=I$4)*'Checks'!$D$4:$D$503))),""))</f>
        <v/>
      </c>
      <c r="J70" s="31">
        <f>IF(OR($A70="",J$4=""),"",IFERROR(1/(1/SUMPRODUCT(MAX(('Checks'!$A$4:$A$503=$A70)*('Checks'!$B$4:$B$503=J$4)*'Checks'!$D$4:$D$503))),""))</f>
        <v/>
      </c>
      <c r="K70" s="31">
        <f>IF(OR($A70="",K$4=""),"",IFERROR(1/(1/SUMPRODUCT(MAX(('Checks'!$A$4:$A$503=$A70)*('Checks'!$B$4:$B$503=K$4)*'Checks'!$D$4:$D$503))),""))</f>
        <v/>
      </c>
    </row>
    <row r="71">
      <c r="A71" s="30" t="n"/>
      <c r="B71" s="31">
        <f>IF(OR($A71="",B$4=""),"",IFERROR(1/(1/SUMPRODUCT(MAX(('Checks'!$A$4:$A$503=$A71)*('Checks'!$B$4:$B$503=B$4)*'Checks'!$D$4:$D$503))),""))</f>
        <v/>
      </c>
      <c r="C71" s="31">
        <f>IF(OR($A71="",C$4=""),"",IFERROR(1/(1/SUMPRODUCT(MAX(('Checks'!$A$4:$A$503=$A71)*('Checks'!$B$4:$B$503=C$4)*'Checks'!$D$4:$D$503))),""))</f>
        <v/>
      </c>
      <c r="D71" s="31">
        <f>IF(OR($A71="",D$4=""),"",IFERROR(1/(1/SUMPRODUCT(MAX(('Checks'!$A$4:$A$503=$A71)*('Checks'!$B$4:$B$503=D$4)*'Checks'!$D$4:$D$503))),""))</f>
        <v/>
      </c>
      <c r="E71" s="31">
        <f>IF(OR($A71="",E$4=""),"",IFERROR(1/(1/SUMPRODUCT(MAX(('Checks'!$A$4:$A$503=$A71)*('Checks'!$B$4:$B$503=E$4)*'Checks'!$D$4:$D$503))),""))</f>
        <v/>
      </c>
      <c r="F71" s="31">
        <f>IF(OR($A71="",F$4=""),"",IFERROR(1/(1/SUMPRODUCT(MAX(('Checks'!$A$4:$A$503=$A71)*('Checks'!$B$4:$B$503=F$4)*'Checks'!$D$4:$D$503))),""))</f>
        <v/>
      </c>
      <c r="G71" s="31">
        <f>IF(OR($A71="",G$4=""),"",IFERROR(1/(1/SUMPRODUCT(MAX(('Checks'!$A$4:$A$503=$A71)*('Checks'!$B$4:$B$503=G$4)*'Checks'!$D$4:$D$503))),""))</f>
        <v/>
      </c>
      <c r="H71" s="31">
        <f>IF(OR($A71="",H$4=""),"",IFERROR(1/(1/SUMPRODUCT(MAX(('Checks'!$A$4:$A$503=$A71)*('Checks'!$B$4:$B$503=H$4)*'Checks'!$D$4:$D$503))),""))</f>
        <v/>
      </c>
      <c r="I71" s="31">
        <f>IF(OR($A71="",I$4=""),"",IFERROR(1/(1/SUMPRODUCT(MAX(('Checks'!$A$4:$A$503=$A71)*('Checks'!$B$4:$B$503=I$4)*'Checks'!$D$4:$D$503))),""))</f>
        <v/>
      </c>
      <c r="J71" s="31">
        <f>IF(OR($A71="",J$4=""),"",IFERROR(1/(1/SUMPRODUCT(MAX(('Checks'!$A$4:$A$503=$A71)*('Checks'!$B$4:$B$503=J$4)*'Checks'!$D$4:$D$503))),""))</f>
        <v/>
      </c>
      <c r="K71" s="31">
        <f>IF(OR($A71="",K$4=""),"",IFERROR(1/(1/SUMPRODUCT(MAX(('Checks'!$A$4:$A$503=$A71)*('Checks'!$B$4:$B$503=K$4)*'Checks'!$D$4:$D$503))),""))</f>
        <v/>
      </c>
    </row>
    <row r="72">
      <c r="A72" s="30" t="n"/>
      <c r="B72" s="31">
        <f>IF(OR($A72="",B$4=""),"",IFERROR(1/(1/SUMPRODUCT(MAX(('Checks'!$A$4:$A$503=$A72)*('Checks'!$B$4:$B$503=B$4)*'Checks'!$D$4:$D$503))),""))</f>
        <v/>
      </c>
      <c r="C72" s="31">
        <f>IF(OR($A72="",C$4=""),"",IFERROR(1/(1/SUMPRODUCT(MAX(('Checks'!$A$4:$A$503=$A72)*('Checks'!$B$4:$B$503=C$4)*'Checks'!$D$4:$D$503))),""))</f>
        <v/>
      </c>
      <c r="D72" s="31">
        <f>IF(OR($A72="",D$4=""),"",IFERROR(1/(1/SUMPRODUCT(MAX(('Checks'!$A$4:$A$503=$A72)*('Checks'!$B$4:$B$503=D$4)*'Checks'!$D$4:$D$503))),""))</f>
        <v/>
      </c>
      <c r="E72" s="31">
        <f>IF(OR($A72="",E$4=""),"",IFERROR(1/(1/SUMPRODUCT(MAX(('Checks'!$A$4:$A$503=$A72)*('Checks'!$B$4:$B$503=E$4)*'Checks'!$D$4:$D$503))),""))</f>
        <v/>
      </c>
      <c r="F72" s="31">
        <f>IF(OR($A72="",F$4=""),"",IFERROR(1/(1/SUMPRODUCT(MAX(('Checks'!$A$4:$A$503=$A72)*('Checks'!$B$4:$B$503=F$4)*'Checks'!$D$4:$D$503))),""))</f>
        <v/>
      </c>
      <c r="G72" s="31">
        <f>IF(OR($A72="",G$4=""),"",IFERROR(1/(1/SUMPRODUCT(MAX(('Checks'!$A$4:$A$503=$A72)*('Checks'!$B$4:$B$503=G$4)*'Checks'!$D$4:$D$503))),""))</f>
        <v/>
      </c>
      <c r="H72" s="31">
        <f>IF(OR($A72="",H$4=""),"",IFERROR(1/(1/SUMPRODUCT(MAX(('Checks'!$A$4:$A$503=$A72)*('Checks'!$B$4:$B$503=H$4)*'Checks'!$D$4:$D$503))),""))</f>
        <v/>
      </c>
      <c r="I72" s="31">
        <f>IF(OR($A72="",I$4=""),"",IFERROR(1/(1/SUMPRODUCT(MAX(('Checks'!$A$4:$A$503=$A72)*('Checks'!$B$4:$B$503=I$4)*'Checks'!$D$4:$D$503))),""))</f>
        <v/>
      </c>
      <c r="J72" s="31">
        <f>IF(OR($A72="",J$4=""),"",IFERROR(1/(1/SUMPRODUCT(MAX(('Checks'!$A$4:$A$503=$A72)*('Checks'!$B$4:$B$503=J$4)*'Checks'!$D$4:$D$503))),""))</f>
        <v/>
      </c>
      <c r="K72" s="31">
        <f>IF(OR($A72="",K$4=""),"",IFERROR(1/(1/SUMPRODUCT(MAX(('Checks'!$A$4:$A$503=$A72)*('Checks'!$B$4:$B$503=K$4)*'Checks'!$D$4:$D$503))),""))</f>
        <v/>
      </c>
    </row>
    <row r="73">
      <c r="A73" s="30" t="n"/>
      <c r="B73" s="31">
        <f>IF(OR($A73="",B$4=""),"",IFERROR(1/(1/SUMPRODUCT(MAX(('Checks'!$A$4:$A$503=$A73)*('Checks'!$B$4:$B$503=B$4)*'Checks'!$D$4:$D$503))),""))</f>
        <v/>
      </c>
      <c r="C73" s="31">
        <f>IF(OR($A73="",C$4=""),"",IFERROR(1/(1/SUMPRODUCT(MAX(('Checks'!$A$4:$A$503=$A73)*('Checks'!$B$4:$B$503=C$4)*'Checks'!$D$4:$D$503))),""))</f>
        <v/>
      </c>
      <c r="D73" s="31">
        <f>IF(OR($A73="",D$4=""),"",IFERROR(1/(1/SUMPRODUCT(MAX(('Checks'!$A$4:$A$503=$A73)*('Checks'!$B$4:$B$503=D$4)*'Checks'!$D$4:$D$503))),""))</f>
        <v/>
      </c>
      <c r="E73" s="31">
        <f>IF(OR($A73="",E$4=""),"",IFERROR(1/(1/SUMPRODUCT(MAX(('Checks'!$A$4:$A$503=$A73)*('Checks'!$B$4:$B$503=E$4)*'Checks'!$D$4:$D$503))),""))</f>
        <v/>
      </c>
      <c r="F73" s="31">
        <f>IF(OR($A73="",F$4=""),"",IFERROR(1/(1/SUMPRODUCT(MAX(('Checks'!$A$4:$A$503=$A73)*('Checks'!$B$4:$B$503=F$4)*'Checks'!$D$4:$D$503))),""))</f>
        <v/>
      </c>
      <c r="G73" s="31">
        <f>IF(OR($A73="",G$4=""),"",IFERROR(1/(1/SUMPRODUCT(MAX(('Checks'!$A$4:$A$503=$A73)*('Checks'!$B$4:$B$503=G$4)*'Checks'!$D$4:$D$503))),""))</f>
        <v/>
      </c>
      <c r="H73" s="31">
        <f>IF(OR($A73="",H$4=""),"",IFERROR(1/(1/SUMPRODUCT(MAX(('Checks'!$A$4:$A$503=$A73)*('Checks'!$B$4:$B$503=H$4)*'Checks'!$D$4:$D$503))),""))</f>
        <v/>
      </c>
      <c r="I73" s="31">
        <f>IF(OR($A73="",I$4=""),"",IFERROR(1/(1/SUMPRODUCT(MAX(('Checks'!$A$4:$A$503=$A73)*('Checks'!$B$4:$B$503=I$4)*'Checks'!$D$4:$D$503))),""))</f>
        <v/>
      </c>
      <c r="J73" s="31">
        <f>IF(OR($A73="",J$4=""),"",IFERROR(1/(1/SUMPRODUCT(MAX(('Checks'!$A$4:$A$503=$A73)*('Checks'!$B$4:$B$503=J$4)*'Checks'!$D$4:$D$503))),""))</f>
        <v/>
      </c>
      <c r="K73" s="31">
        <f>IF(OR($A73="",K$4=""),"",IFERROR(1/(1/SUMPRODUCT(MAX(('Checks'!$A$4:$A$503=$A73)*('Checks'!$B$4:$B$503=K$4)*'Checks'!$D$4:$D$503))),""))</f>
        <v/>
      </c>
    </row>
    <row r="74">
      <c r="A74" s="30" t="n"/>
      <c r="B74" s="31">
        <f>IF(OR($A74="",B$4=""),"",IFERROR(1/(1/SUMPRODUCT(MAX(('Checks'!$A$4:$A$503=$A74)*('Checks'!$B$4:$B$503=B$4)*'Checks'!$D$4:$D$503))),""))</f>
        <v/>
      </c>
      <c r="C74" s="31">
        <f>IF(OR($A74="",C$4=""),"",IFERROR(1/(1/SUMPRODUCT(MAX(('Checks'!$A$4:$A$503=$A74)*('Checks'!$B$4:$B$503=C$4)*'Checks'!$D$4:$D$503))),""))</f>
        <v/>
      </c>
      <c r="D74" s="31">
        <f>IF(OR($A74="",D$4=""),"",IFERROR(1/(1/SUMPRODUCT(MAX(('Checks'!$A$4:$A$503=$A74)*('Checks'!$B$4:$B$503=D$4)*'Checks'!$D$4:$D$503))),""))</f>
        <v/>
      </c>
      <c r="E74" s="31">
        <f>IF(OR($A74="",E$4=""),"",IFERROR(1/(1/SUMPRODUCT(MAX(('Checks'!$A$4:$A$503=$A74)*('Checks'!$B$4:$B$503=E$4)*'Checks'!$D$4:$D$503))),""))</f>
        <v/>
      </c>
      <c r="F74" s="31">
        <f>IF(OR($A74="",F$4=""),"",IFERROR(1/(1/SUMPRODUCT(MAX(('Checks'!$A$4:$A$503=$A74)*('Checks'!$B$4:$B$503=F$4)*'Checks'!$D$4:$D$503))),""))</f>
        <v/>
      </c>
      <c r="G74" s="31">
        <f>IF(OR($A74="",G$4=""),"",IFERROR(1/(1/SUMPRODUCT(MAX(('Checks'!$A$4:$A$503=$A74)*('Checks'!$B$4:$B$503=G$4)*'Checks'!$D$4:$D$503))),""))</f>
        <v/>
      </c>
      <c r="H74" s="31">
        <f>IF(OR($A74="",H$4=""),"",IFERROR(1/(1/SUMPRODUCT(MAX(('Checks'!$A$4:$A$503=$A74)*('Checks'!$B$4:$B$503=H$4)*'Checks'!$D$4:$D$503))),""))</f>
        <v/>
      </c>
      <c r="I74" s="31">
        <f>IF(OR($A74="",I$4=""),"",IFERROR(1/(1/SUMPRODUCT(MAX(('Checks'!$A$4:$A$503=$A74)*('Checks'!$B$4:$B$503=I$4)*'Checks'!$D$4:$D$503))),""))</f>
        <v/>
      </c>
      <c r="J74" s="31">
        <f>IF(OR($A74="",J$4=""),"",IFERROR(1/(1/SUMPRODUCT(MAX(('Checks'!$A$4:$A$503=$A74)*('Checks'!$B$4:$B$503=J$4)*'Checks'!$D$4:$D$503))),""))</f>
        <v/>
      </c>
      <c r="K74" s="31">
        <f>IF(OR($A74="",K$4=""),"",IFERROR(1/(1/SUMPRODUCT(MAX(('Checks'!$A$4:$A$503=$A74)*('Checks'!$B$4:$B$503=K$4)*'Checks'!$D$4:$D$503))),""))</f>
        <v/>
      </c>
    </row>
    <row r="75">
      <c r="A75" s="30" t="n"/>
      <c r="B75" s="31">
        <f>IF(OR($A75="",B$4=""),"",IFERROR(1/(1/SUMPRODUCT(MAX(('Checks'!$A$4:$A$503=$A75)*('Checks'!$B$4:$B$503=B$4)*'Checks'!$D$4:$D$503))),""))</f>
        <v/>
      </c>
      <c r="C75" s="31">
        <f>IF(OR($A75="",C$4=""),"",IFERROR(1/(1/SUMPRODUCT(MAX(('Checks'!$A$4:$A$503=$A75)*('Checks'!$B$4:$B$503=C$4)*'Checks'!$D$4:$D$503))),""))</f>
        <v/>
      </c>
      <c r="D75" s="31">
        <f>IF(OR($A75="",D$4=""),"",IFERROR(1/(1/SUMPRODUCT(MAX(('Checks'!$A$4:$A$503=$A75)*('Checks'!$B$4:$B$503=D$4)*'Checks'!$D$4:$D$503))),""))</f>
        <v/>
      </c>
      <c r="E75" s="31">
        <f>IF(OR($A75="",E$4=""),"",IFERROR(1/(1/SUMPRODUCT(MAX(('Checks'!$A$4:$A$503=$A75)*('Checks'!$B$4:$B$503=E$4)*'Checks'!$D$4:$D$503))),""))</f>
        <v/>
      </c>
      <c r="F75" s="31">
        <f>IF(OR($A75="",F$4=""),"",IFERROR(1/(1/SUMPRODUCT(MAX(('Checks'!$A$4:$A$503=$A75)*('Checks'!$B$4:$B$503=F$4)*'Checks'!$D$4:$D$503))),""))</f>
        <v/>
      </c>
      <c r="G75" s="31">
        <f>IF(OR($A75="",G$4=""),"",IFERROR(1/(1/SUMPRODUCT(MAX(('Checks'!$A$4:$A$503=$A75)*('Checks'!$B$4:$B$503=G$4)*'Checks'!$D$4:$D$503))),""))</f>
        <v/>
      </c>
      <c r="H75" s="31">
        <f>IF(OR($A75="",H$4=""),"",IFERROR(1/(1/SUMPRODUCT(MAX(('Checks'!$A$4:$A$503=$A75)*('Checks'!$B$4:$B$503=H$4)*'Checks'!$D$4:$D$503))),""))</f>
        <v/>
      </c>
      <c r="I75" s="31">
        <f>IF(OR($A75="",I$4=""),"",IFERROR(1/(1/SUMPRODUCT(MAX(('Checks'!$A$4:$A$503=$A75)*('Checks'!$B$4:$B$503=I$4)*'Checks'!$D$4:$D$503))),""))</f>
        <v/>
      </c>
      <c r="J75" s="31">
        <f>IF(OR($A75="",J$4=""),"",IFERROR(1/(1/SUMPRODUCT(MAX(('Checks'!$A$4:$A$503=$A75)*('Checks'!$B$4:$B$503=J$4)*'Checks'!$D$4:$D$503))),""))</f>
        <v/>
      </c>
      <c r="K75" s="31">
        <f>IF(OR($A75="",K$4=""),"",IFERROR(1/(1/SUMPRODUCT(MAX(('Checks'!$A$4:$A$503=$A75)*('Checks'!$B$4:$B$503=K$4)*'Checks'!$D$4:$D$503))),""))</f>
        <v/>
      </c>
    </row>
    <row r="76">
      <c r="A76" s="30" t="n"/>
      <c r="B76" s="31">
        <f>IF(OR($A76="",B$4=""),"",IFERROR(1/(1/SUMPRODUCT(MAX(('Checks'!$A$4:$A$503=$A76)*('Checks'!$B$4:$B$503=B$4)*'Checks'!$D$4:$D$503))),""))</f>
        <v/>
      </c>
      <c r="C76" s="31">
        <f>IF(OR($A76="",C$4=""),"",IFERROR(1/(1/SUMPRODUCT(MAX(('Checks'!$A$4:$A$503=$A76)*('Checks'!$B$4:$B$503=C$4)*'Checks'!$D$4:$D$503))),""))</f>
        <v/>
      </c>
      <c r="D76" s="31">
        <f>IF(OR($A76="",D$4=""),"",IFERROR(1/(1/SUMPRODUCT(MAX(('Checks'!$A$4:$A$503=$A76)*('Checks'!$B$4:$B$503=D$4)*'Checks'!$D$4:$D$503))),""))</f>
        <v/>
      </c>
      <c r="E76" s="31">
        <f>IF(OR($A76="",E$4=""),"",IFERROR(1/(1/SUMPRODUCT(MAX(('Checks'!$A$4:$A$503=$A76)*('Checks'!$B$4:$B$503=E$4)*'Checks'!$D$4:$D$503))),""))</f>
        <v/>
      </c>
      <c r="F76" s="31">
        <f>IF(OR($A76="",F$4=""),"",IFERROR(1/(1/SUMPRODUCT(MAX(('Checks'!$A$4:$A$503=$A76)*('Checks'!$B$4:$B$503=F$4)*'Checks'!$D$4:$D$503))),""))</f>
        <v/>
      </c>
      <c r="G76" s="31">
        <f>IF(OR($A76="",G$4=""),"",IFERROR(1/(1/SUMPRODUCT(MAX(('Checks'!$A$4:$A$503=$A76)*('Checks'!$B$4:$B$503=G$4)*'Checks'!$D$4:$D$503))),""))</f>
        <v/>
      </c>
      <c r="H76" s="31">
        <f>IF(OR($A76="",H$4=""),"",IFERROR(1/(1/SUMPRODUCT(MAX(('Checks'!$A$4:$A$503=$A76)*('Checks'!$B$4:$B$503=H$4)*'Checks'!$D$4:$D$503))),""))</f>
        <v/>
      </c>
      <c r="I76" s="31">
        <f>IF(OR($A76="",I$4=""),"",IFERROR(1/(1/SUMPRODUCT(MAX(('Checks'!$A$4:$A$503=$A76)*('Checks'!$B$4:$B$503=I$4)*'Checks'!$D$4:$D$503))),""))</f>
        <v/>
      </c>
      <c r="J76" s="31">
        <f>IF(OR($A76="",J$4=""),"",IFERROR(1/(1/SUMPRODUCT(MAX(('Checks'!$A$4:$A$503=$A76)*('Checks'!$B$4:$B$503=J$4)*'Checks'!$D$4:$D$503))),""))</f>
        <v/>
      </c>
      <c r="K76" s="31">
        <f>IF(OR($A76="",K$4=""),"",IFERROR(1/(1/SUMPRODUCT(MAX(('Checks'!$A$4:$A$503=$A76)*('Checks'!$B$4:$B$503=K$4)*'Checks'!$D$4:$D$503))),""))</f>
        <v/>
      </c>
    </row>
    <row r="77">
      <c r="A77" s="30" t="n"/>
      <c r="B77" s="31">
        <f>IF(OR($A77="",B$4=""),"",IFERROR(1/(1/SUMPRODUCT(MAX(('Checks'!$A$4:$A$503=$A77)*('Checks'!$B$4:$B$503=B$4)*'Checks'!$D$4:$D$503))),""))</f>
        <v/>
      </c>
      <c r="C77" s="31">
        <f>IF(OR($A77="",C$4=""),"",IFERROR(1/(1/SUMPRODUCT(MAX(('Checks'!$A$4:$A$503=$A77)*('Checks'!$B$4:$B$503=C$4)*'Checks'!$D$4:$D$503))),""))</f>
        <v/>
      </c>
      <c r="D77" s="31">
        <f>IF(OR($A77="",D$4=""),"",IFERROR(1/(1/SUMPRODUCT(MAX(('Checks'!$A$4:$A$503=$A77)*('Checks'!$B$4:$B$503=D$4)*'Checks'!$D$4:$D$503))),""))</f>
        <v/>
      </c>
      <c r="E77" s="31">
        <f>IF(OR($A77="",E$4=""),"",IFERROR(1/(1/SUMPRODUCT(MAX(('Checks'!$A$4:$A$503=$A77)*('Checks'!$B$4:$B$503=E$4)*'Checks'!$D$4:$D$503))),""))</f>
        <v/>
      </c>
      <c r="F77" s="31">
        <f>IF(OR($A77="",F$4=""),"",IFERROR(1/(1/SUMPRODUCT(MAX(('Checks'!$A$4:$A$503=$A77)*('Checks'!$B$4:$B$503=F$4)*'Checks'!$D$4:$D$503))),""))</f>
        <v/>
      </c>
      <c r="G77" s="31">
        <f>IF(OR($A77="",G$4=""),"",IFERROR(1/(1/SUMPRODUCT(MAX(('Checks'!$A$4:$A$503=$A77)*('Checks'!$B$4:$B$503=G$4)*'Checks'!$D$4:$D$503))),""))</f>
        <v/>
      </c>
      <c r="H77" s="31">
        <f>IF(OR($A77="",H$4=""),"",IFERROR(1/(1/SUMPRODUCT(MAX(('Checks'!$A$4:$A$503=$A77)*('Checks'!$B$4:$B$503=H$4)*'Checks'!$D$4:$D$503))),""))</f>
        <v/>
      </c>
      <c r="I77" s="31">
        <f>IF(OR($A77="",I$4=""),"",IFERROR(1/(1/SUMPRODUCT(MAX(('Checks'!$A$4:$A$503=$A77)*('Checks'!$B$4:$B$503=I$4)*'Checks'!$D$4:$D$503))),""))</f>
        <v/>
      </c>
      <c r="J77" s="31">
        <f>IF(OR($A77="",J$4=""),"",IFERROR(1/(1/SUMPRODUCT(MAX(('Checks'!$A$4:$A$503=$A77)*('Checks'!$B$4:$B$503=J$4)*'Checks'!$D$4:$D$503))),""))</f>
        <v/>
      </c>
      <c r="K77" s="31">
        <f>IF(OR($A77="",K$4=""),"",IFERROR(1/(1/SUMPRODUCT(MAX(('Checks'!$A$4:$A$503=$A77)*('Checks'!$B$4:$B$503=K$4)*'Checks'!$D$4:$D$503))),""))</f>
        <v/>
      </c>
    </row>
    <row r="78">
      <c r="A78" s="30" t="n"/>
      <c r="B78" s="31">
        <f>IF(OR($A78="",B$4=""),"",IFERROR(1/(1/SUMPRODUCT(MAX(('Checks'!$A$4:$A$503=$A78)*('Checks'!$B$4:$B$503=B$4)*'Checks'!$D$4:$D$503))),""))</f>
        <v/>
      </c>
      <c r="C78" s="31">
        <f>IF(OR($A78="",C$4=""),"",IFERROR(1/(1/SUMPRODUCT(MAX(('Checks'!$A$4:$A$503=$A78)*('Checks'!$B$4:$B$503=C$4)*'Checks'!$D$4:$D$503))),""))</f>
        <v/>
      </c>
      <c r="D78" s="31">
        <f>IF(OR($A78="",D$4=""),"",IFERROR(1/(1/SUMPRODUCT(MAX(('Checks'!$A$4:$A$503=$A78)*('Checks'!$B$4:$B$503=D$4)*'Checks'!$D$4:$D$503))),""))</f>
        <v/>
      </c>
      <c r="E78" s="31">
        <f>IF(OR($A78="",E$4=""),"",IFERROR(1/(1/SUMPRODUCT(MAX(('Checks'!$A$4:$A$503=$A78)*('Checks'!$B$4:$B$503=E$4)*'Checks'!$D$4:$D$503))),""))</f>
        <v/>
      </c>
      <c r="F78" s="31">
        <f>IF(OR($A78="",F$4=""),"",IFERROR(1/(1/SUMPRODUCT(MAX(('Checks'!$A$4:$A$503=$A78)*('Checks'!$B$4:$B$503=F$4)*'Checks'!$D$4:$D$503))),""))</f>
        <v/>
      </c>
      <c r="G78" s="31">
        <f>IF(OR($A78="",G$4=""),"",IFERROR(1/(1/SUMPRODUCT(MAX(('Checks'!$A$4:$A$503=$A78)*('Checks'!$B$4:$B$503=G$4)*'Checks'!$D$4:$D$503))),""))</f>
        <v/>
      </c>
      <c r="H78" s="31">
        <f>IF(OR($A78="",H$4=""),"",IFERROR(1/(1/SUMPRODUCT(MAX(('Checks'!$A$4:$A$503=$A78)*('Checks'!$B$4:$B$503=H$4)*'Checks'!$D$4:$D$503))),""))</f>
        <v/>
      </c>
      <c r="I78" s="31">
        <f>IF(OR($A78="",I$4=""),"",IFERROR(1/(1/SUMPRODUCT(MAX(('Checks'!$A$4:$A$503=$A78)*('Checks'!$B$4:$B$503=I$4)*'Checks'!$D$4:$D$503))),""))</f>
        <v/>
      </c>
      <c r="J78" s="31">
        <f>IF(OR($A78="",J$4=""),"",IFERROR(1/(1/SUMPRODUCT(MAX(('Checks'!$A$4:$A$503=$A78)*('Checks'!$B$4:$B$503=J$4)*'Checks'!$D$4:$D$503))),""))</f>
        <v/>
      </c>
      <c r="K78" s="31">
        <f>IF(OR($A78="",K$4=""),"",IFERROR(1/(1/SUMPRODUCT(MAX(('Checks'!$A$4:$A$503=$A78)*('Checks'!$B$4:$B$503=K$4)*'Checks'!$D$4:$D$503))),""))</f>
        <v/>
      </c>
    </row>
    <row r="79">
      <c r="A79" s="30" t="n"/>
      <c r="B79" s="31">
        <f>IF(OR($A79="",B$4=""),"",IFERROR(1/(1/SUMPRODUCT(MAX(('Checks'!$A$4:$A$503=$A79)*('Checks'!$B$4:$B$503=B$4)*'Checks'!$D$4:$D$503))),""))</f>
        <v/>
      </c>
      <c r="C79" s="31">
        <f>IF(OR($A79="",C$4=""),"",IFERROR(1/(1/SUMPRODUCT(MAX(('Checks'!$A$4:$A$503=$A79)*('Checks'!$B$4:$B$503=C$4)*'Checks'!$D$4:$D$503))),""))</f>
        <v/>
      </c>
      <c r="D79" s="31">
        <f>IF(OR($A79="",D$4=""),"",IFERROR(1/(1/SUMPRODUCT(MAX(('Checks'!$A$4:$A$503=$A79)*('Checks'!$B$4:$B$503=D$4)*'Checks'!$D$4:$D$503))),""))</f>
        <v/>
      </c>
      <c r="E79" s="31">
        <f>IF(OR($A79="",E$4=""),"",IFERROR(1/(1/SUMPRODUCT(MAX(('Checks'!$A$4:$A$503=$A79)*('Checks'!$B$4:$B$503=E$4)*'Checks'!$D$4:$D$503))),""))</f>
        <v/>
      </c>
      <c r="F79" s="31">
        <f>IF(OR($A79="",F$4=""),"",IFERROR(1/(1/SUMPRODUCT(MAX(('Checks'!$A$4:$A$503=$A79)*('Checks'!$B$4:$B$503=F$4)*'Checks'!$D$4:$D$503))),""))</f>
        <v/>
      </c>
      <c r="G79" s="31">
        <f>IF(OR($A79="",G$4=""),"",IFERROR(1/(1/SUMPRODUCT(MAX(('Checks'!$A$4:$A$503=$A79)*('Checks'!$B$4:$B$503=G$4)*'Checks'!$D$4:$D$503))),""))</f>
        <v/>
      </c>
      <c r="H79" s="31">
        <f>IF(OR($A79="",H$4=""),"",IFERROR(1/(1/SUMPRODUCT(MAX(('Checks'!$A$4:$A$503=$A79)*('Checks'!$B$4:$B$503=H$4)*'Checks'!$D$4:$D$503))),""))</f>
        <v/>
      </c>
      <c r="I79" s="31">
        <f>IF(OR($A79="",I$4=""),"",IFERROR(1/(1/SUMPRODUCT(MAX(('Checks'!$A$4:$A$503=$A79)*('Checks'!$B$4:$B$503=I$4)*'Checks'!$D$4:$D$503))),""))</f>
        <v/>
      </c>
      <c r="J79" s="31">
        <f>IF(OR($A79="",J$4=""),"",IFERROR(1/(1/SUMPRODUCT(MAX(('Checks'!$A$4:$A$503=$A79)*('Checks'!$B$4:$B$503=J$4)*'Checks'!$D$4:$D$503))),""))</f>
        <v/>
      </c>
      <c r="K79" s="31">
        <f>IF(OR($A79="",K$4=""),"",IFERROR(1/(1/SUMPRODUCT(MAX(('Checks'!$A$4:$A$503=$A79)*('Checks'!$B$4:$B$503=K$4)*'Checks'!$D$4:$D$503))),""))</f>
        <v/>
      </c>
    </row>
    <row r="80">
      <c r="A80" s="30" t="n"/>
      <c r="B80" s="31">
        <f>IF(OR($A80="",B$4=""),"",IFERROR(1/(1/SUMPRODUCT(MAX(('Checks'!$A$4:$A$503=$A80)*('Checks'!$B$4:$B$503=B$4)*'Checks'!$D$4:$D$503))),""))</f>
        <v/>
      </c>
      <c r="C80" s="31">
        <f>IF(OR($A80="",C$4=""),"",IFERROR(1/(1/SUMPRODUCT(MAX(('Checks'!$A$4:$A$503=$A80)*('Checks'!$B$4:$B$503=C$4)*'Checks'!$D$4:$D$503))),""))</f>
        <v/>
      </c>
      <c r="D80" s="31">
        <f>IF(OR($A80="",D$4=""),"",IFERROR(1/(1/SUMPRODUCT(MAX(('Checks'!$A$4:$A$503=$A80)*('Checks'!$B$4:$B$503=D$4)*'Checks'!$D$4:$D$503))),""))</f>
        <v/>
      </c>
      <c r="E80" s="31">
        <f>IF(OR($A80="",E$4=""),"",IFERROR(1/(1/SUMPRODUCT(MAX(('Checks'!$A$4:$A$503=$A80)*('Checks'!$B$4:$B$503=E$4)*'Checks'!$D$4:$D$503))),""))</f>
        <v/>
      </c>
      <c r="F80" s="31">
        <f>IF(OR($A80="",F$4=""),"",IFERROR(1/(1/SUMPRODUCT(MAX(('Checks'!$A$4:$A$503=$A80)*('Checks'!$B$4:$B$503=F$4)*'Checks'!$D$4:$D$503))),""))</f>
        <v/>
      </c>
      <c r="G80" s="31">
        <f>IF(OR($A80="",G$4=""),"",IFERROR(1/(1/SUMPRODUCT(MAX(('Checks'!$A$4:$A$503=$A80)*('Checks'!$B$4:$B$503=G$4)*'Checks'!$D$4:$D$503))),""))</f>
        <v/>
      </c>
      <c r="H80" s="31">
        <f>IF(OR($A80="",H$4=""),"",IFERROR(1/(1/SUMPRODUCT(MAX(('Checks'!$A$4:$A$503=$A80)*('Checks'!$B$4:$B$503=H$4)*'Checks'!$D$4:$D$503))),""))</f>
        <v/>
      </c>
      <c r="I80" s="31">
        <f>IF(OR($A80="",I$4=""),"",IFERROR(1/(1/SUMPRODUCT(MAX(('Checks'!$A$4:$A$503=$A80)*('Checks'!$B$4:$B$503=I$4)*'Checks'!$D$4:$D$503))),""))</f>
        <v/>
      </c>
      <c r="J80" s="31">
        <f>IF(OR($A80="",J$4=""),"",IFERROR(1/(1/SUMPRODUCT(MAX(('Checks'!$A$4:$A$503=$A80)*('Checks'!$B$4:$B$503=J$4)*'Checks'!$D$4:$D$503))),""))</f>
        <v/>
      </c>
      <c r="K80" s="31">
        <f>IF(OR($A80="",K$4=""),"",IFERROR(1/(1/SUMPRODUCT(MAX(('Checks'!$A$4:$A$503=$A80)*('Checks'!$B$4:$B$503=K$4)*'Checks'!$D$4:$D$503))),""))</f>
        <v/>
      </c>
    </row>
    <row r="81">
      <c r="A81" s="30" t="n"/>
      <c r="B81" s="31">
        <f>IF(OR($A81="",B$4=""),"",IFERROR(1/(1/SUMPRODUCT(MAX(('Checks'!$A$4:$A$503=$A81)*('Checks'!$B$4:$B$503=B$4)*'Checks'!$D$4:$D$503))),""))</f>
        <v/>
      </c>
      <c r="C81" s="31">
        <f>IF(OR($A81="",C$4=""),"",IFERROR(1/(1/SUMPRODUCT(MAX(('Checks'!$A$4:$A$503=$A81)*('Checks'!$B$4:$B$503=C$4)*'Checks'!$D$4:$D$503))),""))</f>
        <v/>
      </c>
      <c r="D81" s="31">
        <f>IF(OR($A81="",D$4=""),"",IFERROR(1/(1/SUMPRODUCT(MAX(('Checks'!$A$4:$A$503=$A81)*('Checks'!$B$4:$B$503=D$4)*'Checks'!$D$4:$D$503))),""))</f>
        <v/>
      </c>
      <c r="E81" s="31">
        <f>IF(OR($A81="",E$4=""),"",IFERROR(1/(1/SUMPRODUCT(MAX(('Checks'!$A$4:$A$503=$A81)*('Checks'!$B$4:$B$503=E$4)*'Checks'!$D$4:$D$503))),""))</f>
        <v/>
      </c>
      <c r="F81" s="31">
        <f>IF(OR($A81="",F$4=""),"",IFERROR(1/(1/SUMPRODUCT(MAX(('Checks'!$A$4:$A$503=$A81)*('Checks'!$B$4:$B$503=F$4)*'Checks'!$D$4:$D$503))),""))</f>
        <v/>
      </c>
      <c r="G81" s="31">
        <f>IF(OR($A81="",G$4=""),"",IFERROR(1/(1/SUMPRODUCT(MAX(('Checks'!$A$4:$A$503=$A81)*('Checks'!$B$4:$B$503=G$4)*'Checks'!$D$4:$D$503))),""))</f>
        <v/>
      </c>
      <c r="H81" s="31">
        <f>IF(OR($A81="",H$4=""),"",IFERROR(1/(1/SUMPRODUCT(MAX(('Checks'!$A$4:$A$503=$A81)*('Checks'!$B$4:$B$503=H$4)*'Checks'!$D$4:$D$503))),""))</f>
        <v/>
      </c>
      <c r="I81" s="31">
        <f>IF(OR($A81="",I$4=""),"",IFERROR(1/(1/SUMPRODUCT(MAX(('Checks'!$A$4:$A$503=$A81)*('Checks'!$B$4:$B$503=I$4)*'Checks'!$D$4:$D$503))),""))</f>
        <v/>
      </c>
      <c r="J81" s="31">
        <f>IF(OR($A81="",J$4=""),"",IFERROR(1/(1/SUMPRODUCT(MAX(('Checks'!$A$4:$A$503=$A81)*('Checks'!$B$4:$B$503=J$4)*'Checks'!$D$4:$D$503))),""))</f>
        <v/>
      </c>
      <c r="K81" s="31">
        <f>IF(OR($A81="",K$4=""),"",IFERROR(1/(1/SUMPRODUCT(MAX(('Checks'!$A$4:$A$503=$A81)*('Checks'!$B$4:$B$503=K$4)*'Checks'!$D$4:$D$503))),""))</f>
        <v/>
      </c>
    </row>
    <row r="82">
      <c r="A82" s="30" t="n"/>
      <c r="B82" s="31">
        <f>IF(OR($A82="",B$4=""),"",IFERROR(1/(1/SUMPRODUCT(MAX(('Checks'!$A$4:$A$503=$A82)*('Checks'!$B$4:$B$503=B$4)*'Checks'!$D$4:$D$503))),""))</f>
        <v/>
      </c>
      <c r="C82" s="31">
        <f>IF(OR($A82="",C$4=""),"",IFERROR(1/(1/SUMPRODUCT(MAX(('Checks'!$A$4:$A$503=$A82)*('Checks'!$B$4:$B$503=C$4)*'Checks'!$D$4:$D$503))),""))</f>
        <v/>
      </c>
      <c r="D82" s="31">
        <f>IF(OR($A82="",D$4=""),"",IFERROR(1/(1/SUMPRODUCT(MAX(('Checks'!$A$4:$A$503=$A82)*('Checks'!$B$4:$B$503=D$4)*'Checks'!$D$4:$D$503))),""))</f>
        <v/>
      </c>
      <c r="E82" s="31">
        <f>IF(OR($A82="",E$4=""),"",IFERROR(1/(1/SUMPRODUCT(MAX(('Checks'!$A$4:$A$503=$A82)*('Checks'!$B$4:$B$503=E$4)*'Checks'!$D$4:$D$503))),""))</f>
        <v/>
      </c>
      <c r="F82" s="31">
        <f>IF(OR($A82="",F$4=""),"",IFERROR(1/(1/SUMPRODUCT(MAX(('Checks'!$A$4:$A$503=$A82)*('Checks'!$B$4:$B$503=F$4)*'Checks'!$D$4:$D$503))),""))</f>
        <v/>
      </c>
      <c r="G82" s="31">
        <f>IF(OR($A82="",G$4=""),"",IFERROR(1/(1/SUMPRODUCT(MAX(('Checks'!$A$4:$A$503=$A82)*('Checks'!$B$4:$B$503=G$4)*'Checks'!$D$4:$D$503))),""))</f>
        <v/>
      </c>
      <c r="H82" s="31">
        <f>IF(OR($A82="",H$4=""),"",IFERROR(1/(1/SUMPRODUCT(MAX(('Checks'!$A$4:$A$503=$A82)*('Checks'!$B$4:$B$503=H$4)*'Checks'!$D$4:$D$503))),""))</f>
        <v/>
      </c>
      <c r="I82" s="31">
        <f>IF(OR($A82="",I$4=""),"",IFERROR(1/(1/SUMPRODUCT(MAX(('Checks'!$A$4:$A$503=$A82)*('Checks'!$B$4:$B$503=I$4)*'Checks'!$D$4:$D$503))),""))</f>
        <v/>
      </c>
      <c r="J82" s="31">
        <f>IF(OR($A82="",J$4=""),"",IFERROR(1/(1/SUMPRODUCT(MAX(('Checks'!$A$4:$A$503=$A82)*('Checks'!$B$4:$B$503=J$4)*'Checks'!$D$4:$D$503))),""))</f>
        <v/>
      </c>
      <c r="K82" s="31">
        <f>IF(OR($A82="",K$4=""),"",IFERROR(1/(1/SUMPRODUCT(MAX(('Checks'!$A$4:$A$503=$A82)*('Checks'!$B$4:$B$503=K$4)*'Checks'!$D$4:$D$503))),""))</f>
        <v/>
      </c>
    </row>
    <row r="83">
      <c r="A83" s="30" t="n"/>
      <c r="B83" s="31">
        <f>IF(OR($A83="",B$4=""),"",IFERROR(1/(1/SUMPRODUCT(MAX(('Checks'!$A$4:$A$503=$A83)*('Checks'!$B$4:$B$503=B$4)*'Checks'!$D$4:$D$503))),""))</f>
        <v/>
      </c>
      <c r="C83" s="31">
        <f>IF(OR($A83="",C$4=""),"",IFERROR(1/(1/SUMPRODUCT(MAX(('Checks'!$A$4:$A$503=$A83)*('Checks'!$B$4:$B$503=C$4)*'Checks'!$D$4:$D$503))),""))</f>
        <v/>
      </c>
      <c r="D83" s="31">
        <f>IF(OR($A83="",D$4=""),"",IFERROR(1/(1/SUMPRODUCT(MAX(('Checks'!$A$4:$A$503=$A83)*('Checks'!$B$4:$B$503=D$4)*'Checks'!$D$4:$D$503))),""))</f>
        <v/>
      </c>
      <c r="E83" s="31">
        <f>IF(OR($A83="",E$4=""),"",IFERROR(1/(1/SUMPRODUCT(MAX(('Checks'!$A$4:$A$503=$A83)*('Checks'!$B$4:$B$503=E$4)*'Checks'!$D$4:$D$503))),""))</f>
        <v/>
      </c>
      <c r="F83" s="31">
        <f>IF(OR($A83="",F$4=""),"",IFERROR(1/(1/SUMPRODUCT(MAX(('Checks'!$A$4:$A$503=$A83)*('Checks'!$B$4:$B$503=F$4)*'Checks'!$D$4:$D$503))),""))</f>
        <v/>
      </c>
      <c r="G83" s="31">
        <f>IF(OR($A83="",G$4=""),"",IFERROR(1/(1/SUMPRODUCT(MAX(('Checks'!$A$4:$A$503=$A83)*('Checks'!$B$4:$B$503=G$4)*'Checks'!$D$4:$D$503))),""))</f>
        <v/>
      </c>
      <c r="H83" s="31">
        <f>IF(OR($A83="",H$4=""),"",IFERROR(1/(1/SUMPRODUCT(MAX(('Checks'!$A$4:$A$503=$A83)*('Checks'!$B$4:$B$503=H$4)*'Checks'!$D$4:$D$503))),""))</f>
        <v/>
      </c>
      <c r="I83" s="31">
        <f>IF(OR($A83="",I$4=""),"",IFERROR(1/(1/SUMPRODUCT(MAX(('Checks'!$A$4:$A$503=$A83)*('Checks'!$B$4:$B$503=I$4)*'Checks'!$D$4:$D$503))),""))</f>
        <v/>
      </c>
      <c r="J83" s="31">
        <f>IF(OR($A83="",J$4=""),"",IFERROR(1/(1/SUMPRODUCT(MAX(('Checks'!$A$4:$A$503=$A83)*('Checks'!$B$4:$B$503=J$4)*'Checks'!$D$4:$D$503))),""))</f>
        <v/>
      </c>
      <c r="K83" s="31">
        <f>IF(OR($A83="",K$4=""),"",IFERROR(1/(1/SUMPRODUCT(MAX(('Checks'!$A$4:$A$503=$A83)*('Checks'!$B$4:$B$503=K$4)*'Checks'!$D$4:$D$503))),""))</f>
        <v/>
      </c>
    </row>
    <row r="84">
      <c r="A84" s="30" t="n"/>
      <c r="B84" s="31">
        <f>IF(OR($A84="",B$4=""),"",IFERROR(1/(1/SUMPRODUCT(MAX(('Checks'!$A$4:$A$503=$A84)*('Checks'!$B$4:$B$503=B$4)*'Checks'!$D$4:$D$503))),""))</f>
        <v/>
      </c>
      <c r="C84" s="31">
        <f>IF(OR($A84="",C$4=""),"",IFERROR(1/(1/SUMPRODUCT(MAX(('Checks'!$A$4:$A$503=$A84)*('Checks'!$B$4:$B$503=C$4)*'Checks'!$D$4:$D$503))),""))</f>
        <v/>
      </c>
      <c r="D84" s="31">
        <f>IF(OR($A84="",D$4=""),"",IFERROR(1/(1/SUMPRODUCT(MAX(('Checks'!$A$4:$A$503=$A84)*('Checks'!$B$4:$B$503=D$4)*'Checks'!$D$4:$D$503))),""))</f>
        <v/>
      </c>
      <c r="E84" s="31">
        <f>IF(OR($A84="",E$4=""),"",IFERROR(1/(1/SUMPRODUCT(MAX(('Checks'!$A$4:$A$503=$A84)*('Checks'!$B$4:$B$503=E$4)*'Checks'!$D$4:$D$503))),""))</f>
        <v/>
      </c>
      <c r="F84" s="31">
        <f>IF(OR($A84="",F$4=""),"",IFERROR(1/(1/SUMPRODUCT(MAX(('Checks'!$A$4:$A$503=$A84)*('Checks'!$B$4:$B$503=F$4)*'Checks'!$D$4:$D$503))),""))</f>
        <v/>
      </c>
      <c r="G84" s="31">
        <f>IF(OR($A84="",G$4=""),"",IFERROR(1/(1/SUMPRODUCT(MAX(('Checks'!$A$4:$A$503=$A84)*('Checks'!$B$4:$B$503=G$4)*'Checks'!$D$4:$D$503))),""))</f>
        <v/>
      </c>
      <c r="H84" s="31">
        <f>IF(OR($A84="",H$4=""),"",IFERROR(1/(1/SUMPRODUCT(MAX(('Checks'!$A$4:$A$503=$A84)*('Checks'!$B$4:$B$503=H$4)*'Checks'!$D$4:$D$503))),""))</f>
        <v/>
      </c>
      <c r="I84" s="31">
        <f>IF(OR($A84="",I$4=""),"",IFERROR(1/(1/SUMPRODUCT(MAX(('Checks'!$A$4:$A$503=$A84)*('Checks'!$B$4:$B$503=I$4)*'Checks'!$D$4:$D$503))),""))</f>
        <v/>
      </c>
      <c r="J84" s="31">
        <f>IF(OR($A84="",J$4=""),"",IFERROR(1/(1/SUMPRODUCT(MAX(('Checks'!$A$4:$A$503=$A84)*('Checks'!$B$4:$B$503=J$4)*'Checks'!$D$4:$D$503))),""))</f>
        <v/>
      </c>
      <c r="K84" s="31">
        <f>IF(OR($A84="",K$4=""),"",IFERROR(1/(1/SUMPRODUCT(MAX(('Checks'!$A$4:$A$503=$A84)*('Checks'!$B$4:$B$503=K$4)*'Checks'!$D$4:$D$503))),""))</f>
        <v/>
      </c>
    </row>
    <row r="85">
      <c r="A85" s="30" t="n"/>
      <c r="B85" s="31">
        <f>IF(OR($A85="",B$4=""),"",IFERROR(1/(1/SUMPRODUCT(MAX(('Checks'!$A$4:$A$503=$A85)*('Checks'!$B$4:$B$503=B$4)*'Checks'!$D$4:$D$503))),""))</f>
        <v/>
      </c>
      <c r="C85" s="31">
        <f>IF(OR($A85="",C$4=""),"",IFERROR(1/(1/SUMPRODUCT(MAX(('Checks'!$A$4:$A$503=$A85)*('Checks'!$B$4:$B$503=C$4)*'Checks'!$D$4:$D$503))),""))</f>
        <v/>
      </c>
      <c r="D85" s="31">
        <f>IF(OR($A85="",D$4=""),"",IFERROR(1/(1/SUMPRODUCT(MAX(('Checks'!$A$4:$A$503=$A85)*('Checks'!$B$4:$B$503=D$4)*'Checks'!$D$4:$D$503))),""))</f>
        <v/>
      </c>
      <c r="E85" s="31">
        <f>IF(OR($A85="",E$4=""),"",IFERROR(1/(1/SUMPRODUCT(MAX(('Checks'!$A$4:$A$503=$A85)*('Checks'!$B$4:$B$503=E$4)*'Checks'!$D$4:$D$503))),""))</f>
        <v/>
      </c>
      <c r="F85" s="31">
        <f>IF(OR($A85="",F$4=""),"",IFERROR(1/(1/SUMPRODUCT(MAX(('Checks'!$A$4:$A$503=$A85)*('Checks'!$B$4:$B$503=F$4)*'Checks'!$D$4:$D$503))),""))</f>
        <v/>
      </c>
      <c r="G85" s="31">
        <f>IF(OR($A85="",G$4=""),"",IFERROR(1/(1/SUMPRODUCT(MAX(('Checks'!$A$4:$A$503=$A85)*('Checks'!$B$4:$B$503=G$4)*'Checks'!$D$4:$D$503))),""))</f>
        <v/>
      </c>
      <c r="H85" s="31">
        <f>IF(OR($A85="",H$4=""),"",IFERROR(1/(1/SUMPRODUCT(MAX(('Checks'!$A$4:$A$503=$A85)*('Checks'!$B$4:$B$503=H$4)*'Checks'!$D$4:$D$503))),""))</f>
        <v/>
      </c>
      <c r="I85" s="31">
        <f>IF(OR($A85="",I$4=""),"",IFERROR(1/(1/SUMPRODUCT(MAX(('Checks'!$A$4:$A$503=$A85)*('Checks'!$B$4:$B$503=I$4)*'Checks'!$D$4:$D$503))),""))</f>
        <v/>
      </c>
      <c r="J85" s="31">
        <f>IF(OR($A85="",J$4=""),"",IFERROR(1/(1/SUMPRODUCT(MAX(('Checks'!$A$4:$A$503=$A85)*('Checks'!$B$4:$B$503=J$4)*'Checks'!$D$4:$D$503))),""))</f>
        <v/>
      </c>
      <c r="K85" s="31">
        <f>IF(OR($A85="",K$4=""),"",IFERROR(1/(1/SUMPRODUCT(MAX(('Checks'!$A$4:$A$503=$A85)*('Checks'!$B$4:$B$503=K$4)*'Checks'!$D$4:$D$503))),""))</f>
        <v/>
      </c>
    </row>
    <row r="86">
      <c r="A86" s="30" t="n"/>
      <c r="B86" s="31">
        <f>IF(OR($A86="",B$4=""),"",IFERROR(1/(1/SUMPRODUCT(MAX(('Checks'!$A$4:$A$503=$A86)*('Checks'!$B$4:$B$503=B$4)*'Checks'!$D$4:$D$503))),""))</f>
        <v/>
      </c>
      <c r="C86" s="31">
        <f>IF(OR($A86="",C$4=""),"",IFERROR(1/(1/SUMPRODUCT(MAX(('Checks'!$A$4:$A$503=$A86)*('Checks'!$B$4:$B$503=C$4)*'Checks'!$D$4:$D$503))),""))</f>
        <v/>
      </c>
      <c r="D86" s="31">
        <f>IF(OR($A86="",D$4=""),"",IFERROR(1/(1/SUMPRODUCT(MAX(('Checks'!$A$4:$A$503=$A86)*('Checks'!$B$4:$B$503=D$4)*'Checks'!$D$4:$D$503))),""))</f>
        <v/>
      </c>
      <c r="E86" s="31">
        <f>IF(OR($A86="",E$4=""),"",IFERROR(1/(1/SUMPRODUCT(MAX(('Checks'!$A$4:$A$503=$A86)*('Checks'!$B$4:$B$503=E$4)*'Checks'!$D$4:$D$503))),""))</f>
        <v/>
      </c>
      <c r="F86" s="31">
        <f>IF(OR($A86="",F$4=""),"",IFERROR(1/(1/SUMPRODUCT(MAX(('Checks'!$A$4:$A$503=$A86)*('Checks'!$B$4:$B$503=F$4)*'Checks'!$D$4:$D$503))),""))</f>
        <v/>
      </c>
      <c r="G86" s="31">
        <f>IF(OR($A86="",G$4=""),"",IFERROR(1/(1/SUMPRODUCT(MAX(('Checks'!$A$4:$A$503=$A86)*('Checks'!$B$4:$B$503=G$4)*'Checks'!$D$4:$D$503))),""))</f>
        <v/>
      </c>
      <c r="H86" s="31">
        <f>IF(OR($A86="",H$4=""),"",IFERROR(1/(1/SUMPRODUCT(MAX(('Checks'!$A$4:$A$503=$A86)*('Checks'!$B$4:$B$503=H$4)*'Checks'!$D$4:$D$503))),""))</f>
        <v/>
      </c>
      <c r="I86" s="31">
        <f>IF(OR($A86="",I$4=""),"",IFERROR(1/(1/SUMPRODUCT(MAX(('Checks'!$A$4:$A$503=$A86)*('Checks'!$B$4:$B$503=I$4)*'Checks'!$D$4:$D$503))),""))</f>
        <v/>
      </c>
      <c r="J86" s="31">
        <f>IF(OR($A86="",J$4=""),"",IFERROR(1/(1/SUMPRODUCT(MAX(('Checks'!$A$4:$A$503=$A86)*('Checks'!$B$4:$B$503=J$4)*'Checks'!$D$4:$D$503))),""))</f>
        <v/>
      </c>
      <c r="K86" s="31">
        <f>IF(OR($A86="",K$4=""),"",IFERROR(1/(1/SUMPRODUCT(MAX(('Checks'!$A$4:$A$503=$A86)*('Checks'!$B$4:$B$503=K$4)*'Checks'!$D$4:$D$503))),""))</f>
        <v/>
      </c>
    </row>
    <row r="87">
      <c r="A87" s="30" t="n"/>
      <c r="B87" s="31">
        <f>IF(OR($A87="",B$4=""),"",IFERROR(1/(1/SUMPRODUCT(MAX(('Checks'!$A$4:$A$503=$A87)*('Checks'!$B$4:$B$503=B$4)*'Checks'!$D$4:$D$503))),""))</f>
        <v/>
      </c>
      <c r="C87" s="31">
        <f>IF(OR($A87="",C$4=""),"",IFERROR(1/(1/SUMPRODUCT(MAX(('Checks'!$A$4:$A$503=$A87)*('Checks'!$B$4:$B$503=C$4)*'Checks'!$D$4:$D$503))),""))</f>
        <v/>
      </c>
      <c r="D87" s="31">
        <f>IF(OR($A87="",D$4=""),"",IFERROR(1/(1/SUMPRODUCT(MAX(('Checks'!$A$4:$A$503=$A87)*('Checks'!$B$4:$B$503=D$4)*'Checks'!$D$4:$D$503))),""))</f>
        <v/>
      </c>
      <c r="E87" s="31">
        <f>IF(OR($A87="",E$4=""),"",IFERROR(1/(1/SUMPRODUCT(MAX(('Checks'!$A$4:$A$503=$A87)*('Checks'!$B$4:$B$503=E$4)*'Checks'!$D$4:$D$503))),""))</f>
        <v/>
      </c>
      <c r="F87" s="31">
        <f>IF(OR($A87="",F$4=""),"",IFERROR(1/(1/SUMPRODUCT(MAX(('Checks'!$A$4:$A$503=$A87)*('Checks'!$B$4:$B$503=F$4)*'Checks'!$D$4:$D$503))),""))</f>
        <v/>
      </c>
      <c r="G87" s="31">
        <f>IF(OR($A87="",G$4=""),"",IFERROR(1/(1/SUMPRODUCT(MAX(('Checks'!$A$4:$A$503=$A87)*('Checks'!$B$4:$B$503=G$4)*'Checks'!$D$4:$D$503))),""))</f>
        <v/>
      </c>
      <c r="H87" s="31">
        <f>IF(OR($A87="",H$4=""),"",IFERROR(1/(1/SUMPRODUCT(MAX(('Checks'!$A$4:$A$503=$A87)*('Checks'!$B$4:$B$503=H$4)*'Checks'!$D$4:$D$503))),""))</f>
        <v/>
      </c>
      <c r="I87" s="31">
        <f>IF(OR($A87="",I$4=""),"",IFERROR(1/(1/SUMPRODUCT(MAX(('Checks'!$A$4:$A$503=$A87)*('Checks'!$B$4:$B$503=I$4)*'Checks'!$D$4:$D$503))),""))</f>
        <v/>
      </c>
      <c r="J87" s="31">
        <f>IF(OR($A87="",J$4=""),"",IFERROR(1/(1/SUMPRODUCT(MAX(('Checks'!$A$4:$A$503=$A87)*('Checks'!$B$4:$B$503=J$4)*'Checks'!$D$4:$D$503))),""))</f>
        <v/>
      </c>
      <c r="K87" s="31">
        <f>IF(OR($A87="",K$4=""),"",IFERROR(1/(1/SUMPRODUCT(MAX(('Checks'!$A$4:$A$503=$A87)*('Checks'!$B$4:$B$503=K$4)*'Checks'!$D$4:$D$503))),""))</f>
        <v/>
      </c>
    </row>
    <row r="88">
      <c r="A88" s="30" t="n"/>
      <c r="B88" s="31">
        <f>IF(OR($A88="",B$4=""),"",IFERROR(1/(1/SUMPRODUCT(MAX(('Checks'!$A$4:$A$503=$A88)*('Checks'!$B$4:$B$503=B$4)*'Checks'!$D$4:$D$503))),""))</f>
        <v/>
      </c>
      <c r="C88" s="31">
        <f>IF(OR($A88="",C$4=""),"",IFERROR(1/(1/SUMPRODUCT(MAX(('Checks'!$A$4:$A$503=$A88)*('Checks'!$B$4:$B$503=C$4)*'Checks'!$D$4:$D$503))),""))</f>
        <v/>
      </c>
      <c r="D88" s="31">
        <f>IF(OR($A88="",D$4=""),"",IFERROR(1/(1/SUMPRODUCT(MAX(('Checks'!$A$4:$A$503=$A88)*('Checks'!$B$4:$B$503=D$4)*'Checks'!$D$4:$D$503))),""))</f>
        <v/>
      </c>
      <c r="E88" s="31">
        <f>IF(OR($A88="",E$4=""),"",IFERROR(1/(1/SUMPRODUCT(MAX(('Checks'!$A$4:$A$503=$A88)*('Checks'!$B$4:$B$503=E$4)*'Checks'!$D$4:$D$503))),""))</f>
        <v/>
      </c>
      <c r="F88" s="31">
        <f>IF(OR($A88="",F$4=""),"",IFERROR(1/(1/SUMPRODUCT(MAX(('Checks'!$A$4:$A$503=$A88)*('Checks'!$B$4:$B$503=F$4)*'Checks'!$D$4:$D$503))),""))</f>
        <v/>
      </c>
      <c r="G88" s="31">
        <f>IF(OR($A88="",G$4=""),"",IFERROR(1/(1/SUMPRODUCT(MAX(('Checks'!$A$4:$A$503=$A88)*('Checks'!$B$4:$B$503=G$4)*'Checks'!$D$4:$D$503))),""))</f>
        <v/>
      </c>
      <c r="H88" s="31">
        <f>IF(OR($A88="",H$4=""),"",IFERROR(1/(1/SUMPRODUCT(MAX(('Checks'!$A$4:$A$503=$A88)*('Checks'!$B$4:$B$503=H$4)*'Checks'!$D$4:$D$503))),""))</f>
        <v/>
      </c>
      <c r="I88" s="31">
        <f>IF(OR($A88="",I$4=""),"",IFERROR(1/(1/SUMPRODUCT(MAX(('Checks'!$A$4:$A$503=$A88)*('Checks'!$B$4:$B$503=I$4)*'Checks'!$D$4:$D$503))),""))</f>
        <v/>
      </c>
      <c r="J88" s="31">
        <f>IF(OR($A88="",J$4=""),"",IFERROR(1/(1/SUMPRODUCT(MAX(('Checks'!$A$4:$A$503=$A88)*('Checks'!$B$4:$B$503=J$4)*'Checks'!$D$4:$D$503))),""))</f>
        <v/>
      </c>
      <c r="K88" s="31">
        <f>IF(OR($A88="",K$4=""),"",IFERROR(1/(1/SUMPRODUCT(MAX(('Checks'!$A$4:$A$503=$A88)*('Checks'!$B$4:$B$503=K$4)*'Checks'!$D$4:$D$503))),""))</f>
        <v/>
      </c>
    </row>
    <row r="89">
      <c r="A89" s="30" t="n"/>
      <c r="B89" s="31">
        <f>IF(OR($A89="",B$4=""),"",IFERROR(1/(1/SUMPRODUCT(MAX(('Checks'!$A$4:$A$503=$A89)*('Checks'!$B$4:$B$503=B$4)*'Checks'!$D$4:$D$503))),""))</f>
        <v/>
      </c>
      <c r="C89" s="31">
        <f>IF(OR($A89="",C$4=""),"",IFERROR(1/(1/SUMPRODUCT(MAX(('Checks'!$A$4:$A$503=$A89)*('Checks'!$B$4:$B$503=C$4)*'Checks'!$D$4:$D$503))),""))</f>
        <v/>
      </c>
      <c r="D89" s="31">
        <f>IF(OR($A89="",D$4=""),"",IFERROR(1/(1/SUMPRODUCT(MAX(('Checks'!$A$4:$A$503=$A89)*('Checks'!$B$4:$B$503=D$4)*'Checks'!$D$4:$D$503))),""))</f>
        <v/>
      </c>
      <c r="E89" s="31">
        <f>IF(OR($A89="",E$4=""),"",IFERROR(1/(1/SUMPRODUCT(MAX(('Checks'!$A$4:$A$503=$A89)*('Checks'!$B$4:$B$503=E$4)*'Checks'!$D$4:$D$503))),""))</f>
        <v/>
      </c>
      <c r="F89" s="31">
        <f>IF(OR($A89="",F$4=""),"",IFERROR(1/(1/SUMPRODUCT(MAX(('Checks'!$A$4:$A$503=$A89)*('Checks'!$B$4:$B$503=F$4)*'Checks'!$D$4:$D$503))),""))</f>
        <v/>
      </c>
      <c r="G89" s="31">
        <f>IF(OR($A89="",G$4=""),"",IFERROR(1/(1/SUMPRODUCT(MAX(('Checks'!$A$4:$A$503=$A89)*('Checks'!$B$4:$B$503=G$4)*'Checks'!$D$4:$D$503))),""))</f>
        <v/>
      </c>
      <c r="H89" s="31">
        <f>IF(OR($A89="",H$4=""),"",IFERROR(1/(1/SUMPRODUCT(MAX(('Checks'!$A$4:$A$503=$A89)*('Checks'!$B$4:$B$503=H$4)*'Checks'!$D$4:$D$503))),""))</f>
        <v/>
      </c>
      <c r="I89" s="31">
        <f>IF(OR($A89="",I$4=""),"",IFERROR(1/(1/SUMPRODUCT(MAX(('Checks'!$A$4:$A$503=$A89)*('Checks'!$B$4:$B$503=I$4)*'Checks'!$D$4:$D$503))),""))</f>
        <v/>
      </c>
      <c r="J89" s="31">
        <f>IF(OR($A89="",J$4=""),"",IFERROR(1/(1/SUMPRODUCT(MAX(('Checks'!$A$4:$A$503=$A89)*('Checks'!$B$4:$B$503=J$4)*'Checks'!$D$4:$D$503))),""))</f>
        <v/>
      </c>
      <c r="K89" s="31">
        <f>IF(OR($A89="",K$4=""),"",IFERROR(1/(1/SUMPRODUCT(MAX(('Checks'!$A$4:$A$503=$A89)*('Checks'!$B$4:$B$503=K$4)*'Checks'!$D$4:$D$503))),""))</f>
        <v/>
      </c>
    </row>
    <row r="90">
      <c r="A90" s="30" t="n"/>
      <c r="B90" s="31">
        <f>IF(OR($A90="",B$4=""),"",IFERROR(1/(1/SUMPRODUCT(MAX(('Checks'!$A$4:$A$503=$A90)*('Checks'!$B$4:$B$503=B$4)*'Checks'!$D$4:$D$503))),""))</f>
        <v/>
      </c>
      <c r="C90" s="31">
        <f>IF(OR($A90="",C$4=""),"",IFERROR(1/(1/SUMPRODUCT(MAX(('Checks'!$A$4:$A$503=$A90)*('Checks'!$B$4:$B$503=C$4)*'Checks'!$D$4:$D$503))),""))</f>
        <v/>
      </c>
      <c r="D90" s="31">
        <f>IF(OR($A90="",D$4=""),"",IFERROR(1/(1/SUMPRODUCT(MAX(('Checks'!$A$4:$A$503=$A90)*('Checks'!$B$4:$B$503=D$4)*'Checks'!$D$4:$D$503))),""))</f>
        <v/>
      </c>
      <c r="E90" s="31">
        <f>IF(OR($A90="",E$4=""),"",IFERROR(1/(1/SUMPRODUCT(MAX(('Checks'!$A$4:$A$503=$A90)*('Checks'!$B$4:$B$503=E$4)*'Checks'!$D$4:$D$503))),""))</f>
        <v/>
      </c>
      <c r="F90" s="31">
        <f>IF(OR($A90="",F$4=""),"",IFERROR(1/(1/SUMPRODUCT(MAX(('Checks'!$A$4:$A$503=$A90)*('Checks'!$B$4:$B$503=F$4)*'Checks'!$D$4:$D$503))),""))</f>
        <v/>
      </c>
      <c r="G90" s="31">
        <f>IF(OR($A90="",G$4=""),"",IFERROR(1/(1/SUMPRODUCT(MAX(('Checks'!$A$4:$A$503=$A90)*('Checks'!$B$4:$B$503=G$4)*'Checks'!$D$4:$D$503))),""))</f>
        <v/>
      </c>
      <c r="H90" s="31">
        <f>IF(OR($A90="",H$4=""),"",IFERROR(1/(1/SUMPRODUCT(MAX(('Checks'!$A$4:$A$503=$A90)*('Checks'!$B$4:$B$503=H$4)*'Checks'!$D$4:$D$503))),""))</f>
        <v/>
      </c>
      <c r="I90" s="31">
        <f>IF(OR($A90="",I$4=""),"",IFERROR(1/(1/SUMPRODUCT(MAX(('Checks'!$A$4:$A$503=$A90)*('Checks'!$B$4:$B$503=I$4)*'Checks'!$D$4:$D$503))),""))</f>
        <v/>
      </c>
      <c r="J90" s="31">
        <f>IF(OR($A90="",J$4=""),"",IFERROR(1/(1/SUMPRODUCT(MAX(('Checks'!$A$4:$A$503=$A90)*('Checks'!$B$4:$B$503=J$4)*'Checks'!$D$4:$D$503))),""))</f>
        <v/>
      </c>
      <c r="K90" s="31">
        <f>IF(OR($A90="",K$4=""),"",IFERROR(1/(1/SUMPRODUCT(MAX(('Checks'!$A$4:$A$503=$A90)*('Checks'!$B$4:$B$503=K$4)*'Checks'!$D$4:$D$503))),""))</f>
        <v/>
      </c>
    </row>
    <row r="91">
      <c r="A91" s="30" t="n"/>
      <c r="B91" s="31">
        <f>IF(OR($A91="",B$4=""),"",IFERROR(1/(1/SUMPRODUCT(MAX(('Checks'!$A$4:$A$503=$A91)*('Checks'!$B$4:$B$503=B$4)*'Checks'!$D$4:$D$503))),""))</f>
        <v/>
      </c>
      <c r="C91" s="31">
        <f>IF(OR($A91="",C$4=""),"",IFERROR(1/(1/SUMPRODUCT(MAX(('Checks'!$A$4:$A$503=$A91)*('Checks'!$B$4:$B$503=C$4)*'Checks'!$D$4:$D$503))),""))</f>
        <v/>
      </c>
      <c r="D91" s="31">
        <f>IF(OR($A91="",D$4=""),"",IFERROR(1/(1/SUMPRODUCT(MAX(('Checks'!$A$4:$A$503=$A91)*('Checks'!$B$4:$B$503=D$4)*'Checks'!$D$4:$D$503))),""))</f>
        <v/>
      </c>
      <c r="E91" s="31">
        <f>IF(OR($A91="",E$4=""),"",IFERROR(1/(1/SUMPRODUCT(MAX(('Checks'!$A$4:$A$503=$A91)*('Checks'!$B$4:$B$503=E$4)*'Checks'!$D$4:$D$503))),""))</f>
        <v/>
      </c>
      <c r="F91" s="31">
        <f>IF(OR($A91="",F$4=""),"",IFERROR(1/(1/SUMPRODUCT(MAX(('Checks'!$A$4:$A$503=$A91)*('Checks'!$B$4:$B$503=F$4)*'Checks'!$D$4:$D$503))),""))</f>
        <v/>
      </c>
      <c r="G91" s="31">
        <f>IF(OR($A91="",G$4=""),"",IFERROR(1/(1/SUMPRODUCT(MAX(('Checks'!$A$4:$A$503=$A91)*('Checks'!$B$4:$B$503=G$4)*'Checks'!$D$4:$D$503))),""))</f>
        <v/>
      </c>
      <c r="H91" s="31">
        <f>IF(OR($A91="",H$4=""),"",IFERROR(1/(1/SUMPRODUCT(MAX(('Checks'!$A$4:$A$503=$A91)*('Checks'!$B$4:$B$503=H$4)*'Checks'!$D$4:$D$503))),""))</f>
        <v/>
      </c>
      <c r="I91" s="31">
        <f>IF(OR($A91="",I$4=""),"",IFERROR(1/(1/SUMPRODUCT(MAX(('Checks'!$A$4:$A$503=$A91)*('Checks'!$B$4:$B$503=I$4)*'Checks'!$D$4:$D$503))),""))</f>
        <v/>
      </c>
      <c r="J91" s="31">
        <f>IF(OR($A91="",J$4=""),"",IFERROR(1/(1/SUMPRODUCT(MAX(('Checks'!$A$4:$A$503=$A91)*('Checks'!$B$4:$B$503=J$4)*'Checks'!$D$4:$D$503))),""))</f>
        <v/>
      </c>
      <c r="K91" s="31">
        <f>IF(OR($A91="",K$4=""),"",IFERROR(1/(1/SUMPRODUCT(MAX(('Checks'!$A$4:$A$503=$A91)*('Checks'!$B$4:$B$503=K$4)*'Checks'!$D$4:$D$503))),""))</f>
        <v/>
      </c>
    </row>
    <row r="92">
      <c r="A92" s="30" t="n"/>
      <c r="B92" s="31">
        <f>IF(OR($A92="",B$4=""),"",IFERROR(1/(1/SUMPRODUCT(MAX(('Checks'!$A$4:$A$503=$A92)*('Checks'!$B$4:$B$503=B$4)*'Checks'!$D$4:$D$503))),""))</f>
        <v/>
      </c>
      <c r="C92" s="31">
        <f>IF(OR($A92="",C$4=""),"",IFERROR(1/(1/SUMPRODUCT(MAX(('Checks'!$A$4:$A$503=$A92)*('Checks'!$B$4:$B$503=C$4)*'Checks'!$D$4:$D$503))),""))</f>
        <v/>
      </c>
      <c r="D92" s="31">
        <f>IF(OR($A92="",D$4=""),"",IFERROR(1/(1/SUMPRODUCT(MAX(('Checks'!$A$4:$A$503=$A92)*('Checks'!$B$4:$B$503=D$4)*'Checks'!$D$4:$D$503))),""))</f>
        <v/>
      </c>
      <c r="E92" s="31">
        <f>IF(OR($A92="",E$4=""),"",IFERROR(1/(1/SUMPRODUCT(MAX(('Checks'!$A$4:$A$503=$A92)*('Checks'!$B$4:$B$503=E$4)*'Checks'!$D$4:$D$503))),""))</f>
        <v/>
      </c>
      <c r="F92" s="31">
        <f>IF(OR($A92="",F$4=""),"",IFERROR(1/(1/SUMPRODUCT(MAX(('Checks'!$A$4:$A$503=$A92)*('Checks'!$B$4:$B$503=F$4)*'Checks'!$D$4:$D$503))),""))</f>
        <v/>
      </c>
      <c r="G92" s="31">
        <f>IF(OR($A92="",G$4=""),"",IFERROR(1/(1/SUMPRODUCT(MAX(('Checks'!$A$4:$A$503=$A92)*('Checks'!$B$4:$B$503=G$4)*'Checks'!$D$4:$D$503))),""))</f>
        <v/>
      </c>
      <c r="H92" s="31">
        <f>IF(OR($A92="",H$4=""),"",IFERROR(1/(1/SUMPRODUCT(MAX(('Checks'!$A$4:$A$503=$A92)*('Checks'!$B$4:$B$503=H$4)*'Checks'!$D$4:$D$503))),""))</f>
        <v/>
      </c>
      <c r="I92" s="31">
        <f>IF(OR($A92="",I$4=""),"",IFERROR(1/(1/SUMPRODUCT(MAX(('Checks'!$A$4:$A$503=$A92)*('Checks'!$B$4:$B$503=I$4)*'Checks'!$D$4:$D$503))),""))</f>
        <v/>
      </c>
      <c r="J92" s="31">
        <f>IF(OR($A92="",J$4=""),"",IFERROR(1/(1/SUMPRODUCT(MAX(('Checks'!$A$4:$A$503=$A92)*('Checks'!$B$4:$B$503=J$4)*'Checks'!$D$4:$D$503))),""))</f>
        <v/>
      </c>
      <c r="K92" s="31">
        <f>IF(OR($A92="",K$4=""),"",IFERROR(1/(1/SUMPRODUCT(MAX(('Checks'!$A$4:$A$503=$A92)*('Checks'!$B$4:$B$503=K$4)*'Checks'!$D$4:$D$503))),""))</f>
        <v/>
      </c>
    </row>
    <row r="93">
      <c r="A93" s="30" t="n"/>
      <c r="B93" s="31">
        <f>IF(OR($A93="",B$4=""),"",IFERROR(1/(1/SUMPRODUCT(MAX(('Checks'!$A$4:$A$503=$A93)*('Checks'!$B$4:$B$503=B$4)*'Checks'!$D$4:$D$503))),""))</f>
        <v/>
      </c>
      <c r="C93" s="31">
        <f>IF(OR($A93="",C$4=""),"",IFERROR(1/(1/SUMPRODUCT(MAX(('Checks'!$A$4:$A$503=$A93)*('Checks'!$B$4:$B$503=C$4)*'Checks'!$D$4:$D$503))),""))</f>
        <v/>
      </c>
      <c r="D93" s="31">
        <f>IF(OR($A93="",D$4=""),"",IFERROR(1/(1/SUMPRODUCT(MAX(('Checks'!$A$4:$A$503=$A93)*('Checks'!$B$4:$B$503=D$4)*'Checks'!$D$4:$D$503))),""))</f>
        <v/>
      </c>
      <c r="E93" s="31">
        <f>IF(OR($A93="",E$4=""),"",IFERROR(1/(1/SUMPRODUCT(MAX(('Checks'!$A$4:$A$503=$A93)*('Checks'!$B$4:$B$503=E$4)*'Checks'!$D$4:$D$503))),""))</f>
        <v/>
      </c>
      <c r="F93" s="31">
        <f>IF(OR($A93="",F$4=""),"",IFERROR(1/(1/SUMPRODUCT(MAX(('Checks'!$A$4:$A$503=$A93)*('Checks'!$B$4:$B$503=F$4)*'Checks'!$D$4:$D$503))),""))</f>
        <v/>
      </c>
      <c r="G93" s="31">
        <f>IF(OR($A93="",G$4=""),"",IFERROR(1/(1/SUMPRODUCT(MAX(('Checks'!$A$4:$A$503=$A93)*('Checks'!$B$4:$B$503=G$4)*'Checks'!$D$4:$D$503))),""))</f>
        <v/>
      </c>
      <c r="H93" s="31">
        <f>IF(OR($A93="",H$4=""),"",IFERROR(1/(1/SUMPRODUCT(MAX(('Checks'!$A$4:$A$503=$A93)*('Checks'!$B$4:$B$503=H$4)*'Checks'!$D$4:$D$503))),""))</f>
        <v/>
      </c>
      <c r="I93" s="31">
        <f>IF(OR($A93="",I$4=""),"",IFERROR(1/(1/SUMPRODUCT(MAX(('Checks'!$A$4:$A$503=$A93)*('Checks'!$B$4:$B$503=I$4)*'Checks'!$D$4:$D$503))),""))</f>
        <v/>
      </c>
      <c r="J93" s="31">
        <f>IF(OR($A93="",J$4=""),"",IFERROR(1/(1/SUMPRODUCT(MAX(('Checks'!$A$4:$A$503=$A93)*('Checks'!$B$4:$B$503=J$4)*'Checks'!$D$4:$D$503))),""))</f>
        <v/>
      </c>
      <c r="K93" s="31">
        <f>IF(OR($A93="",K$4=""),"",IFERROR(1/(1/SUMPRODUCT(MAX(('Checks'!$A$4:$A$503=$A93)*('Checks'!$B$4:$B$503=K$4)*'Checks'!$D$4:$D$503))),""))</f>
        <v/>
      </c>
    </row>
    <row r="94">
      <c r="A94" s="30" t="n"/>
      <c r="B94" s="31">
        <f>IF(OR($A94="",B$4=""),"",IFERROR(1/(1/SUMPRODUCT(MAX(('Checks'!$A$4:$A$503=$A94)*('Checks'!$B$4:$B$503=B$4)*'Checks'!$D$4:$D$503))),""))</f>
        <v/>
      </c>
      <c r="C94" s="31">
        <f>IF(OR($A94="",C$4=""),"",IFERROR(1/(1/SUMPRODUCT(MAX(('Checks'!$A$4:$A$503=$A94)*('Checks'!$B$4:$B$503=C$4)*'Checks'!$D$4:$D$503))),""))</f>
        <v/>
      </c>
      <c r="D94" s="31">
        <f>IF(OR($A94="",D$4=""),"",IFERROR(1/(1/SUMPRODUCT(MAX(('Checks'!$A$4:$A$503=$A94)*('Checks'!$B$4:$B$503=D$4)*'Checks'!$D$4:$D$503))),""))</f>
        <v/>
      </c>
      <c r="E94" s="31">
        <f>IF(OR($A94="",E$4=""),"",IFERROR(1/(1/SUMPRODUCT(MAX(('Checks'!$A$4:$A$503=$A94)*('Checks'!$B$4:$B$503=E$4)*'Checks'!$D$4:$D$503))),""))</f>
        <v/>
      </c>
      <c r="F94" s="31">
        <f>IF(OR($A94="",F$4=""),"",IFERROR(1/(1/SUMPRODUCT(MAX(('Checks'!$A$4:$A$503=$A94)*('Checks'!$B$4:$B$503=F$4)*'Checks'!$D$4:$D$503))),""))</f>
        <v/>
      </c>
      <c r="G94" s="31">
        <f>IF(OR($A94="",G$4=""),"",IFERROR(1/(1/SUMPRODUCT(MAX(('Checks'!$A$4:$A$503=$A94)*('Checks'!$B$4:$B$503=G$4)*'Checks'!$D$4:$D$503))),""))</f>
        <v/>
      </c>
      <c r="H94" s="31">
        <f>IF(OR($A94="",H$4=""),"",IFERROR(1/(1/SUMPRODUCT(MAX(('Checks'!$A$4:$A$503=$A94)*('Checks'!$B$4:$B$503=H$4)*'Checks'!$D$4:$D$503))),""))</f>
        <v/>
      </c>
      <c r="I94" s="31">
        <f>IF(OR($A94="",I$4=""),"",IFERROR(1/(1/SUMPRODUCT(MAX(('Checks'!$A$4:$A$503=$A94)*('Checks'!$B$4:$B$503=I$4)*'Checks'!$D$4:$D$503))),""))</f>
        <v/>
      </c>
      <c r="J94" s="31">
        <f>IF(OR($A94="",J$4=""),"",IFERROR(1/(1/SUMPRODUCT(MAX(('Checks'!$A$4:$A$503=$A94)*('Checks'!$B$4:$B$503=J$4)*'Checks'!$D$4:$D$503))),""))</f>
        <v/>
      </c>
      <c r="K94" s="31">
        <f>IF(OR($A94="",K$4=""),"",IFERROR(1/(1/SUMPRODUCT(MAX(('Checks'!$A$4:$A$503=$A94)*('Checks'!$B$4:$B$503=K$4)*'Checks'!$D$4:$D$503))),""))</f>
        <v/>
      </c>
    </row>
    <row r="95">
      <c r="A95" s="30" t="n"/>
      <c r="B95" s="31">
        <f>IF(OR($A95="",B$4=""),"",IFERROR(1/(1/SUMPRODUCT(MAX(('Checks'!$A$4:$A$503=$A95)*('Checks'!$B$4:$B$503=B$4)*'Checks'!$D$4:$D$503))),""))</f>
        <v/>
      </c>
      <c r="C95" s="31">
        <f>IF(OR($A95="",C$4=""),"",IFERROR(1/(1/SUMPRODUCT(MAX(('Checks'!$A$4:$A$503=$A95)*('Checks'!$B$4:$B$503=C$4)*'Checks'!$D$4:$D$503))),""))</f>
        <v/>
      </c>
      <c r="D95" s="31">
        <f>IF(OR($A95="",D$4=""),"",IFERROR(1/(1/SUMPRODUCT(MAX(('Checks'!$A$4:$A$503=$A95)*('Checks'!$B$4:$B$503=D$4)*'Checks'!$D$4:$D$503))),""))</f>
        <v/>
      </c>
      <c r="E95" s="31">
        <f>IF(OR($A95="",E$4=""),"",IFERROR(1/(1/SUMPRODUCT(MAX(('Checks'!$A$4:$A$503=$A95)*('Checks'!$B$4:$B$503=E$4)*'Checks'!$D$4:$D$503))),""))</f>
        <v/>
      </c>
      <c r="F95" s="31">
        <f>IF(OR($A95="",F$4=""),"",IFERROR(1/(1/SUMPRODUCT(MAX(('Checks'!$A$4:$A$503=$A95)*('Checks'!$B$4:$B$503=F$4)*'Checks'!$D$4:$D$503))),""))</f>
        <v/>
      </c>
      <c r="G95" s="31">
        <f>IF(OR($A95="",G$4=""),"",IFERROR(1/(1/SUMPRODUCT(MAX(('Checks'!$A$4:$A$503=$A95)*('Checks'!$B$4:$B$503=G$4)*'Checks'!$D$4:$D$503))),""))</f>
        <v/>
      </c>
      <c r="H95" s="31">
        <f>IF(OR($A95="",H$4=""),"",IFERROR(1/(1/SUMPRODUCT(MAX(('Checks'!$A$4:$A$503=$A95)*('Checks'!$B$4:$B$503=H$4)*'Checks'!$D$4:$D$503))),""))</f>
        <v/>
      </c>
      <c r="I95" s="31">
        <f>IF(OR($A95="",I$4=""),"",IFERROR(1/(1/SUMPRODUCT(MAX(('Checks'!$A$4:$A$503=$A95)*('Checks'!$B$4:$B$503=I$4)*'Checks'!$D$4:$D$503))),""))</f>
        <v/>
      </c>
      <c r="J95" s="31">
        <f>IF(OR($A95="",J$4=""),"",IFERROR(1/(1/SUMPRODUCT(MAX(('Checks'!$A$4:$A$503=$A95)*('Checks'!$B$4:$B$503=J$4)*'Checks'!$D$4:$D$503))),""))</f>
        <v/>
      </c>
      <c r="K95" s="31">
        <f>IF(OR($A95="",K$4=""),"",IFERROR(1/(1/SUMPRODUCT(MAX(('Checks'!$A$4:$A$503=$A95)*('Checks'!$B$4:$B$503=K$4)*'Checks'!$D$4:$D$503))),""))</f>
        <v/>
      </c>
    </row>
    <row r="96">
      <c r="A96" s="30" t="n"/>
      <c r="B96" s="31">
        <f>IF(OR($A96="",B$4=""),"",IFERROR(1/(1/SUMPRODUCT(MAX(('Checks'!$A$4:$A$503=$A96)*('Checks'!$B$4:$B$503=B$4)*'Checks'!$D$4:$D$503))),""))</f>
        <v/>
      </c>
      <c r="C96" s="31">
        <f>IF(OR($A96="",C$4=""),"",IFERROR(1/(1/SUMPRODUCT(MAX(('Checks'!$A$4:$A$503=$A96)*('Checks'!$B$4:$B$503=C$4)*'Checks'!$D$4:$D$503))),""))</f>
        <v/>
      </c>
      <c r="D96" s="31">
        <f>IF(OR($A96="",D$4=""),"",IFERROR(1/(1/SUMPRODUCT(MAX(('Checks'!$A$4:$A$503=$A96)*('Checks'!$B$4:$B$503=D$4)*'Checks'!$D$4:$D$503))),""))</f>
        <v/>
      </c>
      <c r="E96" s="31">
        <f>IF(OR($A96="",E$4=""),"",IFERROR(1/(1/SUMPRODUCT(MAX(('Checks'!$A$4:$A$503=$A96)*('Checks'!$B$4:$B$503=E$4)*'Checks'!$D$4:$D$503))),""))</f>
        <v/>
      </c>
      <c r="F96" s="31">
        <f>IF(OR($A96="",F$4=""),"",IFERROR(1/(1/SUMPRODUCT(MAX(('Checks'!$A$4:$A$503=$A96)*('Checks'!$B$4:$B$503=F$4)*'Checks'!$D$4:$D$503))),""))</f>
        <v/>
      </c>
      <c r="G96" s="31">
        <f>IF(OR($A96="",G$4=""),"",IFERROR(1/(1/SUMPRODUCT(MAX(('Checks'!$A$4:$A$503=$A96)*('Checks'!$B$4:$B$503=G$4)*'Checks'!$D$4:$D$503))),""))</f>
        <v/>
      </c>
      <c r="H96" s="31">
        <f>IF(OR($A96="",H$4=""),"",IFERROR(1/(1/SUMPRODUCT(MAX(('Checks'!$A$4:$A$503=$A96)*('Checks'!$B$4:$B$503=H$4)*'Checks'!$D$4:$D$503))),""))</f>
        <v/>
      </c>
      <c r="I96" s="31">
        <f>IF(OR($A96="",I$4=""),"",IFERROR(1/(1/SUMPRODUCT(MAX(('Checks'!$A$4:$A$503=$A96)*('Checks'!$B$4:$B$503=I$4)*'Checks'!$D$4:$D$503))),""))</f>
        <v/>
      </c>
      <c r="J96" s="31">
        <f>IF(OR($A96="",J$4=""),"",IFERROR(1/(1/SUMPRODUCT(MAX(('Checks'!$A$4:$A$503=$A96)*('Checks'!$B$4:$B$503=J$4)*'Checks'!$D$4:$D$503))),""))</f>
        <v/>
      </c>
      <c r="K96" s="31">
        <f>IF(OR($A96="",K$4=""),"",IFERROR(1/(1/SUMPRODUCT(MAX(('Checks'!$A$4:$A$503=$A96)*('Checks'!$B$4:$B$503=K$4)*'Checks'!$D$4:$D$503))),""))</f>
        <v/>
      </c>
    </row>
    <row r="97">
      <c r="A97" s="30" t="n"/>
      <c r="B97" s="31">
        <f>IF(OR($A97="",B$4=""),"",IFERROR(1/(1/SUMPRODUCT(MAX(('Checks'!$A$4:$A$503=$A97)*('Checks'!$B$4:$B$503=B$4)*'Checks'!$D$4:$D$503))),""))</f>
        <v/>
      </c>
      <c r="C97" s="31">
        <f>IF(OR($A97="",C$4=""),"",IFERROR(1/(1/SUMPRODUCT(MAX(('Checks'!$A$4:$A$503=$A97)*('Checks'!$B$4:$B$503=C$4)*'Checks'!$D$4:$D$503))),""))</f>
        <v/>
      </c>
      <c r="D97" s="31">
        <f>IF(OR($A97="",D$4=""),"",IFERROR(1/(1/SUMPRODUCT(MAX(('Checks'!$A$4:$A$503=$A97)*('Checks'!$B$4:$B$503=D$4)*'Checks'!$D$4:$D$503))),""))</f>
        <v/>
      </c>
      <c r="E97" s="31">
        <f>IF(OR($A97="",E$4=""),"",IFERROR(1/(1/SUMPRODUCT(MAX(('Checks'!$A$4:$A$503=$A97)*('Checks'!$B$4:$B$503=E$4)*'Checks'!$D$4:$D$503))),""))</f>
        <v/>
      </c>
      <c r="F97" s="31">
        <f>IF(OR($A97="",F$4=""),"",IFERROR(1/(1/SUMPRODUCT(MAX(('Checks'!$A$4:$A$503=$A97)*('Checks'!$B$4:$B$503=F$4)*'Checks'!$D$4:$D$503))),""))</f>
        <v/>
      </c>
      <c r="G97" s="31">
        <f>IF(OR($A97="",G$4=""),"",IFERROR(1/(1/SUMPRODUCT(MAX(('Checks'!$A$4:$A$503=$A97)*('Checks'!$B$4:$B$503=G$4)*'Checks'!$D$4:$D$503))),""))</f>
        <v/>
      </c>
      <c r="H97" s="31">
        <f>IF(OR($A97="",H$4=""),"",IFERROR(1/(1/SUMPRODUCT(MAX(('Checks'!$A$4:$A$503=$A97)*('Checks'!$B$4:$B$503=H$4)*'Checks'!$D$4:$D$503))),""))</f>
        <v/>
      </c>
      <c r="I97" s="31">
        <f>IF(OR($A97="",I$4=""),"",IFERROR(1/(1/SUMPRODUCT(MAX(('Checks'!$A$4:$A$503=$A97)*('Checks'!$B$4:$B$503=I$4)*'Checks'!$D$4:$D$503))),""))</f>
        <v/>
      </c>
      <c r="J97" s="31">
        <f>IF(OR($A97="",J$4=""),"",IFERROR(1/(1/SUMPRODUCT(MAX(('Checks'!$A$4:$A$503=$A97)*('Checks'!$B$4:$B$503=J$4)*'Checks'!$D$4:$D$503))),""))</f>
        <v/>
      </c>
      <c r="K97" s="31">
        <f>IF(OR($A97="",K$4=""),"",IFERROR(1/(1/SUMPRODUCT(MAX(('Checks'!$A$4:$A$503=$A97)*('Checks'!$B$4:$B$503=K$4)*'Checks'!$D$4:$D$503))),""))</f>
        <v/>
      </c>
    </row>
    <row r="98">
      <c r="A98" s="30" t="n"/>
      <c r="B98" s="31">
        <f>IF(OR($A98="",B$4=""),"",IFERROR(1/(1/SUMPRODUCT(MAX(('Checks'!$A$4:$A$503=$A98)*('Checks'!$B$4:$B$503=B$4)*'Checks'!$D$4:$D$503))),""))</f>
        <v/>
      </c>
      <c r="C98" s="31">
        <f>IF(OR($A98="",C$4=""),"",IFERROR(1/(1/SUMPRODUCT(MAX(('Checks'!$A$4:$A$503=$A98)*('Checks'!$B$4:$B$503=C$4)*'Checks'!$D$4:$D$503))),""))</f>
        <v/>
      </c>
      <c r="D98" s="31">
        <f>IF(OR($A98="",D$4=""),"",IFERROR(1/(1/SUMPRODUCT(MAX(('Checks'!$A$4:$A$503=$A98)*('Checks'!$B$4:$B$503=D$4)*'Checks'!$D$4:$D$503))),""))</f>
        <v/>
      </c>
      <c r="E98" s="31">
        <f>IF(OR($A98="",E$4=""),"",IFERROR(1/(1/SUMPRODUCT(MAX(('Checks'!$A$4:$A$503=$A98)*('Checks'!$B$4:$B$503=E$4)*'Checks'!$D$4:$D$503))),""))</f>
        <v/>
      </c>
      <c r="F98" s="31">
        <f>IF(OR($A98="",F$4=""),"",IFERROR(1/(1/SUMPRODUCT(MAX(('Checks'!$A$4:$A$503=$A98)*('Checks'!$B$4:$B$503=F$4)*'Checks'!$D$4:$D$503))),""))</f>
        <v/>
      </c>
      <c r="G98" s="31">
        <f>IF(OR($A98="",G$4=""),"",IFERROR(1/(1/SUMPRODUCT(MAX(('Checks'!$A$4:$A$503=$A98)*('Checks'!$B$4:$B$503=G$4)*'Checks'!$D$4:$D$503))),""))</f>
        <v/>
      </c>
      <c r="H98" s="31">
        <f>IF(OR($A98="",H$4=""),"",IFERROR(1/(1/SUMPRODUCT(MAX(('Checks'!$A$4:$A$503=$A98)*('Checks'!$B$4:$B$503=H$4)*'Checks'!$D$4:$D$503))),""))</f>
        <v/>
      </c>
      <c r="I98" s="31">
        <f>IF(OR($A98="",I$4=""),"",IFERROR(1/(1/SUMPRODUCT(MAX(('Checks'!$A$4:$A$503=$A98)*('Checks'!$B$4:$B$503=I$4)*'Checks'!$D$4:$D$503))),""))</f>
        <v/>
      </c>
      <c r="J98" s="31">
        <f>IF(OR($A98="",J$4=""),"",IFERROR(1/(1/SUMPRODUCT(MAX(('Checks'!$A$4:$A$503=$A98)*('Checks'!$B$4:$B$503=J$4)*'Checks'!$D$4:$D$503))),""))</f>
        <v/>
      </c>
      <c r="K98" s="31">
        <f>IF(OR($A98="",K$4=""),"",IFERROR(1/(1/SUMPRODUCT(MAX(('Checks'!$A$4:$A$503=$A98)*('Checks'!$B$4:$B$503=K$4)*'Checks'!$D$4:$D$503))),""))</f>
        <v/>
      </c>
    </row>
    <row r="99">
      <c r="A99" s="30" t="n"/>
      <c r="B99" s="31">
        <f>IF(OR($A99="",B$4=""),"",IFERROR(1/(1/SUMPRODUCT(MAX(('Checks'!$A$4:$A$503=$A99)*('Checks'!$B$4:$B$503=B$4)*'Checks'!$D$4:$D$503))),""))</f>
        <v/>
      </c>
      <c r="C99" s="31">
        <f>IF(OR($A99="",C$4=""),"",IFERROR(1/(1/SUMPRODUCT(MAX(('Checks'!$A$4:$A$503=$A99)*('Checks'!$B$4:$B$503=C$4)*'Checks'!$D$4:$D$503))),""))</f>
        <v/>
      </c>
      <c r="D99" s="31">
        <f>IF(OR($A99="",D$4=""),"",IFERROR(1/(1/SUMPRODUCT(MAX(('Checks'!$A$4:$A$503=$A99)*('Checks'!$B$4:$B$503=D$4)*'Checks'!$D$4:$D$503))),""))</f>
        <v/>
      </c>
      <c r="E99" s="31">
        <f>IF(OR($A99="",E$4=""),"",IFERROR(1/(1/SUMPRODUCT(MAX(('Checks'!$A$4:$A$503=$A99)*('Checks'!$B$4:$B$503=E$4)*'Checks'!$D$4:$D$503))),""))</f>
        <v/>
      </c>
      <c r="F99" s="31">
        <f>IF(OR($A99="",F$4=""),"",IFERROR(1/(1/SUMPRODUCT(MAX(('Checks'!$A$4:$A$503=$A99)*('Checks'!$B$4:$B$503=F$4)*'Checks'!$D$4:$D$503))),""))</f>
        <v/>
      </c>
      <c r="G99" s="31">
        <f>IF(OR($A99="",G$4=""),"",IFERROR(1/(1/SUMPRODUCT(MAX(('Checks'!$A$4:$A$503=$A99)*('Checks'!$B$4:$B$503=G$4)*'Checks'!$D$4:$D$503))),""))</f>
        <v/>
      </c>
      <c r="H99" s="31">
        <f>IF(OR($A99="",H$4=""),"",IFERROR(1/(1/SUMPRODUCT(MAX(('Checks'!$A$4:$A$503=$A99)*('Checks'!$B$4:$B$503=H$4)*'Checks'!$D$4:$D$503))),""))</f>
        <v/>
      </c>
      <c r="I99" s="31">
        <f>IF(OR($A99="",I$4=""),"",IFERROR(1/(1/SUMPRODUCT(MAX(('Checks'!$A$4:$A$503=$A99)*('Checks'!$B$4:$B$503=I$4)*'Checks'!$D$4:$D$503))),""))</f>
        <v/>
      </c>
      <c r="J99" s="31">
        <f>IF(OR($A99="",J$4=""),"",IFERROR(1/(1/SUMPRODUCT(MAX(('Checks'!$A$4:$A$503=$A99)*('Checks'!$B$4:$B$503=J$4)*'Checks'!$D$4:$D$503))),""))</f>
        <v/>
      </c>
      <c r="K99" s="31">
        <f>IF(OR($A99="",K$4=""),"",IFERROR(1/(1/SUMPRODUCT(MAX(('Checks'!$A$4:$A$503=$A99)*('Checks'!$B$4:$B$503=K$4)*'Checks'!$D$4:$D$503))),""))</f>
        <v/>
      </c>
    </row>
    <row r="100">
      <c r="A100" s="30" t="n"/>
      <c r="B100" s="31">
        <f>IF(OR($A100="",B$4=""),"",IFERROR(1/(1/SUMPRODUCT(MAX(('Checks'!$A$4:$A$503=$A100)*('Checks'!$B$4:$B$503=B$4)*'Checks'!$D$4:$D$503))),""))</f>
        <v/>
      </c>
      <c r="C100" s="31">
        <f>IF(OR($A100="",C$4=""),"",IFERROR(1/(1/SUMPRODUCT(MAX(('Checks'!$A$4:$A$503=$A100)*('Checks'!$B$4:$B$503=C$4)*'Checks'!$D$4:$D$503))),""))</f>
        <v/>
      </c>
      <c r="D100" s="31">
        <f>IF(OR($A100="",D$4=""),"",IFERROR(1/(1/SUMPRODUCT(MAX(('Checks'!$A$4:$A$503=$A100)*('Checks'!$B$4:$B$503=D$4)*'Checks'!$D$4:$D$503))),""))</f>
        <v/>
      </c>
      <c r="E100" s="31">
        <f>IF(OR($A100="",E$4=""),"",IFERROR(1/(1/SUMPRODUCT(MAX(('Checks'!$A$4:$A$503=$A100)*('Checks'!$B$4:$B$503=E$4)*'Checks'!$D$4:$D$503))),""))</f>
        <v/>
      </c>
      <c r="F100" s="31">
        <f>IF(OR($A100="",F$4=""),"",IFERROR(1/(1/SUMPRODUCT(MAX(('Checks'!$A$4:$A$503=$A100)*('Checks'!$B$4:$B$503=F$4)*'Checks'!$D$4:$D$503))),""))</f>
        <v/>
      </c>
      <c r="G100" s="31">
        <f>IF(OR($A100="",G$4=""),"",IFERROR(1/(1/SUMPRODUCT(MAX(('Checks'!$A$4:$A$503=$A100)*('Checks'!$B$4:$B$503=G$4)*'Checks'!$D$4:$D$503))),""))</f>
        <v/>
      </c>
      <c r="H100" s="31">
        <f>IF(OR($A100="",H$4=""),"",IFERROR(1/(1/SUMPRODUCT(MAX(('Checks'!$A$4:$A$503=$A100)*('Checks'!$B$4:$B$503=H$4)*'Checks'!$D$4:$D$503))),""))</f>
        <v/>
      </c>
      <c r="I100" s="31">
        <f>IF(OR($A100="",I$4=""),"",IFERROR(1/(1/SUMPRODUCT(MAX(('Checks'!$A$4:$A$503=$A100)*('Checks'!$B$4:$B$503=I$4)*'Checks'!$D$4:$D$503))),""))</f>
        <v/>
      </c>
      <c r="J100" s="31">
        <f>IF(OR($A100="",J$4=""),"",IFERROR(1/(1/SUMPRODUCT(MAX(('Checks'!$A$4:$A$503=$A100)*('Checks'!$B$4:$B$503=J$4)*'Checks'!$D$4:$D$503))),""))</f>
        <v/>
      </c>
      <c r="K100" s="31">
        <f>IF(OR($A100="",K$4=""),"",IFERROR(1/(1/SUMPRODUCT(MAX(('Checks'!$A$4:$A$503=$A100)*('Checks'!$B$4:$B$503=K$4)*'Checks'!$D$4:$D$503))),""))</f>
        <v/>
      </c>
    </row>
    <row r="101">
      <c r="A101" s="30" t="n"/>
      <c r="B101" s="31">
        <f>IF(OR($A101="",B$4=""),"",IFERROR(1/(1/SUMPRODUCT(MAX(('Checks'!$A$4:$A$503=$A101)*('Checks'!$B$4:$B$503=B$4)*'Checks'!$D$4:$D$503))),""))</f>
        <v/>
      </c>
      <c r="C101" s="31">
        <f>IF(OR($A101="",C$4=""),"",IFERROR(1/(1/SUMPRODUCT(MAX(('Checks'!$A$4:$A$503=$A101)*('Checks'!$B$4:$B$503=C$4)*'Checks'!$D$4:$D$503))),""))</f>
        <v/>
      </c>
      <c r="D101" s="31">
        <f>IF(OR($A101="",D$4=""),"",IFERROR(1/(1/SUMPRODUCT(MAX(('Checks'!$A$4:$A$503=$A101)*('Checks'!$B$4:$B$503=D$4)*'Checks'!$D$4:$D$503))),""))</f>
        <v/>
      </c>
      <c r="E101" s="31">
        <f>IF(OR($A101="",E$4=""),"",IFERROR(1/(1/SUMPRODUCT(MAX(('Checks'!$A$4:$A$503=$A101)*('Checks'!$B$4:$B$503=E$4)*'Checks'!$D$4:$D$503))),""))</f>
        <v/>
      </c>
      <c r="F101" s="31">
        <f>IF(OR($A101="",F$4=""),"",IFERROR(1/(1/SUMPRODUCT(MAX(('Checks'!$A$4:$A$503=$A101)*('Checks'!$B$4:$B$503=F$4)*'Checks'!$D$4:$D$503))),""))</f>
        <v/>
      </c>
      <c r="G101" s="31">
        <f>IF(OR($A101="",G$4=""),"",IFERROR(1/(1/SUMPRODUCT(MAX(('Checks'!$A$4:$A$503=$A101)*('Checks'!$B$4:$B$503=G$4)*'Checks'!$D$4:$D$503))),""))</f>
        <v/>
      </c>
      <c r="H101" s="31">
        <f>IF(OR($A101="",H$4=""),"",IFERROR(1/(1/SUMPRODUCT(MAX(('Checks'!$A$4:$A$503=$A101)*('Checks'!$B$4:$B$503=H$4)*'Checks'!$D$4:$D$503))),""))</f>
        <v/>
      </c>
      <c r="I101" s="31">
        <f>IF(OR($A101="",I$4=""),"",IFERROR(1/(1/SUMPRODUCT(MAX(('Checks'!$A$4:$A$503=$A101)*('Checks'!$B$4:$B$503=I$4)*'Checks'!$D$4:$D$503))),""))</f>
        <v/>
      </c>
      <c r="J101" s="31">
        <f>IF(OR($A101="",J$4=""),"",IFERROR(1/(1/SUMPRODUCT(MAX(('Checks'!$A$4:$A$503=$A101)*('Checks'!$B$4:$B$503=J$4)*'Checks'!$D$4:$D$503))),""))</f>
        <v/>
      </c>
      <c r="K101" s="31">
        <f>IF(OR($A101="",K$4=""),"",IFERROR(1/(1/SUMPRODUCT(MAX(('Checks'!$A$4:$A$503=$A101)*('Checks'!$B$4:$B$503=K$4)*'Checks'!$D$4:$D$503))),""))</f>
        <v/>
      </c>
    </row>
    <row r="102">
      <c r="A102" s="30" t="n"/>
      <c r="B102" s="31">
        <f>IF(OR($A102="",B$4=""),"",IFERROR(1/(1/SUMPRODUCT(MAX(('Checks'!$A$4:$A$503=$A102)*('Checks'!$B$4:$B$503=B$4)*'Checks'!$D$4:$D$503))),""))</f>
        <v/>
      </c>
      <c r="C102" s="31">
        <f>IF(OR($A102="",C$4=""),"",IFERROR(1/(1/SUMPRODUCT(MAX(('Checks'!$A$4:$A$503=$A102)*('Checks'!$B$4:$B$503=C$4)*'Checks'!$D$4:$D$503))),""))</f>
        <v/>
      </c>
      <c r="D102" s="31">
        <f>IF(OR($A102="",D$4=""),"",IFERROR(1/(1/SUMPRODUCT(MAX(('Checks'!$A$4:$A$503=$A102)*('Checks'!$B$4:$B$503=D$4)*'Checks'!$D$4:$D$503))),""))</f>
        <v/>
      </c>
      <c r="E102" s="31">
        <f>IF(OR($A102="",E$4=""),"",IFERROR(1/(1/SUMPRODUCT(MAX(('Checks'!$A$4:$A$503=$A102)*('Checks'!$B$4:$B$503=E$4)*'Checks'!$D$4:$D$503))),""))</f>
        <v/>
      </c>
      <c r="F102" s="31">
        <f>IF(OR($A102="",F$4=""),"",IFERROR(1/(1/SUMPRODUCT(MAX(('Checks'!$A$4:$A$503=$A102)*('Checks'!$B$4:$B$503=F$4)*'Checks'!$D$4:$D$503))),""))</f>
        <v/>
      </c>
      <c r="G102" s="31">
        <f>IF(OR($A102="",G$4=""),"",IFERROR(1/(1/SUMPRODUCT(MAX(('Checks'!$A$4:$A$503=$A102)*('Checks'!$B$4:$B$503=G$4)*'Checks'!$D$4:$D$503))),""))</f>
        <v/>
      </c>
      <c r="H102" s="31">
        <f>IF(OR($A102="",H$4=""),"",IFERROR(1/(1/SUMPRODUCT(MAX(('Checks'!$A$4:$A$503=$A102)*('Checks'!$B$4:$B$503=H$4)*'Checks'!$D$4:$D$503))),""))</f>
        <v/>
      </c>
      <c r="I102" s="31">
        <f>IF(OR($A102="",I$4=""),"",IFERROR(1/(1/SUMPRODUCT(MAX(('Checks'!$A$4:$A$503=$A102)*('Checks'!$B$4:$B$503=I$4)*'Checks'!$D$4:$D$503))),""))</f>
        <v/>
      </c>
      <c r="J102" s="31">
        <f>IF(OR($A102="",J$4=""),"",IFERROR(1/(1/SUMPRODUCT(MAX(('Checks'!$A$4:$A$503=$A102)*('Checks'!$B$4:$B$503=J$4)*'Checks'!$D$4:$D$503))),""))</f>
        <v/>
      </c>
      <c r="K102" s="31">
        <f>IF(OR($A102="",K$4=""),"",IFERROR(1/(1/SUMPRODUCT(MAX(('Checks'!$A$4:$A$503=$A102)*('Checks'!$B$4:$B$503=K$4)*'Checks'!$D$4:$D$503))),""))</f>
        <v/>
      </c>
    </row>
    <row r="103">
      <c r="A103" s="30" t="n"/>
      <c r="B103" s="31">
        <f>IF(OR($A103="",B$4=""),"",IFERROR(1/(1/SUMPRODUCT(MAX(('Checks'!$A$4:$A$503=$A103)*('Checks'!$B$4:$B$503=B$4)*'Checks'!$D$4:$D$503))),""))</f>
        <v/>
      </c>
      <c r="C103" s="31">
        <f>IF(OR($A103="",C$4=""),"",IFERROR(1/(1/SUMPRODUCT(MAX(('Checks'!$A$4:$A$503=$A103)*('Checks'!$B$4:$B$503=C$4)*'Checks'!$D$4:$D$503))),""))</f>
        <v/>
      </c>
      <c r="D103" s="31">
        <f>IF(OR($A103="",D$4=""),"",IFERROR(1/(1/SUMPRODUCT(MAX(('Checks'!$A$4:$A$503=$A103)*('Checks'!$B$4:$B$503=D$4)*'Checks'!$D$4:$D$503))),""))</f>
        <v/>
      </c>
      <c r="E103" s="31">
        <f>IF(OR($A103="",E$4=""),"",IFERROR(1/(1/SUMPRODUCT(MAX(('Checks'!$A$4:$A$503=$A103)*('Checks'!$B$4:$B$503=E$4)*'Checks'!$D$4:$D$503))),""))</f>
        <v/>
      </c>
      <c r="F103" s="31">
        <f>IF(OR($A103="",F$4=""),"",IFERROR(1/(1/SUMPRODUCT(MAX(('Checks'!$A$4:$A$503=$A103)*('Checks'!$B$4:$B$503=F$4)*'Checks'!$D$4:$D$503))),""))</f>
        <v/>
      </c>
      <c r="G103" s="31">
        <f>IF(OR($A103="",G$4=""),"",IFERROR(1/(1/SUMPRODUCT(MAX(('Checks'!$A$4:$A$503=$A103)*('Checks'!$B$4:$B$503=G$4)*'Checks'!$D$4:$D$503))),""))</f>
        <v/>
      </c>
      <c r="H103" s="31">
        <f>IF(OR($A103="",H$4=""),"",IFERROR(1/(1/SUMPRODUCT(MAX(('Checks'!$A$4:$A$503=$A103)*('Checks'!$B$4:$B$503=H$4)*'Checks'!$D$4:$D$503))),""))</f>
        <v/>
      </c>
      <c r="I103" s="31">
        <f>IF(OR($A103="",I$4=""),"",IFERROR(1/(1/SUMPRODUCT(MAX(('Checks'!$A$4:$A$503=$A103)*('Checks'!$B$4:$B$503=I$4)*'Checks'!$D$4:$D$503))),""))</f>
        <v/>
      </c>
      <c r="J103" s="31">
        <f>IF(OR($A103="",J$4=""),"",IFERROR(1/(1/SUMPRODUCT(MAX(('Checks'!$A$4:$A$503=$A103)*('Checks'!$B$4:$B$503=J$4)*'Checks'!$D$4:$D$503))),""))</f>
        <v/>
      </c>
      <c r="K103" s="31">
        <f>IF(OR($A103="",K$4=""),"",IFERROR(1/(1/SUMPRODUCT(MAX(('Checks'!$A$4:$A$503=$A103)*('Checks'!$B$4:$B$503=K$4)*'Checks'!$D$4:$D$503))),""))</f>
        <v/>
      </c>
    </row>
    <row r="104">
      <c r="A104" s="30" t="n"/>
      <c r="B104" s="31">
        <f>IF(OR($A104="",B$4=""),"",IFERROR(1/(1/SUMPRODUCT(MAX(('Checks'!$A$4:$A$503=$A104)*('Checks'!$B$4:$B$503=B$4)*'Checks'!$D$4:$D$503))),""))</f>
        <v/>
      </c>
      <c r="C104" s="31">
        <f>IF(OR($A104="",C$4=""),"",IFERROR(1/(1/SUMPRODUCT(MAX(('Checks'!$A$4:$A$503=$A104)*('Checks'!$B$4:$B$503=C$4)*'Checks'!$D$4:$D$503))),""))</f>
        <v/>
      </c>
      <c r="D104" s="31">
        <f>IF(OR($A104="",D$4=""),"",IFERROR(1/(1/SUMPRODUCT(MAX(('Checks'!$A$4:$A$503=$A104)*('Checks'!$B$4:$B$503=D$4)*'Checks'!$D$4:$D$503))),""))</f>
        <v/>
      </c>
      <c r="E104" s="31">
        <f>IF(OR($A104="",E$4=""),"",IFERROR(1/(1/SUMPRODUCT(MAX(('Checks'!$A$4:$A$503=$A104)*('Checks'!$B$4:$B$503=E$4)*'Checks'!$D$4:$D$503))),""))</f>
        <v/>
      </c>
      <c r="F104" s="31">
        <f>IF(OR($A104="",F$4=""),"",IFERROR(1/(1/SUMPRODUCT(MAX(('Checks'!$A$4:$A$503=$A104)*('Checks'!$B$4:$B$503=F$4)*'Checks'!$D$4:$D$503))),""))</f>
        <v/>
      </c>
      <c r="G104" s="31">
        <f>IF(OR($A104="",G$4=""),"",IFERROR(1/(1/SUMPRODUCT(MAX(('Checks'!$A$4:$A$503=$A104)*('Checks'!$B$4:$B$503=G$4)*'Checks'!$D$4:$D$503))),""))</f>
        <v/>
      </c>
      <c r="H104" s="31">
        <f>IF(OR($A104="",H$4=""),"",IFERROR(1/(1/SUMPRODUCT(MAX(('Checks'!$A$4:$A$503=$A104)*('Checks'!$B$4:$B$503=H$4)*'Checks'!$D$4:$D$503))),""))</f>
        <v/>
      </c>
      <c r="I104" s="31">
        <f>IF(OR($A104="",I$4=""),"",IFERROR(1/(1/SUMPRODUCT(MAX(('Checks'!$A$4:$A$503=$A104)*('Checks'!$B$4:$B$503=I$4)*'Checks'!$D$4:$D$503))),""))</f>
        <v/>
      </c>
      <c r="J104" s="31">
        <f>IF(OR($A104="",J$4=""),"",IFERROR(1/(1/SUMPRODUCT(MAX(('Checks'!$A$4:$A$503=$A104)*('Checks'!$B$4:$B$503=J$4)*'Checks'!$D$4:$D$503))),""))</f>
        <v/>
      </c>
      <c r="K104" s="31">
        <f>IF(OR($A104="",K$4=""),"",IFERROR(1/(1/SUMPRODUCT(MAX(('Checks'!$A$4:$A$503=$A104)*('Checks'!$B$4:$B$503=K$4)*'Checks'!$D$4:$D$503))),""))</f>
        <v/>
      </c>
    </row>
    <row r="105">
      <c r="A105" s="30" t="n"/>
      <c r="B105" s="31">
        <f>IF(OR($A105="",B$4=""),"",IFERROR(1/(1/SUMPRODUCT(MAX(('Checks'!$A$4:$A$503=$A105)*('Checks'!$B$4:$B$503=B$4)*'Checks'!$D$4:$D$503))),""))</f>
        <v/>
      </c>
      <c r="C105" s="31">
        <f>IF(OR($A105="",C$4=""),"",IFERROR(1/(1/SUMPRODUCT(MAX(('Checks'!$A$4:$A$503=$A105)*('Checks'!$B$4:$B$503=C$4)*'Checks'!$D$4:$D$503))),""))</f>
        <v/>
      </c>
      <c r="D105" s="31">
        <f>IF(OR($A105="",D$4=""),"",IFERROR(1/(1/SUMPRODUCT(MAX(('Checks'!$A$4:$A$503=$A105)*('Checks'!$B$4:$B$503=D$4)*'Checks'!$D$4:$D$503))),""))</f>
        <v/>
      </c>
      <c r="E105" s="31">
        <f>IF(OR($A105="",E$4=""),"",IFERROR(1/(1/SUMPRODUCT(MAX(('Checks'!$A$4:$A$503=$A105)*('Checks'!$B$4:$B$503=E$4)*'Checks'!$D$4:$D$503))),""))</f>
        <v/>
      </c>
      <c r="F105" s="31">
        <f>IF(OR($A105="",F$4=""),"",IFERROR(1/(1/SUMPRODUCT(MAX(('Checks'!$A$4:$A$503=$A105)*('Checks'!$B$4:$B$503=F$4)*'Checks'!$D$4:$D$503))),""))</f>
        <v/>
      </c>
      <c r="G105" s="31">
        <f>IF(OR($A105="",G$4=""),"",IFERROR(1/(1/SUMPRODUCT(MAX(('Checks'!$A$4:$A$503=$A105)*('Checks'!$B$4:$B$503=G$4)*'Checks'!$D$4:$D$503))),""))</f>
        <v/>
      </c>
      <c r="H105" s="31">
        <f>IF(OR($A105="",H$4=""),"",IFERROR(1/(1/SUMPRODUCT(MAX(('Checks'!$A$4:$A$503=$A105)*('Checks'!$B$4:$B$503=H$4)*'Checks'!$D$4:$D$503))),""))</f>
        <v/>
      </c>
      <c r="I105" s="31">
        <f>IF(OR($A105="",I$4=""),"",IFERROR(1/(1/SUMPRODUCT(MAX(('Checks'!$A$4:$A$503=$A105)*('Checks'!$B$4:$B$503=I$4)*'Checks'!$D$4:$D$503))),""))</f>
        <v/>
      </c>
      <c r="J105" s="31">
        <f>IF(OR($A105="",J$4=""),"",IFERROR(1/(1/SUMPRODUCT(MAX(('Checks'!$A$4:$A$503=$A105)*('Checks'!$B$4:$B$503=J$4)*'Checks'!$D$4:$D$503))),""))</f>
        <v/>
      </c>
      <c r="K105" s="31">
        <f>IF(OR($A105="",K$4=""),"",IFERROR(1/(1/SUMPRODUCT(MAX(('Checks'!$A$4:$A$503=$A105)*('Checks'!$B$4:$B$503=K$4)*'Checks'!$D$4:$D$503))),""))</f>
        <v/>
      </c>
    </row>
    <row r="106">
      <c r="A106" s="30" t="n"/>
      <c r="B106" s="31">
        <f>IF(OR($A106="",B$4=""),"",IFERROR(1/(1/SUMPRODUCT(MAX(('Checks'!$A$4:$A$503=$A106)*('Checks'!$B$4:$B$503=B$4)*'Checks'!$D$4:$D$503))),""))</f>
        <v/>
      </c>
      <c r="C106" s="31">
        <f>IF(OR($A106="",C$4=""),"",IFERROR(1/(1/SUMPRODUCT(MAX(('Checks'!$A$4:$A$503=$A106)*('Checks'!$B$4:$B$503=C$4)*'Checks'!$D$4:$D$503))),""))</f>
        <v/>
      </c>
      <c r="D106" s="31">
        <f>IF(OR($A106="",D$4=""),"",IFERROR(1/(1/SUMPRODUCT(MAX(('Checks'!$A$4:$A$503=$A106)*('Checks'!$B$4:$B$503=D$4)*'Checks'!$D$4:$D$503))),""))</f>
        <v/>
      </c>
      <c r="E106" s="31">
        <f>IF(OR($A106="",E$4=""),"",IFERROR(1/(1/SUMPRODUCT(MAX(('Checks'!$A$4:$A$503=$A106)*('Checks'!$B$4:$B$503=E$4)*'Checks'!$D$4:$D$503))),""))</f>
        <v/>
      </c>
      <c r="F106" s="31">
        <f>IF(OR($A106="",F$4=""),"",IFERROR(1/(1/SUMPRODUCT(MAX(('Checks'!$A$4:$A$503=$A106)*('Checks'!$B$4:$B$503=F$4)*'Checks'!$D$4:$D$503))),""))</f>
        <v/>
      </c>
      <c r="G106" s="31">
        <f>IF(OR($A106="",G$4=""),"",IFERROR(1/(1/SUMPRODUCT(MAX(('Checks'!$A$4:$A$503=$A106)*('Checks'!$B$4:$B$503=G$4)*'Checks'!$D$4:$D$503))),""))</f>
        <v/>
      </c>
      <c r="H106" s="31">
        <f>IF(OR($A106="",H$4=""),"",IFERROR(1/(1/SUMPRODUCT(MAX(('Checks'!$A$4:$A$503=$A106)*('Checks'!$B$4:$B$503=H$4)*'Checks'!$D$4:$D$503))),""))</f>
        <v/>
      </c>
      <c r="I106" s="31">
        <f>IF(OR($A106="",I$4=""),"",IFERROR(1/(1/SUMPRODUCT(MAX(('Checks'!$A$4:$A$503=$A106)*('Checks'!$B$4:$B$503=I$4)*'Checks'!$D$4:$D$503))),""))</f>
        <v/>
      </c>
      <c r="J106" s="31">
        <f>IF(OR($A106="",J$4=""),"",IFERROR(1/(1/SUMPRODUCT(MAX(('Checks'!$A$4:$A$503=$A106)*('Checks'!$B$4:$B$503=J$4)*'Checks'!$D$4:$D$503))),""))</f>
        <v/>
      </c>
      <c r="K106" s="31">
        <f>IF(OR($A106="",K$4=""),"",IFERROR(1/(1/SUMPRODUCT(MAX(('Checks'!$A$4:$A$503=$A106)*('Checks'!$B$4:$B$503=K$4)*'Checks'!$D$4:$D$503))),""))</f>
        <v/>
      </c>
    </row>
    <row r="107">
      <c r="A107" s="30" t="n"/>
      <c r="B107" s="31">
        <f>IF(OR($A107="",B$4=""),"",IFERROR(1/(1/SUMPRODUCT(MAX(('Checks'!$A$4:$A$503=$A107)*('Checks'!$B$4:$B$503=B$4)*'Checks'!$D$4:$D$503))),""))</f>
        <v/>
      </c>
      <c r="C107" s="31">
        <f>IF(OR($A107="",C$4=""),"",IFERROR(1/(1/SUMPRODUCT(MAX(('Checks'!$A$4:$A$503=$A107)*('Checks'!$B$4:$B$503=C$4)*'Checks'!$D$4:$D$503))),""))</f>
        <v/>
      </c>
      <c r="D107" s="31">
        <f>IF(OR($A107="",D$4=""),"",IFERROR(1/(1/SUMPRODUCT(MAX(('Checks'!$A$4:$A$503=$A107)*('Checks'!$B$4:$B$503=D$4)*'Checks'!$D$4:$D$503))),""))</f>
        <v/>
      </c>
      <c r="E107" s="31">
        <f>IF(OR($A107="",E$4=""),"",IFERROR(1/(1/SUMPRODUCT(MAX(('Checks'!$A$4:$A$503=$A107)*('Checks'!$B$4:$B$503=E$4)*'Checks'!$D$4:$D$503))),""))</f>
        <v/>
      </c>
      <c r="F107" s="31">
        <f>IF(OR($A107="",F$4=""),"",IFERROR(1/(1/SUMPRODUCT(MAX(('Checks'!$A$4:$A$503=$A107)*('Checks'!$B$4:$B$503=F$4)*'Checks'!$D$4:$D$503))),""))</f>
        <v/>
      </c>
      <c r="G107" s="31">
        <f>IF(OR($A107="",G$4=""),"",IFERROR(1/(1/SUMPRODUCT(MAX(('Checks'!$A$4:$A$503=$A107)*('Checks'!$B$4:$B$503=G$4)*'Checks'!$D$4:$D$503))),""))</f>
        <v/>
      </c>
      <c r="H107" s="31">
        <f>IF(OR($A107="",H$4=""),"",IFERROR(1/(1/SUMPRODUCT(MAX(('Checks'!$A$4:$A$503=$A107)*('Checks'!$B$4:$B$503=H$4)*'Checks'!$D$4:$D$503))),""))</f>
        <v/>
      </c>
      <c r="I107" s="31">
        <f>IF(OR($A107="",I$4=""),"",IFERROR(1/(1/SUMPRODUCT(MAX(('Checks'!$A$4:$A$503=$A107)*('Checks'!$B$4:$B$503=I$4)*'Checks'!$D$4:$D$503))),""))</f>
        <v/>
      </c>
      <c r="J107" s="31">
        <f>IF(OR($A107="",J$4=""),"",IFERROR(1/(1/SUMPRODUCT(MAX(('Checks'!$A$4:$A$503=$A107)*('Checks'!$B$4:$B$503=J$4)*'Checks'!$D$4:$D$503))),""))</f>
        <v/>
      </c>
      <c r="K107" s="31">
        <f>IF(OR($A107="",K$4=""),"",IFERROR(1/(1/SUMPRODUCT(MAX(('Checks'!$A$4:$A$503=$A107)*('Checks'!$B$4:$B$503=K$4)*'Checks'!$D$4:$D$503))),""))</f>
        <v/>
      </c>
    </row>
    <row r="108">
      <c r="A108" s="30" t="n"/>
      <c r="B108" s="31">
        <f>IF(OR($A108="",B$4=""),"",IFERROR(1/(1/SUMPRODUCT(MAX(('Checks'!$A$4:$A$503=$A108)*('Checks'!$B$4:$B$503=B$4)*'Checks'!$D$4:$D$503))),""))</f>
        <v/>
      </c>
      <c r="C108" s="31">
        <f>IF(OR($A108="",C$4=""),"",IFERROR(1/(1/SUMPRODUCT(MAX(('Checks'!$A$4:$A$503=$A108)*('Checks'!$B$4:$B$503=C$4)*'Checks'!$D$4:$D$503))),""))</f>
        <v/>
      </c>
      <c r="D108" s="31">
        <f>IF(OR($A108="",D$4=""),"",IFERROR(1/(1/SUMPRODUCT(MAX(('Checks'!$A$4:$A$503=$A108)*('Checks'!$B$4:$B$503=D$4)*'Checks'!$D$4:$D$503))),""))</f>
        <v/>
      </c>
      <c r="E108" s="31">
        <f>IF(OR($A108="",E$4=""),"",IFERROR(1/(1/SUMPRODUCT(MAX(('Checks'!$A$4:$A$503=$A108)*('Checks'!$B$4:$B$503=E$4)*'Checks'!$D$4:$D$503))),""))</f>
        <v/>
      </c>
      <c r="F108" s="31">
        <f>IF(OR($A108="",F$4=""),"",IFERROR(1/(1/SUMPRODUCT(MAX(('Checks'!$A$4:$A$503=$A108)*('Checks'!$B$4:$B$503=F$4)*'Checks'!$D$4:$D$503))),""))</f>
        <v/>
      </c>
      <c r="G108" s="31">
        <f>IF(OR($A108="",G$4=""),"",IFERROR(1/(1/SUMPRODUCT(MAX(('Checks'!$A$4:$A$503=$A108)*('Checks'!$B$4:$B$503=G$4)*'Checks'!$D$4:$D$503))),""))</f>
        <v/>
      </c>
      <c r="H108" s="31">
        <f>IF(OR($A108="",H$4=""),"",IFERROR(1/(1/SUMPRODUCT(MAX(('Checks'!$A$4:$A$503=$A108)*('Checks'!$B$4:$B$503=H$4)*'Checks'!$D$4:$D$503))),""))</f>
        <v/>
      </c>
      <c r="I108" s="31">
        <f>IF(OR($A108="",I$4=""),"",IFERROR(1/(1/SUMPRODUCT(MAX(('Checks'!$A$4:$A$503=$A108)*('Checks'!$B$4:$B$503=I$4)*'Checks'!$D$4:$D$503))),""))</f>
        <v/>
      </c>
      <c r="J108" s="31">
        <f>IF(OR($A108="",J$4=""),"",IFERROR(1/(1/SUMPRODUCT(MAX(('Checks'!$A$4:$A$503=$A108)*('Checks'!$B$4:$B$503=J$4)*'Checks'!$D$4:$D$503))),""))</f>
        <v/>
      </c>
      <c r="K108" s="31">
        <f>IF(OR($A108="",K$4=""),"",IFERROR(1/(1/SUMPRODUCT(MAX(('Checks'!$A$4:$A$503=$A108)*('Checks'!$B$4:$B$503=K$4)*'Checks'!$D$4:$D$503))),""))</f>
        <v/>
      </c>
    </row>
    <row r="109">
      <c r="A109" s="30" t="n"/>
      <c r="B109" s="31">
        <f>IF(OR($A109="",B$4=""),"",IFERROR(1/(1/SUMPRODUCT(MAX(('Checks'!$A$4:$A$503=$A109)*('Checks'!$B$4:$B$503=B$4)*'Checks'!$D$4:$D$503))),""))</f>
        <v/>
      </c>
      <c r="C109" s="31">
        <f>IF(OR($A109="",C$4=""),"",IFERROR(1/(1/SUMPRODUCT(MAX(('Checks'!$A$4:$A$503=$A109)*('Checks'!$B$4:$B$503=C$4)*'Checks'!$D$4:$D$503))),""))</f>
        <v/>
      </c>
      <c r="D109" s="31">
        <f>IF(OR($A109="",D$4=""),"",IFERROR(1/(1/SUMPRODUCT(MAX(('Checks'!$A$4:$A$503=$A109)*('Checks'!$B$4:$B$503=D$4)*'Checks'!$D$4:$D$503))),""))</f>
        <v/>
      </c>
      <c r="E109" s="31">
        <f>IF(OR($A109="",E$4=""),"",IFERROR(1/(1/SUMPRODUCT(MAX(('Checks'!$A$4:$A$503=$A109)*('Checks'!$B$4:$B$503=E$4)*'Checks'!$D$4:$D$503))),""))</f>
        <v/>
      </c>
      <c r="F109" s="31">
        <f>IF(OR($A109="",F$4=""),"",IFERROR(1/(1/SUMPRODUCT(MAX(('Checks'!$A$4:$A$503=$A109)*('Checks'!$B$4:$B$503=F$4)*'Checks'!$D$4:$D$503))),""))</f>
        <v/>
      </c>
      <c r="G109" s="31">
        <f>IF(OR($A109="",G$4=""),"",IFERROR(1/(1/SUMPRODUCT(MAX(('Checks'!$A$4:$A$503=$A109)*('Checks'!$B$4:$B$503=G$4)*'Checks'!$D$4:$D$503))),""))</f>
        <v/>
      </c>
      <c r="H109" s="31">
        <f>IF(OR($A109="",H$4=""),"",IFERROR(1/(1/SUMPRODUCT(MAX(('Checks'!$A$4:$A$503=$A109)*('Checks'!$B$4:$B$503=H$4)*'Checks'!$D$4:$D$503))),""))</f>
        <v/>
      </c>
      <c r="I109" s="31">
        <f>IF(OR($A109="",I$4=""),"",IFERROR(1/(1/SUMPRODUCT(MAX(('Checks'!$A$4:$A$503=$A109)*('Checks'!$B$4:$B$503=I$4)*'Checks'!$D$4:$D$503))),""))</f>
        <v/>
      </c>
      <c r="J109" s="31">
        <f>IF(OR($A109="",J$4=""),"",IFERROR(1/(1/SUMPRODUCT(MAX(('Checks'!$A$4:$A$503=$A109)*('Checks'!$B$4:$B$503=J$4)*'Checks'!$D$4:$D$503))),""))</f>
        <v/>
      </c>
      <c r="K109" s="31">
        <f>IF(OR($A109="",K$4=""),"",IFERROR(1/(1/SUMPRODUCT(MAX(('Checks'!$A$4:$A$503=$A109)*('Checks'!$B$4:$B$503=K$4)*'Checks'!$D$4:$D$503))),""))</f>
        <v/>
      </c>
    </row>
    <row r="110">
      <c r="A110" s="30" t="n"/>
      <c r="B110" s="31">
        <f>IF(OR($A110="",B$4=""),"",IFERROR(1/(1/SUMPRODUCT(MAX(('Checks'!$A$4:$A$503=$A110)*('Checks'!$B$4:$B$503=B$4)*'Checks'!$D$4:$D$503))),""))</f>
        <v/>
      </c>
      <c r="C110" s="31">
        <f>IF(OR($A110="",C$4=""),"",IFERROR(1/(1/SUMPRODUCT(MAX(('Checks'!$A$4:$A$503=$A110)*('Checks'!$B$4:$B$503=C$4)*'Checks'!$D$4:$D$503))),""))</f>
        <v/>
      </c>
      <c r="D110" s="31">
        <f>IF(OR($A110="",D$4=""),"",IFERROR(1/(1/SUMPRODUCT(MAX(('Checks'!$A$4:$A$503=$A110)*('Checks'!$B$4:$B$503=D$4)*'Checks'!$D$4:$D$503))),""))</f>
        <v/>
      </c>
      <c r="E110" s="31">
        <f>IF(OR($A110="",E$4=""),"",IFERROR(1/(1/SUMPRODUCT(MAX(('Checks'!$A$4:$A$503=$A110)*('Checks'!$B$4:$B$503=E$4)*'Checks'!$D$4:$D$503))),""))</f>
        <v/>
      </c>
      <c r="F110" s="31">
        <f>IF(OR($A110="",F$4=""),"",IFERROR(1/(1/SUMPRODUCT(MAX(('Checks'!$A$4:$A$503=$A110)*('Checks'!$B$4:$B$503=F$4)*'Checks'!$D$4:$D$503))),""))</f>
        <v/>
      </c>
      <c r="G110" s="31">
        <f>IF(OR($A110="",G$4=""),"",IFERROR(1/(1/SUMPRODUCT(MAX(('Checks'!$A$4:$A$503=$A110)*('Checks'!$B$4:$B$503=G$4)*'Checks'!$D$4:$D$503))),""))</f>
        <v/>
      </c>
      <c r="H110" s="31">
        <f>IF(OR($A110="",H$4=""),"",IFERROR(1/(1/SUMPRODUCT(MAX(('Checks'!$A$4:$A$503=$A110)*('Checks'!$B$4:$B$503=H$4)*'Checks'!$D$4:$D$503))),""))</f>
        <v/>
      </c>
      <c r="I110" s="31">
        <f>IF(OR($A110="",I$4=""),"",IFERROR(1/(1/SUMPRODUCT(MAX(('Checks'!$A$4:$A$503=$A110)*('Checks'!$B$4:$B$503=I$4)*'Checks'!$D$4:$D$503))),""))</f>
        <v/>
      </c>
      <c r="J110" s="31">
        <f>IF(OR($A110="",J$4=""),"",IFERROR(1/(1/SUMPRODUCT(MAX(('Checks'!$A$4:$A$503=$A110)*('Checks'!$B$4:$B$503=J$4)*'Checks'!$D$4:$D$503))),""))</f>
        <v/>
      </c>
      <c r="K110" s="31">
        <f>IF(OR($A110="",K$4=""),"",IFERROR(1/(1/SUMPRODUCT(MAX(('Checks'!$A$4:$A$503=$A110)*('Checks'!$B$4:$B$503=K$4)*'Checks'!$D$4:$D$503))),""))</f>
        <v/>
      </c>
    </row>
    <row r="111">
      <c r="A111" s="30" t="n"/>
      <c r="B111" s="31">
        <f>IF(OR($A111="",B$4=""),"",IFERROR(1/(1/SUMPRODUCT(MAX(('Checks'!$A$4:$A$503=$A111)*('Checks'!$B$4:$B$503=B$4)*'Checks'!$D$4:$D$503))),""))</f>
        <v/>
      </c>
      <c r="C111" s="31">
        <f>IF(OR($A111="",C$4=""),"",IFERROR(1/(1/SUMPRODUCT(MAX(('Checks'!$A$4:$A$503=$A111)*('Checks'!$B$4:$B$503=C$4)*'Checks'!$D$4:$D$503))),""))</f>
        <v/>
      </c>
      <c r="D111" s="31">
        <f>IF(OR($A111="",D$4=""),"",IFERROR(1/(1/SUMPRODUCT(MAX(('Checks'!$A$4:$A$503=$A111)*('Checks'!$B$4:$B$503=D$4)*'Checks'!$D$4:$D$503))),""))</f>
        <v/>
      </c>
      <c r="E111" s="31">
        <f>IF(OR($A111="",E$4=""),"",IFERROR(1/(1/SUMPRODUCT(MAX(('Checks'!$A$4:$A$503=$A111)*('Checks'!$B$4:$B$503=E$4)*'Checks'!$D$4:$D$503))),""))</f>
        <v/>
      </c>
      <c r="F111" s="31">
        <f>IF(OR($A111="",F$4=""),"",IFERROR(1/(1/SUMPRODUCT(MAX(('Checks'!$A$4:$A$503=$A111)*('Checks'!$B$4:$B$503=F$4)*'Checks'!$D$4:$D$503))),""))</f>
        <v/>
      </c>
      <c r="G111" s="31">
        <f>IF(OR($A111="",G$4=""),"",IFERROR(1/(1/SUMPRODUCT(MAX(('Checks'!$A$4:$A$503=$A111)*('Checks'!$B$4:$B$503=G$4)*'Checks'!$D$4:$D$503))),""))</f>
        <v/>
      </c>
      <c r="H111" s="31">
        <f>IF(OR($A111="",H$4=""),"",IFERROR(1/(1/SUMPRODUCT(MAX(('Checks'!$A$4:$A$503=$A111)*('Checks'!$B$4:$B$503=H$4)*'Checks'!$D$4:$D$503))),""))</f>
        <v/>
      </c>
      <c r="I111" s="31">
        <f>IF(OR($A111="",I$4=""),"",IFERROR(1/(1/SUMPRODUCT(MAX(('Checks'!$A$4:$A$503=$A111)*('Checks'!$B$4:$B$503=I$4)*'Checks'!$D$4:$D$503))),""))</f>
        <v/>
      </c>
      <c r="J111" s="31">
        <f>IF(OR($A111="",J$4=""),"",IFERROR(1/(1/SUMPRODUCT(MAX(('Checks'!$A$4:$A$503=$A111)*('Checks'!$B$4:$B$503=J$4)*'Checks'!$D$4:$D$503))),""))</f>
        <v/>
      </c>
      <c r="K111" s="31">
        <f>IF(OR($A111="",K$4=""),"",IFERROR(1/(1/SUMPRODUCT(MAX(('Checks'!$A$4:$A$503=$A111)*('Checks'!$B$4:$B$503=K$4)*'Checks'!$D$4:$D$503))),""))</f>
        <v/>
      </c>
    </row>
    <row r="112">
      <c r="A112" s="30" t="n"/>
      <c r="B112" s="31">
        <f>IF(OR($A112="",B$4=""),"",IFERROR(1/(1/SUMPRODUCT(MAX(('Checks'!$A$4:$A$503=$A112)*('Checks'!$B$4:$B$503=B$4)*'Checks'!$D$4:$D$503))),""))</f>
        <v/>
      </c>
      <c r="C112" s="31">
        <f>IF(OR($A112="",C$4=""),"",IFERROR(1/(1/SUMPRODUCT(MAX(('Checks'!$A$4:$A$503=$A112)*('Checks'!$B$4:$B$503=C$4)*'Checks'!$D$4:$D$503))),""))</f>
        <v/>
      </c>
      <c r="D112" s="31">
        <f>IF(OR($A112="",D$4=""),"",IFERROR(1/(1/SUMPRODUCT(MAX(('Checks'!$A$4:$A$503=$A112)*('Checks'!$B$4:$B$503=D$4)*'Checks'!$D$4:$D$503))),""))</f>
        <v/>
      </c>
      <c r="E112" s="31">
        <f>IF(OR($A112="",E$4=""),"",IFERROR(1/(1/SUMPRODUCT(MAX(('Checks'!$A$4:$A$503=$A112)*('Checks'!$B$4:$B$503=E$4)*'Checks'!$D$4:$D$503))),""))</f>
        <v/>
      </c>
      <c r="F112" s="31">
        <f>IF(OR($A112="",F$4=""),"",IFERROR(1/(1/SUMPRODUCT(MAX(('Checks'!$A$4:$A$503=$A112)*('Checks'!$B$4:$B$503=F$4)*'Checks'!$D$4:$D$503))),""))</f>
        <v/>
      </c>
      <c r="G112" s="31">
        <f>IF(OR($A112="",G$4=""),"",IFERROR(1/(1/SUMPRODUCT(MAX(('Checks'!$A$4:$A$503=$A112)*('Checks'!$B$4:$B$503=G$4)*'Checks'!$D$4:$D$503))),""))</f>
        <v/>
      </c>
      <c r="H112" s="31">
        <f>IF(OR($A112="",H$4=""),"",IFERROR(1/(1/SUMPRODUCT(MAX(('Checks'!$A$4:$A$503=$A112)*('Checks'!$B$4:$B$503=H$4)*'Checks'!$D$4:$D$503))),""))</f>
        <v/>
      </c>
      <c r="I112" s="31">
        <f>IF(OR($A112="",I$4=""),"",IFERROR(1/(1/SUMPRODUCT(MAX(('Checks'!$A$4:$A$503=$A112)*('Checks'!$B$4:$B$503=I$4)*'Checks'!$D$4:$D$503))),""))</f>
        <v/>
      </c>
      <c r="J112" s="31">
        <f>IF(OR($A112="",J$4=""),"",IFERROR(1/(1/SUMPRODUCT(MAX(('Checks'!$A$4:$A$503=$A112)*('Checks'!$B$4:$B$503=J$4)*'Checks'!$D$4:$D$503))),""))</f>
        <v/>
      </c>
      <c r="K112" s="31">
        <f>IF(OR($A112="",K$4=""),"",IFERROR(1/(1/SUMPRODUCT(MAX(('Checks'!$A$4:$A$503=$A112)*('Checks'!$B$4:$B$503=K$4)*'Checks'!$D$4:$D$503))),""))</f>
        <v/>
      </c>
    </row>
    <row r="113">
      <c r="A113" s="30" t="n"/>
      <c r="B113" s="31">
        <f>IF(OR($A113="",B$4=""),"",IFERROR(1/(1/SUMPRODUCT(MAX(('Checks'!$A$4:$A$503=$A113)*('Checks'!$B$4:$B$503=B$4)*'Checks'!$D$4:$D$503))),""))</f>
        <v/>
      </c>
      <c r="C113" s="31">
        <f>IF(OR($A113="",C$4=""),"",IFERROR(1/(1/SUMPRODUCT(MAX(('Checks'!$A$4:$A$503=$A113)*('Checks'!$B$4:$B$503=C$4)*'Checks'!$D$4:$D$503))),""))</f>
        <v/>
      </c>
      <c r="D113" s="31">
        <f>IF(OR($A113="",D$4=""),"",IFERROR(1/(1/SUMPRODUCT(MAX(('Checks'!$A$4:$A$503=$A113)*('Checks'!$B$4:$B$503=D$4)*'Checks'!$D$4:$D$503))),""))</f>
        <v/>
      </c>
      <c r="E113" s="31">
        <f>IF(OR($A113="",E$4=""),"",IFERROR(1/(1/SUMPRODUCT(MAX(('Checks'!$A$4:$A$503=$A113)*('Checks'!$B$4:$B$503=E$4)*'Checks'!$D$4:$D$503))),""))</f>
        <v/>
      </c>
      <c r="F113" s="31">
        <f>IF(OR($A113="",F$4=""),"",IFERROR(1/(1/SUMPRODUCT(MAX(('Checks'!$A$4:$A$503=$A113)*('Checks'!$B$4:$B$503=F$4)*'Checks'!$D$4:$D$503))),""))</f>
        <v/>
      </c>
      <c r="G113" s="31">
        <f>IF(OR($A113="",G$4=""),"",IFERROR(1/(1/SUMPRODUCT(MAX(('Checks'!$A$4:$A$503=$A113)*('Checks'!$B$4:$B$503=G$4)*'Checks'!$D$4:$D$503))),""))</f>
        <v/>
      </c>
      <c r="H113" s="31">
        <f>IF(OR($A113="",H$4=""),"",IFERROR(1/(1/SUMPRODUCT(MAX(('Checks'!$A$4:$A$503=$A113)*('Checks'!$B$4:$B$503=H$4)*'Checks'!$D$4:$D$503))),""))</f>
        <v/>
      </c>
      <c r="I113" s="31">
        <f>IF(OR($A113="",I$4=""),"",IFERROR(1/(1/SUMPRODUCT(MAX(('Checks'!$A$4:$A$503=$A113)*('Checks'!$B$4:$B$503=I$4)*'Checks'!$D$4:$D$503))),""))</f>
        <v/>
      </c>
      <c r="J113" s="31">
        <f>IF(OR($A113="",J$4=""),"",IFERROR(1/(1/SUMPRODUCT(MAX(('Checks'!$A$4:$A$503=$A113)*('Checks'!$B$4:$B$503=J$4)*'Checks'!$D$4:$D$503))),""))</f>
        <v/>
      </c>
      <c r="K113" s="31">
        <f>IF(OR($A113="",K$4=""),"",IFERROR(1/(1/SUMPRODUCT(MAX(('Checks'!$A$4:$A$503=$A113)*('Checks'!$B$4:$B$503=K$4)*'Checks'!$D$4:$D$503))),""))</f>
        <v/>
      </c>
    </row>
    <row r="114">
      <c r="A114" s="30" t="n"/>
      <c r="B114" s="31">
        <f>IF(OR($A114="",B$4=""),"",IFERROR(1/(1/SUMPRODUCT(MAX(('Checks'!$A$4:$A$503=$A114)*('Checks'!$B$4:$B$503=B$4)*'Checks'!$D$4:$D$503))),""))</f>
        <v/>
      </c>
      <c r="C114" s="31">
        <f>IF(OR($A114="",C$4=""),"",IFERROR(1/(1/SUMPRODUCT(MAX(('Checks'!$A$4:$A$503=$A114)*('Checks'!$B$4:$B$503=C$4)*'Checks'!$D$4:$D$503))),""))</f>
        <v/>
      </c>
      <c r="D114" s="31">
        <f>IF(OR($A114="",D$4=""),"",IFERROR(1/(1/SUMPRODUCT(MAX(('Checks'!$A$4:$A$503=$A114)*('Checks'!$B$4:$B$503=D$4)*'Checks'!$D$4:$D$503))),""))</f>
        <v/>
      </c>
      <c r="E114" s="31">
        <f>IF(OR($A114="",E$4=""),"",IFERROR(1/(1/SUMPRODUCT(MAX(('Checks'!$A$4:$A$503=$A114)*('Checks'!$B$4:$B$503=E$4)*'Checks'!$D$4:$D$503))),""))</f>
        <v/>
      </c>
      <c r="F114" s="31">
        <f>IF(OR($A114="",F$4=""),"",IFERROR(1/(1/SUMPRODUCT(MAX(('Checks'!$A$4:$A$503=$A114)*('Checks'!$B$4:$B$503=F$4)*'Checks'!$D$4:$D$503))),""))</f>
        <v/>
      </c>
      <c r="G114" s="31">
        <f>IF(OR($A114="",G$4=""),"",IFERROR(1/(1/SUMPRODUCT(MAX(('Checks'!$A$4:$A$503=$A114)*('Checks'!$B$4:$B$503=G$4)*'Checks'!$D$4:$D$503))),""))</f>
        <v/>
      </c>
      <c r="H114" s="31">
        <f>IF(OR($A114="",H$4=""),"",IFERROR(1/(1/SUMPRODUCT(MAX(('Checks'!$A$4:$A$503=$A114)*('Checks'!$B$4:$B$503=H$4)*'Checks'!$D$4:$D$503))),""))</f>
        <v/>
      </c>
      <c r="I114" s="31">
        <f>IF(OR($A114="",I$4=""),"",IFERROR(1/(1/SUMPRODUCT(MAX(('Checks'!$A$4:$A$503=$A114)*('Checks'!$B$4:$B$503=I$4)*'Checks'!$D$4:$D$503))),""))</f>
        <v/>
      </c>
      <c r="J114" s="31">
        <f>IF(OR($A114="",J$4=""),"",IFERROR(1/(1/SUMPRODUCT(MAX(('Checks'!$A$4:$A$503=$A114)*('Checks'!$B$4:$B$503=J$4)*'Checks'!$D$4:$D$503))),""))</f>
        <v/>
      </c>
      <c r="K114" s="31">
        <f>IF(OR($A114="",K$4=""),"",IFERROR(1/(1/SUMPRODUCT(MAX(('Checks'!$A$4:$A$503=$A114)*('Checks'!$B$4:$B$503=K$4)*'Checks'!$D$4:$D$503))),""))</f>
        <v/>
      </c>
    </row>
    <row r="115">
      <c r="A115" s="30" t="n"/>
      <c r="B115" s="31">
        <f>IF(OR($A115="",B$4=""),"",IFERROR(1/(1/SUMPRODUCT(MAX(('Checks'!$A$4:$A$503=$A115)*('Checks'!$B$4:$B$503=B$4)*'Checks'!$D$4:$D$503))),""))</f>
        <v/>
      </c>
      <c r="C115" s="31">
        <f>IF(OR($A115="",C$4=""),"",IFERROR(1/(1/SUMPRODUCT(MAX(('Checks'!$A$4:$A$503=$A115)*('Checks'!$B$4:$B$503=C$4)*'Checks'!$D$4:$D$503))),""))</f>
        <v/>
      </c>
      <c r="D115" s="31">
        <f>IF(OR($A115="",D$4=""),"",IFERROR(1/(1/SUMPRODUCT(MAX(('Checks'!$A$4:$A$503=$A115)*('Checks'!$B$4:$B$503=D$4)*'Checks'!$D$4:$D$503))),""))</f>
        <v/>
      </c>
      <c r="E115" s="31">
        <f>IF(OR($A115="",E$4=""),"",IFERROR(1/(1/SUMPRODUCT(MAX(('Checks'!$A$4:$A$503=$A115)*('Checks'!$B$4:$B$503=E$4)*'Checks'!$D$4:$D$503))),""))</f>
        <v/>
      </c>
      <c r="F115" s="31">
        <f>IF(OR($A115="",F$4=""),"",IFERROR(1/(1/SUMPRODUCT(MAX(('Checks'!$A$4:$A$503=$A115)*('Checks'!$B$4:$B$503=F$4)*'Checks'!$D$4:$D$503))),""))</f>
        <v/>
      </c>
      <c r="G115" s="31">
        <f>IF(OR($A115="",G$4=""),"",IFERROR(1/(1/SUMPRODUCT(MAX(('Checks'!$A$4:$A$503=$A115)*('Checks'!$B$4:$B$503=G$4)*'Checks'!$D$4:$D$503))),""))</f>
        <v/>
      </c>
      <c r="H115" s="31">
        <f>IF(OR($A115="",H$4=""),"",IFERROR(1/(1/SUMPRODUCT(MAX(('Checks'!$A$4:$A$503=$A115)*('Checks'!$B$4:$B$503=H$4)*'Checks'!$D$4:$D$503))),""))</f>
        <v/>
      </c>
      <c r="I115" s="31">
        <f>IF(OR($A115="",I$4=""),"",IFERROR(1/(1/SUMPRODUCT(MAX(('Checks'!$A$4:$A$503=$A115)*('Checks'!$B$4:$B$503=I$4)*'Checks'!$D$4:$D$503))),""))</f>
        <v/>
      </c>
      <c r="J115" s="31">
        <f>IF(OR($A115="",J$4=""),"",IFERROR(1/(1/SUMPRODUCT(MAX(('Checks'!$A$4:$A$503=$A115)*('Checks'!$B$4:$B$503=J$4)*'Checks'!$D$4:$D$503))),""))</f>
        <v/>
      </c>
      <c r="K115" s="31">
        <f>IF(OR($A115="",K$4=""),"",IFERROR(1/(1/SUMPRODUCT(MAX(('Checks'!$A$4:$A$503=$A115)*('Checks'!$B$4:$B$503=K$4)*'Checks'!$D$4:$D$503))),""))</f>
        <v/>
      </c>
    </row>
    <row r="116">
      <c r="A116" s="30" t="n"/>
      <c r="B116" s="31">
        <f>IF(OR($A116="",B$4=""),"",IFERROR(1/(1/SUMPRODUCT(MAX(('Checks'!$A$4:$A$503=$A116)*('Checks'!$B$4:$B$503=B$4)*'Checks'!$D$4:$D$503))),""))</f>
        <v/>
      </c>
      <c r="C116" s="31">
        <f>IF(OR($A116="",C$4=""),"",IFERROR(1/(1/SUMPRODUCT(MAX(('Checks'!$A$4:$A$503=$A116)*('Checks'!$B$4:$B$503=C$4)*'Checks'!$D$4:$D$503))),""))</f>
        <v/>
      </c>
      <c r="D116" s="31">
        <f>IF(OR($A116="",D$4=""),"",IFERROR(1/(1/SUMPRODUCT(MAX(('Checks'!$A$4:$A$503=$A116)*('Checks'!$B$4:$B$503=D$4)*'Checks'!$D$4:$D$503))),""))</f>
        <v/>
      </c>
      <c r="E116" s="31">
        <f>IF(OR($A116="",E$4=""),"",IFERROR(1/(1/SUMPRODUCT(MAX(('Checks'!$A$4:$A$503=$A116)*('Checks'!$B$4:$B$503=E$4)*'Checks'!$D$4:$D$503))),""))</f>
        <v/>
      </c>
      <c r="F116" s="31">
        <f>IF(OR($A116="",F$4=""),"",IFERROR(1/(1/SUMPRODUCT(MAX(('Checks'!$A$4:$A$503=$A116)*('Checks'!$B$4:$B$503=F$4)*'Checks'!$D$4:$D$503))),""))</f>
        <v/>
      </c>
      <c r="G116" s="31">
        <f>IF(OR($A116="",G$4=""),"",IFERROR(1/(1/SUMPRODUCT(MAX(('Checks'!$A$4:$A$503=$A116)*('Checks'!$B$4:$B$503=G$4)*'Checks'!$D$4:$D$503))),""))</f>
        <v/>
      </c>
      <c r="H116" s="31">
        <f>IF(OR($A116="",H$4=""),"",IFERROR(1/(1/SUMPRODUCT(MAX(('Checks'!$A$4:$A$503=$A116)*('Checks'!$B$4:$B$503=H$4)*'Checks'!$D$4:$D$503))),""))</f>
        <v/>
      </c>
      <c r="I116" s="31">
        <f>IF(OR($A116="",I$4=""),"",IFERROR(1/(1/SUMPRODUCT(MAX(('Checks'!$A$4:$A$503=$A116)*('Checks'!$B$4:$B$503=I$4)*'Checks'!$D$4:$D$503))),""))</f>
        <v/>
      </c>
      <c r="J116" s="31">
        <f>IF(OR($A116="",J$4=""),"",IFERROR(1/(1/SUMPRODUCT(MAX(('Checks'!$A$4:$A$503=$A116)*('Checks'!$B$4:$B$503=J$4)*'Checks'!$D$4:$D$503))),""))</f>
        <v/>
      </c>
      <c r="K116" s="31">
        <f>IF(OR($A116="",K$4=""),"",IFERROR(1/(1/SUMPRODUCT(MAX(('Checks'!$A$4:$A$503=$A116)*('Checks'!$B$4:$B$503=K$4)*'Checks'!$D$4:$D$503))),""))</f>
        <v/>
      </c>
    </row>
    <row r="117">
      <c r="A117" s="30" t="n"/>
      <c r="B117" s="31">
        <f>IF(OR($A117="",B$4=""),"",IFERROR(1/(1/SUMPRODUCT(MAX(('Checks'!$A$4:$A$503=$A117)*('Checks'!$B$4:$B$503=B$4)*'Checks'!$D$4:$D$503))),""))</f>
        <v/>
      </c>
      <c r="C117" s="31">
        <f>IF(OR($A117="",C$4=""),"",IFERROR(1/(1/SUMPRODUCT(MAX(('Checks'!$A$4:$A$503=$A117)*('Checks'!$B$4:$B$503=C$4)*'Checks'!$D$4:$D$503))),""))</f>
        <v/>
      </c>
      <c r="D117" s="31">
        <f>IF(OR($A117="",D$4=""),"",IFERROR(1/(1/SUMPRODUCT(MAX(('Checks'!$A$4:$A$503=$A117)*('Checks'!$B$4:$B$503=D$4)*'Checks'!$D$4:$D$503))),""))</f>
        <v/>
      </c>
      <c r="E117" s="31">
        <f>IF(OR($A117="",E$4=""),"",IFERROR(1/(1/SUMPRODUCT(MAX(('Checks'!$A$4:$A$503=$A117)*('Checks'!$B$4:$B$503=E$4)*'Checks'!$D$4:$D$503))),""))</f>
        <v/>
      </c>
      <c r="F117" s="31">
        <f>IF(OR($A117="",F$4=""),"",IFERROR(1/(1/SUMPRODUCT(MAX(('Checks'!$A$4:$A$503=$A117)*('Checks'!$B$4:$B$503=F$4)*'Checks'!$D$4:$D$503))),""))</f>
        <v/>
      </c>
      <c r="G117" s="31">
        <f>IF(OR($A117="",G$4=""),"",IFERROR(1/(1/SUMPRODUCT(MAX(('Checks'!$A$4:$A$503=$A117)*('Checks'!$B$4:$B$503=G$4)*'Checks'!$D$4:$D$503))),""))</f>
        <v/>
      </c>
      <c r="H117" s="31">
        <f>IF(OR($A117="",H$4=""),"",IFERROR(1/(1/SUMPRODUCT(MAX(('Checks'!$A$4:$A$503=$A117)*('Checks'!$B$4:$B$503=H$4)*'Checks'!$D$4:$D$503))),""))</f>
        <v/>
      </c>
      <c r="I117" s="31">
        <f>IF(OR($A117="",I$4=""),"",IFERROR(1/(1/SUMPRODUCT(MAX(('Checks'!$A$4:$A$503=$A117)*('Checks'!$B$4:$B$503=I$4)*'Checks'!$D$4:$D$503))),""))</f>
        <v/>
      </c>
      <c r="J117" s="31">
        <f>IF(OR($A117="",J$4=""),"",IFERROR(1/(1/SUMPRODUCT(MAX(('Checks'!$A$4:$A$503=$A117)*('Checks'!$B$4:$B$503=J$4)*'Checks'!$D$4:$D$503))),""))</f>
        <v/>
      </c>
      <c r="K117" s="31">
        <f>IF(OR($A117="",K$4=""),"",IFERROR(1/(1/SUMPRODUCT(MAX(('Checks'!$A$4:$A$503=$A117)*('Checks'!$B$4:$B$503=K$4)*'Checks'!$D$4:$D$503))),""))</f>
        <v/>
      </c>
    </row>
    <row r="118">
      <c r="A118" s="30" t="n"/>
      <c r="B118" s="31">
        <f>IF(OR($A118="",B$4=""),"",IFERROR(1/(1/SUMPRODUCT(MAX(('Checks'!$A$4:$A$503=$A118)*('Checks'!$B$4:$B$503=B$4)*'Checks'!$D$4:$D$503))),""))</f>
        <v/>
      </c>
      <c r="C118" s="31">
        <f>IF(OR($A118="",C$4=""),"",IFERROR(1/(1/SUMPRODUCT(MAX(('Checks'!$A$4:$A$503=$A118)*('Checks'!$B$4:$B$503=C$4)*'Checks'!$D$4:$D$503))),""))</f>
        <v/>
      </c>
      <c r="D118" s="31">
        <f>IF(OR($A118="",D$4=""),"",IFERROR(1/(1/SUMPRODUCT(MAX(('Checks'!$A$4:$A$503=$A118)*('Checks'!$B$4:$B$503=D$4)*'Checks'!$D$4:$D$503))),""))</f>
        <v/>
      </c>
      <c r="E118" s="31">
        <f>IF(OR($A118="",E$4=""),"",IFERROR(1/(1/SUMPRODUCT(MAX(('Checks'!$A$4:$A$503=$A118)*('Checks'!$B$4:$B$503=E$4)*'Checks'!$D$4:$D$503))),""))</f>
        <v/>
      </c>
      <c r="F118" s="31">
        <f>IF(OR($A118="",F$4=""),"",IFERROR(1/(1/SUMPRODUCT(MAX(('Checks'!$A$4:$A$503=$A118)*('Checks'!$B$4:$B$503=F$4)*'Checks'!$D$4:$D$503))),""))</f>
        <v/>
      </c>
      <c r="G118" s="31">
        <f>IF(OR($A118="",G$4=""),"",IFERROR(1/(1/SUMPRODUCT(MAX(('Checks'!$A$4:$A$503=$A118)*('Checks'!$B$4:$B$503=G$4)*'Checks'!$D$4:$D$503))),""))</f>
        <v/>
      </c>
      <c r="H118" s="31">
        <f>IF(OR($A118="",H$4=""),"",IFERROR(1/(1/SUMPRODUCT(MAX(('Checks'!$A$4:$A$503=$A118)*('Checks'!$B$4:$B$503=H$4)*'Checks'!$D$4:$D$503))),""))</f>
        <v/>
      </c>
      <c r="I118" s="31">
        <f>IF(OR($A118="",I$4=""),"",IFERROR(1/(1/SUMPRODUCT(MAX(('Checks'!$A$4:$A$503=$A118)*('Checks'!$B$4:$B$503=I$4)*'Checks'!$D$4:$D$503))),""))</f>
        <v/>
      </c>
      <c r="J118" s="31">
        <f>IF(OR($A118="",J$4=""),"",IFERROR(1/(1/SUMPRODUCT(MAX(('Checks'!$A$4:$A$503=$A118)*('Checks'!$B$4:$B$503=J$4)*'Checks'!$D$4:$D$503))),""))</f>
        <v/>
      </c>
      <c r="K118" s="31">
        <f>IF(OR($A118="",K$4=""),"",IFERROR(1/(1/SUMPRODUCT(MAX(('Checks'!$A$4:$A$503=$A118)*('Checks'!$B$4:$B$503=K$4)*'Checks'!$D$4:$D$503))),""))</f>
        <v/>
      </c>
    </row>
    <row r="119">
      <c r="A119" s="30" t="n"/>
      <c r="B119" s="31">
        <f>IF(OR($A119="",B$4=""),"",IFERROR(1/(1/SUMPRODUCT(MAX(('Checks'!$A$4:$A$503=$A119)*('Checks'!$B$4:$B$503=B$4)*'Checks'!$D$4:$D$503))),""))</f>
        <v/>
      </c>
      <c r="C119" s="31">
        <f>IF(OR($A119="",C$4=""),"",IFERROR(1/(1/SUMPRODUCT(MAX(('Checks'!$A$4:$A$503=$A119)*('Checks'!$B$4:$B$503=C$4)*'Checks'!$D$4:$D$503))),""))</f>
        <v/>
      </c>
      <c r="D119" s="31">
        <f>IF(OR($A119="",D$4=""),"",IFERROR(1/(1/SUMPRODUCT(MAX(('Checks'!$A$4:$A$503=$A119)*('Checks'!$B$4:$B$503=D$4)*'Checks'!$D$4:$D$503))),""))</f>
        <v/>
      </c>
      <c r="E119" s="31">
        <f>IF(OR($A119="",E$4=""),"",IFERROR(1/(1/SUMPRODUCT(MAX(('Checks'!$A$4:$A$503=$A119)*('Checks'!$B$4:$B$503=E$4)*'Checks'!$D$4:$D$503))),""))</f>
        <v/>
      </c>
      <c r="F119" s="31">
        <f>IF(OR($A119="",F$4=""),"",IFERROR(1/(1/SUMPRODUCT(MAX(('Checks'!$A$4:$A$503=$A119)*('Checks'!$B$4:$B$503=F$4)*'Checks'!$D$4:$D$503))),""))</f>
        <v/>
      </c>
      <c r="G119" s="31">
        <f>IF(OR($A119="",G$4=""),"",IFERROR(1/(1/SUMPRODUCT(MAX(('Checks'!$A$4:$A$503=$A119)*('Checks'!$B$4:$B$503=G$4)*'Checks'!$D$4:$D$503))),""))</f>
        <v/>
      </c>
      <c r="H119" s="31">
        <f>IF(OR($A119="",H$4=""),"",IFERROR(1/(1/SUMPRODUCT(MAX(('Checks'!$A$4:$A$503=$A119)*('Checks'!$B$4:$B$503=H$4)*'Checks'!$D$4:$D$503))),""))</f>
        <v/>
      </c>
      <c r="I119" s="31">
        <f>IF(OR($A119="",I$4=""),"",IFERROR(1/(1/SUMPRODUCT(MAX(('Checks'!$A$4:$A$503=$A119)*('Checks'!$B$4:$B$503=I$4)*'Checks'!$D$4:$D$503))),""))</f>
        <v/>
      </c>
      <c r="J119" s="31">
        <f>IF(OR($A119="",J$4=""),"",IFERROR(1/(1/SUMPRODUCT(MAX(('Checks'!$A$4:$A$503=$A119)*('Checks'!$B$4:$B$503=J$4)*'Checks'!$D$4:$D$503))),""))</f>
        <v/>
      </c>
      <c r="K119" s="31">
        <f>IF(OR($A119="",K$4=""),"",IFERROR(1/(1/SUMPRODUCT(MAX(('Checks'!$A$4:$A$503=$A119)*('Checks'!$B$4:$B$503=K$4)*'Checks'!$D$4:$D$503))),""))</f>
        <v/>
      </c>
    </row>
    <row r="120">
      <c r="A120" s="30" t="n"/>
      <c r="B120" s="31">
        <f>IF(OR($A120="",B$4=""),"",IFERROR(1/(1/SUMPRODUCT(MAX(('Checks'!$A$4:$A$503=$A120)*('Checks'!$B$4:$B$503=B$4)*'Checks'!$D$4:$D$503))),""))</f>
        <v/>
      </c>
      <c r="C120" s="31">
        <f>IF(OR($A120="",C$4=""),"",IFERROR(1/(1/SUMPRODUCT(MAX(('Checks'!$A$4:$A$503=$A120)*('Checks'!$B$4:$B$503=C$4)*'Checks'!$D$4:$D$503))),""))</f>
        <v/>
      </c>
      <c r="D120" s="31">
        <f>IF(OR($A120="",D$4=""),"",IFERROR(1/(1/SUMPRODUCT(MAX(('Checks'!$A$4:$A$503=$A120)*('Checks'!$B$4:$B$503=D$4)*'Checks'!$D$4:$D$503))),""))</f>
        <v/>
      </c>
      <c r="E120" s="31">
        <f>IF(OR($A120="",E$4=""),"",IFERROR(1/(1/SUMPRODUCT(MAX(('Checks'!$A$4:$A$503=$A120)*('Checks'!$B$4:$B$503=E$4)*'Checks'!$D$4:$D$503))),""))</f>
        <v/>
      </c>
      <c r="F120" s="31">
        <f>IF(OR($A120="",F$4=""),"",IFERROR(1/(1/SUMPRODUCT(MAX(('Checks'!$A$4:$A$503=$A120)*('Checks'!$B$4:$B$503=F$4)*'Checks'!$D$4:$D$503))),""))</f>
        <v/>
      </c>
      <c r="G120" s="31">
        <f>IF(OR($A120="",G$4=""),"",IFERROR(1/(1/SUMPRODUCT(MAX(('Checks'!$A$4:$A$503=$A120)*('Checks'!$B$4:$B$503=G$4)*'Checks'!$D$4:$D$503))),""))</f>
        <v/>
      </c>
      <c r="H120" s="31">
        <f>IF(OR($A120="",H$4=""),"",IFERROR(1/(1/SUMPRODUCT(MAX(('Checks'!$A$4:$A$503=$A120)*('Checks'!$B$4:$B$503=H$4)*'Checks'!$D$4:$D$503))),""))</f>
        <v/>
      </c>
      <c r="I120" s="31">
        <f>IF(OR($A120="",I$4=""),"",IFERROR(1/(1/SUMPRODUCT(MAX(('Checks'!$A$4:$A$503=$A120)*('Checks'!$B$4:$B$503=I$4)*'Checks'!$D$4:$D$503))),""))</f>
        <v/>
      </c>
      <c r="J120" s="31">
        <f>IF(OR($A120="",J$4=""),"",IFERROR(1/(1/SUMPRODUCT(MAX(('Checks'!$A$4:$A$503=$A120)*('Checks'!$B$4:$B$503=J$4)*'Checks'!$D$4:$D$503))),""))</f>
        <v/>
      </c>
      <c r="K120" s="31">
        <f>IF(OR($A120="",K$4=""),"",IFERROR(1/(1/SUMPRODUCT(MAX(('Checks'!$A$4:$A$503=$A120)*('Checks'!$B$4:$B$503=K$4)*'Checks'!$D$4:$D$503))),""))</f>
        <v/>
      </c>
    </row>
    <row r="121">
      <c r="A121" s="30" t="n"/>
      <c r="B121" s="31">
        <f>IF(OR($A121="",B$4=""),"",IFERROR(1/(1/SUMPRODUCT(MAX(('Checks'!$A$4:$A$503=$A121)*('Checks'!$B$4:$B$503=B$4)*'Checks'!$D$4:$D$503))),""))</f>
        <v/>
      </c>
      <c r="C121" s="31">
        <f>IF(OR($A121="",C$4=""),"",IFERROR(1/(1/SUMPRODUCT(MAX(('Checks'!$A$4:$A$503=$A121)*('Checks'!$B$4:$B$503=C$4)*'Checks'!$D$4:$D$503))),""))</f>
        <v/>
      </c>
      <c r="D121" s="31">
        <f>IF(OR($A121="",D$4=""),"",IFERROR(1/(1/SUMPRODUCT(MAX(('Checks'!$A$4:$A$503=$A121)*('Checks'!$B$4:$B$503=D$4)*'Checks'!$D$4:$D$503))),""))</f>
        <v/>
      </c>
      <c r="E121" s="31">
        <f>IF(OR($A121="",E$4=""),"",IFERROR(1/(1/SUMPRODUCT(MAX(('Checks'!$A$4:$A$503=$A121)*('Checks'!$B$4:$B$503=E$4)*'Checks'!$D$4:$D$503))),""))</f>
        <v/>
      </c>
      <c r="F121" s="31">
        <f>IF(OR($A121="",F$4=""),"",IFERROR(1/(1/SUMPRODUCT(MAX(('Checks'!$A$4:$A$503=$A121)*('Checks'!$B$4:$B$503=F$4)*'Checks'!$D$4:$D$503))),""))</f>
        <v/>
      </c>
      <c r="G121" s="31">
        <f>IF(OR($A121="",G$4=""),"",IFERROR(1/(1/SUMPRODUCT(MAX(('Checks'!$A$4:$A$503=$A121)*('Checks'!$B$4:$B$503=G$4)*'Checks'!$D$4:$D$503))),""))</f>
        <v/>
      </c>
      <c r="H121" s="31">
        <f>IF(OR($A121="",H$4=""),"",IFERROR(1/(1/SUMPRODUCT(MAX(('Checks'!$A$4:$A$503=$A121)*('Checks'!$B$4:$B$503=H$4)*'Checks'!$D$4:$D$503))),""))</f>
        <v/>
      </c>
      <c r="I121" s="31">
        <f>IF(OR($A121="",I$4=""),"",IFERROR(1/(1/SUMPRODUCT(MAX(('Checks'!$A$4:$A$503=$A121)*('Checks'!$B$4:$B$503=I$4)*'Checks'!$D$4:$D$503))),""))</f>
        <v/>
      </c>
      <c r="J121" s="31">
        <f>IF(OR($A121="",J$4=""),"",IFERROR(1/(1/SUMPRODUCT(MAX(('Checks'!$A$4:$A$503=$A121)*('Checks'!$B$4:$B$503=J$4)*'Checks'!$D$4:$D$503))),""))</f>
        <v/>
      </c>
      <c r="K121" s="31">
        <f>IF(OR($A121="",K$4=""),"",IFERROR(1/(1/SUMPRODUCT(MAX(('Checks'!$A$4:$A$503=$A121)*('Checks'!$B$4:$B$503=K$4)*'Checks'!$D$4:$D$503))),""))</f>
        <v/>
      </c>
    </row>
    <row r="122">
      <c r="A122" s="30" t="n"/>
      <c r="B122" s="31">
        <f>IF(OR($A122="",B$4=""),"",IFERROR(1/(1/SUMPRODUCT(MAX(('Checks'!$A$4:$A$503=$A122)*('Checks'!$B$4:$B$503=B$4)*'Checks'!$D$4:$D$503))),""))</f>
        <v/>
      </c>
      <c r="C122" s="31">
        <f>IF(OR($A122="",C$4=""),"",IFERROR(1/(1/SUMPRODUCT(MAX(('Checks'!$A$4:$A$503=$A122)*('Checks'!$B$4:$B$503=C$4)*'Checks'!$D$4:$D$503))),""))</f>
        <v/>
      </c>
      <c r="D122" s="31">
        <f>IF(OR($A122="",D$4=""),"",IFERROR(1/(1/SUMPRODUCT(MAX(('Checks'!$A$4:$A$503=$A122)*('Checks'!$B$4:$B$503=D$4)*'Checks'!$D$4:$D$503))),""))</f>
        <v/>
      </c>
      <c r="E122" s="31">
        <f>IF(OR($A122="",E$4=""),"",IFERROR(1/(1/SUMPRODUCT(MAX(('Checks'!$A$4:$A$503=$A122)*('Checks'!$B$4:$B$503=E$4)*'Checks'!$D$4:$D$503))),""))</f>
        <v/>
      </c>
      <c r="F122" s="31">
        <f>IF(OR($A122="",F$4=""),"",IFERROR(1/(1/SUMPRODUCT(MAX(('Checks'!$A$4:$A$503=$A122)*('Checks'!$B$4:$B$503=F$4)*'Checks'!$D$4:$D$503))),""))</f>
        <v/>
      </c>
      <c r="G122" s="31">
        <f>IF(OR($A122="",G$4=""),"",IFERROR(1/(1/SUMPRODUCT(MAX(('Checks'!$A$4:$A$503=$A122)*('Checks'!$B$4:$B$503=G$4)*'Checks'!$D$4:$D$503))),""))</f>
        <v/>
      </c>
      <c r="H122" s="31">
        <f>IF(OR($A122="",H$4=""),"",IFERROR(1/(1/SUMPRODUCT(MAX(('Checks'!$A$4:$A$503=$A122)*('Checks'!$B$4:$B$503=H$4)*'Checks'!$D$4:$D$503))),""))</f>
        <v/>
      </c>
      <c r="I122" s="31">
        <f>IF(OR($A122="",I$4=""),"",IFERROR(1/(1/SUMPRODUCT(MAX(('Checks'!$A$4:$A$503=$A122)*('Checks'!$B$4:$B$503=I$4)*'Checks'!$D$4:$D$503))),""))</f>
        <v/>
      </c>
      <c r="J122" s="31">
        <f>IF(OR($A122="",J$4=""),"",IFERROR(1/(1/SUMPRODUCT(MAX(('Checks'!$A$4:$A$503=$A122)*('Checks'!$B$4:$B$503=J$4)*'Checks'!$D$4:$D$503))),""))</f>
        <v/>
      </c>
      <c r="K122" s="31">
        <f>IF(OR($A122="",K$4=""),"",IFERROR(1/(1/SUMPRODUCT(MAX(('Checks'!$A$4:$A$503=$A122)*('Checks'!$B$4:$B$503=K$4)*'Checks'!$D$4:$D$503))),""))</f>
        <v/>
      </c>
    </row>
    <row r="123">
      <c r="A123" s="30" t="n"/>
      <c r="B123" s="31">
        <f>IF(OR($A123="",B$4=""),"",IFERROR(1/(1/SUMPRODUCT(MAX(('Checks'!$A$4:$A$503=$A123)*('Checks'!$B$4:$B$503=B$4)*'Checks'!$D$4:$D$503))),""))</f>
        <v/>
      </c>
      <c r="C123" s="31">
        <f>IF(OR($A123="",C$4=""),"",IFERROR(1/(1/SUMPRODUCT(MAX(('Checks'!$A$4:$A$503=$A123)*('Checks'!$B$4:$B$503=C$4)*'Checks'!$D$4:$D$503))),""))</f>
        <v/>
      </c>
      <c r="D123" s="31">
        <f>IF(OR($A123="",D$4=""),"",IFERROR(1/(1/SUMPRODUCT(MAX(('Checks'!$A$4:$A$503=$A123)*('Checks'!$B$4:$B$503=D$4)*'Checks'!$D$4:$D$503))),""))</f>
        <v/>
      </c>
      <c r="E123" s="31">
        <f>IF(OR($A123="",E$4=""),"",IFERROR(1/(1/SUMPRODUCT(MAX(('Checks'!$A$4:$A$503=$A123)*('Checks'!$B$4:$B$503=E$4)*'Checks'!$D$4:$D$503))),""))</f>
        <v/>
      </c>
      <c r="F123" s="31">
        <f>IF(OR($A123="",F$4=""),"",IFERROR(1/(1/SUMPRODUCT(MAX(('Checks'!$A$4:$A$503=$A123)*('Checks'!$B$4:$B$503=F$4)*'Checks'!$D$4:$D$503))),""))</f>
        <v/>
      </c>
      <c r="G123" s="31">
        <f>IF(OR($A123="",G$4=""),"",IFERROR(1/(1/SUMPRODUCT(MAX(('Checks'!$A$4:$A$503=$A123)*('Checks'!$B$4:$B$503=G$4)*'Checks'!$D$4:$D$503))),""))</f>
        <v/>
      </c>
      <c r="H123" s="31">
        <f>IF(OR($A123="",H$4=""),"",IFERROR(1/(1/SUMPRODUCT(MAX(('Checks'!$A$4:$A$503=$A123)*('Checks'!$B$4:$B$503=H$4)*'Checks'!$D$4:$D$503))),""))</f>
        <v/>
      </c>
      <c r="I123" s="31">
        <f>IF(OR($A123="",I$4=""),"",IFERROR(1/(1/SUMPRODUCT(MAX(('Checks'!$A$4:$A$503=$A123)*('Checks'!$B$4:$B$503=I$4)*'Checks'!$D$4:$D$503))),""))</f>
        <v/>
      </c>
      <c r="J123" s="31">
        <f>IF(OR($A123="",J$4=""),"",IFERROR(1/(1/SUMPRODUCT(MAX(('Checks'!$A$4:$A$503=$A123)*('Checks'!$B$4:$B$503=J$4)*'Checks'!$D$4:$D$503))),""))</f>
        <v/>
      </c>
      <c r="K123" s="31">
        <f>IF(OR($A123="",K$4=""),"",IFERROR(1/(1/SUMPRODUCT(MAX(('Checks'!$A$4:$A$503=$A123)*('Checks'!$B$4:$B$503=K$4)*'Checks'!$D$4:$D$503))),""))</f>
        <v/>
      </c>
    </row>
    <row r="124">
      <c r="A124" s="30" t="n"/>
      <c r="B124" s="31">
        <f>IF(OR($A124="",B$4=""),"",IFERROR(1/(1/SUMPRODUCT(MAX(('Checks'!$A$4:$A$503=$A124)*('Checks'!$B$4:$B$503=B$4)*'Checks'!$D$4:$D$503))),""))</f>
        <v/>
      </c>
      <c r="C124" s="31">
        <f>IF(OR($A124="",C$4=""),"",IFERROR(1/(1/SUMPRODUCT(MAX(('Checks'!$A$4:$A$503=$A124)*('Checks'!$B$4:$B$503=C$4)*'Checks'!$D$4:$D$503))),""))</f>
        <v/>
      </c>
      <c r="D124" s="31">
        <f>IF(OR($A124="",D$4=""),"",IFERROR(1/(1/SUMPRODUCT(MAX(('Checks'!$A$4:$A$503=$A124)*('Checks'!$B$4:$B$503=D$4)*'Checks'!$D$4:$D$503))),""))</f>
        <v/>
      </c>
      <c r="E124" s="31">
        <f>IF(OR($A124="",E$4=""),"",IFERROR(1/(1/SUMPRODUCT(MAX(('Checks'!$A$4:$A$503=$A124)*('Checks'!$B$4:$B$503=E$4)*'Checks'!$D$4:$D$503))),""))</f>
        <v/>
      </c>
      <c r="F124" s="31">
        <f>IF(OR($A124="",F$4=""),"",IFERROR(1/(1/SUMPRODUCT(MAX(('Checks'!$A$4:$A$503=$A124)*('Checks'!$B$4:$B$503=F$4)*'Checks'!$D$4:$D$503))),""))</f>
        <v/>
      </c>
      <c r="G124" s="31">
        <f>IF(OR($A124="",G$4=""),"",IFERROR(1/(1/SUMPRODUCT(MAX(('Checks'!$A$4:$A$503=$A124)*('Checks'!$B$4:$B$503=G$4)*'Checks'!$D$4:$D$503))),""))</f>
        <v/>
      </c>
      <c r="H124" s="31">
        <f>IF(OR($A124="",H$4=""),"",IFERROR(1/(1/SUMPRODUCT(MAX(('Checks'!$A$4:$A$503=$A124)*('Checks'!$B$4:$B$503=H$4)*'Checks'!$D$4:$D$503))),""))</f>
        <v/>
      </c>
      <c r="I124" s="31">
        <f>IF(OR($A124="",I$4=""),"",IFERROR(1/(1/SUMPRODUCT(MAX(('Checks'!$A$4:$A$503=$A124)*('Checks'!$B$4:$B$503=I$4)*'Checks'!$D$4:$D$503))),""))</f>
        <v/>
      </c>
      <c r="J124" s="31">
        <f>IF(OR($A124="",J$4=""),"",IFERROR(1/(1/SUMPRODUCT(MAX(('Checks'!$A$4:$A$503=$A124)*('Checks'!$B$4:$B$503=J$4)*'Checks'!$D$4:$D$503))),""))</f>
        <v/>
      </c>
      <c r="K124" s="31">
        <f>IF(OR($A124="",K$4=""),"",IFERROR(1/(1/SUMPRODUCT(MAX(('Checks'!$A$4:$A$503=$A124)*('Checks'!$B$4:$B$503=K$4)*'Checks'!$D$4:$D$503))),""))</f>
        <v/>
      </c>
    </row>
    <row r="125">
      <c r="A125" s="30" t="n"/>
      <c r="B125" s="31">
        <f>IF(OR($A125="",B$4=""),"",IFERROR(1/(1/SUMPRODUCT(MAX(('Checks'!$A$4:$A$503=$A125)*('Checks'!$B$4:$B$503=B$4)*'Checks'!$D$4:$D$503))),""))</f>
        <v/>
      </c>
      <c r="C125" s="31">
        <f>IF(OR($A125="",C$4=""),"",IFERROR(1/(1/SUMPRODUCT(MAX(('Checks'!$A$4:$A$503=$A125)*('Checks'!$B$4:$B$503=C$4)*'Checks'!$D$4:$D$503))),""))</f>
        <v/>
      </c>
      <c r="D125" s="31">
        <f>IF(OR($A125="",D$4=""),"",IFERROR(1/(1/SUMPRODUCT(MAX(('Checks'!$A$4:$A$503=$A125)*('Checks'!$B$4:$B$503=D$4)*'Checks'!$D$4:$D$503))),""))</f>
        <v/>
      </c>
      <c r="E125" s="31">
        <f>IF(OR($A125="",E$4=""),"",IFERROR(1/(1/SUMPRODUCT(MAX(('Checks'!$A$4:$A$503=$A125)*('Checks'!$B$4:$B$503=E$4)*'Checks'!$D$4:$D$503))),""))</f>
        <v/>
      </c>
      <c r="F125" s="31">
        <f>IF(OR($A125="",F$4=""),"",IFERROR(1/(1/SUMPRODUCT(MAX(('Checks'!$A$4:$A$503=$A125)*('Checks'!$B$4:$B$503=F$4)*'Checks'!$D$4:$D$503))),""))</f>
        <v/>
      </c>
      <c r="G125" s="31">
        <f>IF(OR($A125="",G$4=""),"",IFERROR(1/(1/SUMPRODUCT(MAX(('Checks'!$A$4:$A$503=$A125)*('Checks'!$B$4:$B$503=G$4)*'Checks'!$D$4:$D$503))),""))</f>
        <v/>
      </c>
      <c r="H125" s="31">
        <f>IF(OR($A125="",H$4=""),"",IFERROR(1/(1/SUMPRODUCT(MAX(('Checks'!$A$4:$A$503=$A125)*('Checks'!$B$4:$B$503=H$4)*'Checks'!$D$4:$D$503))),""))</f>
        <v/>
      </c>
      <c r="I125" s="31">
        <f>IF(OR($A125="",I$4=""),"",IFERROR(1/(1/SUMPRODUCT(MAX(('Checks'!$A$4:$A$503=$A125)*('Checks'!$B$4:$B$503=I$4)*'Checks'!$D$4:$D$503))),""))</f>
        <v/>
      </c>
      <c r="J125" s="31">
        <f>IF(OR($A125="",J$4=""),"",IFERROR(1/(1/SUMPRODUCT(MAX(('Checks'!$A$4:$A$503=$A125)*('Checks'!$B$4:$B$503=J$4)*'Checks'!$D$4:$D$503))),""))</f>
        <v/>
      </c>
      <c r="K125" s="31">
        <f>IF(OR($A125="",K$4=""),"",IFERROR(1/(1/SUMPRODUCT(MAX(('Checks'!$A$4:$A$503=$A125)*('Checks'!$B$4:$B$503=K$4)*'Checks'!$D$4:$D$503))),""))</f>
        <v/>
      </c>
    </row>
    <row r="126">
      <c r="A126" s="30" t="n"/>
      <c r="B126" s="31">
        <f>IF(OR($A126="",B$4=""),"",IFERROR(1/(1/SUMPRODUCT(MAX(('Checks'!$A$4:$A$503=$A126)*('Checks'!$B$4:$B$503=B$4)*'Checks'!$D$4:$D$503))),""))</f>
        <v/>
      </c>
      <c r="C126" s="31">
        <f>IF(OR($A126="",C$4=""),"",IFERROR(1/(1/SUMPRODUCT(MAX(('Checks'!$A$4:$A$503=$A126)*('Checks'!$B$4:$B$503=C$4)*'Checks'!$D$4:$D$503))),""))</f>
        <v/>
      </c>
      <c r="D126" s="31">
        <f>IF(OR($A126="",D$4=""),"",IFERROR(1/(1/SUMPRODUCT(MAX(('Checks'!$A$4:$A$503=$A126)*('Checks'!$B$4:$B$503=D$4)*'Checks'!$D$4:$D$503))),""))</f>
        <v/>
      </c>
      <c r="E126" s="31">
        <f>IF(OR($A126="",E$4=""),"",IFERROR(1/(1/SUMPRODUCT(MAX(('Checks'!$A$4:$A$503=$A126)*('Checks'!$B$4:$B$503=E$4)*'Checks'!$D$4:$D$503))),""))</f>
        <v/>
      </c>
      <c r="F126" s="31">
        <f>IF(OR($A126="",F$4=""),"",IFERROR(1/(1/SUMPRODUCT(MAX(('Checks'!$A$4:$A$503=$A126)*('Checks'!$B$4:$B$503=F$4)*'Checks'!$D$4:$D$503))),""))</f>
        <v/>
      </c>
      <c r="G126" s="31">
        <f>IF(OR($A126="",G$4=""),"",IFERROR(1/(1/SUMPRODUCT(MAX(('Checks'!$A$4:$A$503=$A126)*('Checks'!$B$4:$B$503=G$4)*'Checks'!$D$4:$D$503))),""))</f>
        <v/>
      </c>
      <c r="H126" s="31">
        <f>IF(OR($A126="",H$4=""),"",IFERROR(1/(1/SUMPRODUCT(MAX(('Checks'!$A$4:$A$503=$A126)*('Checks'!$B$4:$B$503=H$4)*'Checks'!$D$4:$D$503))),""))</f>
        <v/>
      </c>
      <c r="I126" s="31">
        <f>IF(OR($A126="",I$4=""),"",IFERROR(1/(1/SUMPRODUCT(MAX(('Checks'!$A$4:$A$503=$A126)*('Checks'!$B$4:$B$503=I$4)*'Checks'!$D$4:$D$503))),""))</f>
        <v/>
      </c>
      <c r="J126" s="31">
        <f>IF(OR($A126="",J$4=""),"",IFERROR(1/(1/SUMPRODUCT(MAX(('Checks'!$A$4:$A$503=$A126)*('Checks'!$B$4:$B$503=J$4)*'Checks'!$D$4:$D$503))),""))</f>
        <v/>
      </c>
      <c r="K126" s="31">
        <f>IF(OR($A126="",K$4=""),"",IFERROR(1/(1/SUMPRODUCT(MAX(('Checks'!$A$4:$A$503=$A126)*('Checks'!$B$4:$B$503=K$4)*'Checks'!$D$4:$D$503))),""))</f>
        <v/>
      </c>
    </row>
    <row r="127">
      <c r="A127" s="30" t="n"/>
      <c r="B127" s="31">
        <f>IF(OR($A127="",B$4=""),"",IFERROR(1/(1/SUMPRODUCT(MAX(('Checks'!$A$4:$A$503=$A127)*('Checks'!$B$4:$B$503=B$4)*'Checks'!$D$4:$D$503))),""))</f>
        <v/>
      </c>
      <c r="C127" s="31">
        <f>IF(OR($A127="",C$4=""),"",IFERROR(1/(1/SUMPRODUCT(MAX(('Checks'!$A$4:$A$503=$A127)*('Checks'!$B$4:$B$503=C$4)*'Checks'!$D$4:$D$503))),""))</f>
        <v/>
      </c>
      <c r="D127" s="31">
        <f>IF(OR($A127="",D$4=""),"",IFERROR(1/(1/SUMPRODUCT(MAX(('Checks'!$A$4:$A$503=$A127)*('Checks'!$B$4:$B$503=D$4)*'Checks'!$D$4:$D$503))),""))</f>
        <v/>
      </c>
      <c r="E127" s="31">
        <f>IF(OR($A127="",E$4=""),"",IFERROR(1/(1/SUMPRODUCT(MAX(('Checks'!$A$4:$A$503=$A127)*('Checks'!$B$4:$B$503=E$4)*'Checks'!$D$4:$D$503))),""))</f>
        <v/>
      </c>
      <c r="F127" s="31">
        <f>IF(OR($A127="",F$4=""),"",IFERROR(1/(1/SUMPRODUCT(MAX(('Checks'!$A$4:$A$503=$A127)*('Checks'!$B$4:$B$503=F$4)*'Checks'!$D$4:$D$503))),""))</f>
        <v/>
      </c>
      <c r="G127" s="31">
        <f>IF(OR($A127="",G$4=""),"",IFERROR(1/(1/SUMPRODUCT(MAX(('Checks'!$A$4:$A$503=$A127)*('Checks'!$B$4:$B$503=G$4)*'Checks'!$D$4:$D$503))),""))</f>
        <v/>
      </c>
      <c r="H127" s="31">
        <f>IF(OR($A127="",H$4=""),"",IFERROR(1/(1/SUMPRODUCT(MAX(('Checks'!$A$4:$A$503=$A127)*('Checks'!$B$4:$B$503=H$4)*'Checks'!$D$4:$D$503))),""))</f>
        <v/>
      </c>
      <c r="I127" s="31">
        <f>IF(OR($A127="",I$4=""),"",IFERROR(1/(1/SUMPRODUCT(MAX(('Checks'!$A$4:$A$503=$A127)*('Checks'!$B$4:$B$503=I$4)*'Checks'!$D$4:$D$503))),""))</f>
        <v/>
      </c>
      <c r="J127" s="31">
        <f>IF(OR($A127="",J$4=""),"",IFERROR(1/(1/SUMPRODUCT(MAX(('Checks'!$A$4:$A$503=$A127)*('Checks'!$B$4:$B$503=J$4)*'Checks'!$D$4:$D$503))),""))</f>
        <v/>
      </c>
      <c r="K127" s="31">
        <f>IF(OR($A127="",K$4=""),"",IFERROR(1/(1/SUMPRODUCT(MAX(('Checks'!$A$4:$A$503=$A127)*('Checks'!$B$4:$B$503=K$4)*'Checks'!$D$4:$D$503))),""))</f>
        <v/>
      </c>
    </row>
    <row r="128">
      <c r="A128" s="30" t="n"/>
      <c r="B128" s="31">
        <f>IF(OR($A128="",B$4=""),"",IFERROR(1/(1/SUMPRODUCT(MAX(('Checks'!$A$4:$A$503=$A128)*('Checks'!$B$4:$B$503=B$4)*'Checks'!$D$4:$D$503))),""))</f>
        <v/>
      </c>
      <c r="C128" s="31">
        <f>IF(OR($A128="",C$4=""),"",IFERROR(1/(1/SUMPRODUCT(MAX(('Checks'!$A$4:$A$503=$A128)*('Checks'!$B$4:$B$503=C$4)*'Checks'!$D$4:$D$503))),""))</f>
        <v/>
      </c>
      <c r="D128" s="31">
        <f>IF(OR($A128="",D$4=""),"",IFERROR(1/(1/SUMPRODUCT(MAX(('Checks'!$A$4:$A$503=$A128)*('Checks'!$B$4:$B$503=D$4)*'Checks'!$D$4:$D$503))),""))</f>
        <v/>
      </c>
      <c r="E128" s="31">
        <f>IF(OR($A128="",E$4=""),"",IFERROR(1/(1/SUMPRODUCT(MAX(('Checks'!$A$4:$A$503=$A128)*('Checks'!$B$4:$B$503=E$4)*'Checks'!$D$4:$D$503))),""))</f>
        <v/>
      </c>
      <c r="F128" s="31">
        <f>IF(OR($A128="",F$4=""),"",IFERROR(1/(1/SUMPRODUCT(MAX(('Checks'!$A$4:$A$503=$A128)*('Checks'!$B$4:$B$503=F$4)*'Checks'!$D$4:$D$503))),""))</f>
        <v/>
      </c>
      <c r="G128" s="31">
        <f>IF(OR($A128="",G$4=""),"",IFERROR(1/(1/SUMPRODUCT(MAX(('Checks'!$A$4:$A$503=$A128)*('Checks'!$B$4:$B$503=G$4)*'Checks'!$D$4:$D$503))),""))</f>
        <v/>
      </c>
      <c r="H128" s="31">
        <f>IF(OR($A128="",H$4=""),"",IFERROR(1/(1/SUMPRODUCT(MAX(('Checks'!$A$4:$A$503=$A128)*('Checks'!$B$4:$B$503=H$4)*'Checks'!$D$4:$D$503))),""))</f>
        <v/>
      </c>
      <c r="I128" s="31">
        <f>IF(OR($A128="",I$4=""),"",IFERROR(1/(1/SUMPRODUCT(MAX(('Checks'!$A$4:$A$503=$A128)*('Checks'!$B$4:$B$503=I$4)*'Checks'!$D$4:$D$503))),""))</f>
        <v/>
      </c>
      <c r="J128" s="31">
        <f>IF(OR($A128="",J$4=""),"",IFERROR(1/(1/SUMPRODUCT(MAX(('Checks'!$A$4:$A$503=$A128)*('Checks'!$B$4:$B$503=J$4)*'Checks'!$D$4:$D$503))),""))</f>
        <v/>
      </c>
      <c r="K128" s="31">
        <f>IF(OR($A128="",K$4=""),"",IFERROR(1/(1/SUMPRODUCT(MAX(('Checks'!$A$4:$A$503=$A128)*('Checks'!$B$4:$B$503=K$4)*'Checks'!$D$4:$D$503))),""))</f>
        <v/>
      </c>
    </row>
    <row r="129">
      <c r="A129" s="30" t="n"/>
      <c r="B129" s="31">
        <f>IF(OR($A129="",B$4=""),"",IFERROR(1/(1/SUMPRODUCT(MAX(('Checks'!$A$4:$A$503=$A129)*('Checks'!$B$4:$B$503=B$4)*'Checks'!$D$4:$D$503))),""))</f>
        <v/>
      </c>
      <c r="C129" s="31">
        <f>IF(OR($A129="",C$4=""),"",IFERROR(1/(1/SUMPRODUCT(MAX(('Checks'!$A$4:$A$503=$A129)*('Checks'!$B$4:$B$503=C$4)*'Checks'!$D$4:$D$503))),""))</f>
        <v/>
      </c>
      <c r="D129" s="31">
        <f>IF(OR($A129="",D$4=""),"",IFERROR(1/(1/SUMPRODUCT(MAX(('Checks'!$A$4:$A$503=$A129)*('Checks'!$B$4:$B$503=D$4)*'Checks'!$D$4:$D$503))),""))</f>
        <v/>
      </c>
      <c r="E129" s="31">
        <f>IF(OR($A129="",E$4=""),"",IFERROR(1/(1/SUMPRODUCT(MAX(('Checks'!$A$4:$A$503=$A129)*('Checks'!$B$4:$B$503=E$4)*'Checks'!$D$4:$D$503))),""))</f>
        <v/>
      </c>
      <c r="F129" s="31">
        <f>IF(OR($A129="",F$4=""),"",IFERROR(1/(1/SUMPRODUCT(MAX(('Checks'!$A$4:$A$503=$A129)*('Checks'!$B$4:$B$503=F$4)*'Checks'!$D$4:$D$503))),""))</f>
        <v/>
      </c>
      <c r="G129" s="31">
        <f>IF(OR($A129="",G$4=""),"",IFERROR(1/(1/SUMPRODUCT(MAX(('Checks'!$A$4:$A$503=$A129)*('Checks'!$B$4:$B$503=G$4)*'Checks'!$D$4:$D$503))),""))</f>
        <v/>
      </c>
      <c r="H129" s="31">
        <f>IF(OR($A129="",H$4=""),"",IFERROR(1/(1/SUMPRODUCT(MAX(('Checks'!$A$4:$A$503=$A129)*('Checks'!$B$4:$B$503=H$4)*'Checks'!$D$4:$D$503))),""))</f>
        <v/>
      </c>
      <c r="I129" s="31">
        <f>IF(OR($A129="",I$4=""),"",IFERROR(1/(1/SUMPRODUCT(MAX(('Checks'!$A$4:$A$503=$A129)*('Checks'!$B$4:$B$503=I$4)*'Checks'!$D$4:$D$503))),""))</f>
        <v/>
      </c>
      <c r="J129" s="31">
        <f>IF(OR($A129="",J$4=""),"",IFERROR(1/(1/SUMPRODUCT(MAX(('Checks'!$A$4:$A$503=$A129)*('Checks'!$B$4:$B$503=J$4)*'Checks'!$D$4:$D$503))),""))</f>
        <v/>
      </c>
      <c r="K129" s="31">
        <f>IF(OR($A129="",K$4=""),"",IFERROR(1/(1/SUMPRODUCT(MAX(('Checks'!$A$4:$A$503=$A129)*('Checks'!$B$4:$B$503=K$4)*'Checks'!$D$4:$D$503))),""))</f>
        <v/>
      </c>
    </row>
    <row r="130">
      <c r="A130" s="30" t="n"/>
      <c r="B130" s="31">
        <f>IF(OR($A130="",B$4=""),"",IFERROR(1/(1/SUMPRODUCT(MAX(('Checks'!$A$4:$A$503=$A130)*('Checks'!$B$4:$B$503=B$4)*'Checks'!$D$4:$D$503))),""))</f>
        <v/>
      </c>
      <c r="C130" s="31">
        <f>IF(OR($A130="",C$4=""),"",IFERROR(1/(1/SUMPRODUCT(MAX(('Checks'!$A$4:$A$503=$A130)*('Checks'!$B$4:$B$503=C$4)*'Checks'!$D$4:$D$503))),""))</f>
        <v/>
      </c>
      <c r="D130" s="31">
        <f>IF(OR($A130="",D$4=""),"",IFERROR(1/(1/SUMPRODUCT(MAX(('Checks'!$A$4:$A$503=$A130)*('Checks'!$B$4:$B$503=D$4)*'Checks'!$D$4:$D$503))),""))</f>
        <v/>
      </c>
      <c r="E130" s="31">
        <f>IF(OR($A130="",E$4=""),"",IFERROR(1/(1/SUMPRODUCT(MAX(('Checks'!$A$4:$A$503=$A130)*('Checks'!$B$4:$B$503=E$4)*'Checks'!$D$4:$D$503))),""))</f>
        <v/>
      </c>
      <c r="F130" s="31">
        <f>IF(OR($A130="",F$4=""),"",IFERROR(1/(1/SUMPRODUCT(MAX(('Checks'!$A$4:$A$503=$A130)*('Checks'!$B$4:$B$503=F$4)*'Checks'!$D$4:$D$503))),""))</f>
        <v/>
      </c>
      <c r="G130" s="31">
        <f>IF(OR($A130="",G$4=""),"",IFERROR(1/(1/SUMPRODUCT(MAX(('Checks'!$A$4:$A$503=$A130)*('Checks'!$B$4:$B$503=G$4)*'Checks'!$D$4:$D$503))),""))</f>
        <v/>
      </c>
      <c r="H130" s="31">
        <f>IF(OR($A130="",H$4=""),"",IFERROR(1/(1/SUMPRODUCT(MAX(('Checks'!$A$4:$A$503=$A130)*('Checks'!$B$4:$B$503=H$4)*'Checks'!$D$4:$D$503))),""))</f>
        <v/>
      </c>
      <c r="I130" s="31">
        <f>IF(OR($A130="",I$4=""),"",IFERROR(1/(1/SUMPRODUCT(MAX(('Checks'!$A$4:$A$503=$A130)*('Checks'!$B$4:$B$503=I$4)*'Checks'!$D$4:$D$503))),""))</f>
        <v/>
      </c>
      <c r="J130" s="31">
        <f>IF(OR($A130="",J$4=""),"",IFERROR(1/(1/SUMPRODUCT(MAX(('Checks'!$A$4:$A$503=$A130)*('Checks'!$B$4:$B$503=J$4)*'Checks'!$D$4:$D$503))),""))</f>
        <v/>
      </c>
      <c r="K130" s="31">
        <f>IF(OR($A130="",K$4=""),"",IFERROR(1/(1/SUMPRODUCT(MAX(('Checks'!$A$4:$A$503=$A130)*('Checks'!$B$4:$B$503=K$4)*'Checks'!$D$4:$D$503))),""))</f>
        <v/>
      </c>
    </row>
    <row r="131">
      <c r="A131" s="30" t="n"/>
      <c r="B131" s="31">
        <f>IF(OR($A131="",B$4=""),"",IFERROR(1/(1/SUMPRODUCT(MAX(('Checks'!$A$4:$A$503=$A131)*('Checks'!$B$4:$B$503=B$4)*'Checks'!$D$4:$D$503))),""))</f>
        <v/>
      </c>
      <c r="C131" s="31">
        <f>IF(OR($A131="",C$4=""),"",IFERROR(1/(1/SUMPRODUCT(MAX(('Checks'!$A$4:$A$503=$A131)*('Checks'!$B$4:$B$503=C$4)*'Checks'!$D$4:$D$503))),""))</f>
        <v/>
      </c>
      <c r="D131" s="31">
        <f>IF(OR($A131="",D$4=""),"",IFERROR(1/(1/SUMPRODUCT(MAX(('Checks'!$A$4:$A$503=$A131)*('Checks'!$B$4:$B$503=D$4)*'Checks'!$D$4:$D$503))),""))</f>
        <v/>
      </c>
      <c r="E131" s="31">
        <f>IF(OR($A131="",E$4=""),"",IFERROR(1/(1/SUMPRODUCT(MAX(('Checks'!$A$4:$A$503=$A131)*('Checks'!$B$4:$B$503=E$4)*'Checks'!$D$4:$D$503))),""))</f>
        <v/>
      </c>
      <c r="F131" s="31">
        <f>IF(OR($A131="",F$4=""),"",IFERROR(1/(1/SUMPRODUCT(MAX(('Checks'!$A$4:$A$503=$A131)*('Checks'!$B$4:$B$503=F$4)*'Checks'!$D$4:$D$503))),""))</f>
        <v/>
      </c>
      <c r="G131" s="31">
        <f>IF(OR($A131="",G$4=""),"",IFERROR(1/(1/SUMPRODUCT(MAX(('Checks'!$A$4:$A$503=$A131)*('Checks'!$B$4:$B$503=G$4)*'Checks'!$D$4:$D$503))),""))</f>
        <v/>
      </c>
      <c r="H131" s="31">
        <f>IF(OR($A131="",H$4=""),"",IFERROR(1/(1/SUMPRODUCT(MAX(('Checks'!$A$4:$A$503=$A131)*('Checks'!$B$4:$B$503=H$4)*'Checks'!$D$4:$D$503))),""))</f>
        <v/>
      </c>
      <c r="I131" s="31">
        <f>IF(OR($A131="",I$4=""),"",IFERROR(1/(1/SUMPRODUCT(MAX(('Checks'!$A$4:$A$503=$A131)*('Checks'!$B$4:$B$503=I$4)*'Checks'!$D$4:$D$503))),""))</f>
        <v/>
      </c>
      <c r="J131" s="31">
        <f>IF(OR($A131="",J$4=""),"",IFERROR(1/(1/SUMPRODUCT(MAX(('Checks'!$A$4:$A$503=$A131)*('Checks'!$B$4:$B$503=J$4)*'Checks'!$D$4:$D$503))),""))</f>
        <v/>
      </c>
      <c r="K131" s="31">
        <f>IF(OR($A131="",K$4=""),"",IFERROR(1/(1/SUMPRODUCT(MAX(('Checks'!$A$4:$A$503=$A131)*('Checks'!$B$4:$B$503=K$4)*'Checks'!$D$4:$D$503))),""))</f>
        <v/>
      </c>
    </row>
    <row r="132">
      <c r="A132" s="30" t="n"/>
      <c r="B132" s="31">
        <f>IF(OR($A132="",B$4=""),"",IFERROR(1/(1/SUMPRODUCT(MAX(('Checks'!$A$4:$A$503=$A132)*('Checks'!$B$4:$B$503=B$4)*'Checks'!$D$4:$D$503))),""))</f>
        <v/>
      </c>
      <c r="C132" s="31">
        <f>IF(OR($A132="",C$4=""),"",IFERROR(1/(1/SUMPRODUCT(MAX(('Checks'!$A$4:$A$503=$A132)*('Checks'!$B$4:$B$503=C$4)*'Checks'!$D$4:$D$503))),""))</f>
        <v/>
      </c>
      <c r="D132" s="31">
        <f>IF(OR($A132="",D$4=""),"",IFERROR(1/(1/SUMPRODUCT(MAX(('Checks'!$A$4:$A$503=$A132)*('Checks'!$B$4:$B$503=D$4)*'Checks'!$D$4:$D$503))),""))</f>
        <v/>
      </c>
      <c r="E132" s="31">
        <f>IF(OR($A132="",E$4=""),"",IFERROR(1/(1/SUMPRODUCT(MAX(('Checks'!$A$4:$A$503=$A132)*('Checks'!$B$4:$B$503=E$4)*'Checks'!$D$4:$D$503))),""))</f>
        <v/>
      </c>
      <c r="F132" s="31">
        <f>IF(OR($A132="",F$4=""),"",IFERROR(1/(1/SUMPRODUCT(MAX(('Checks'!$A$4:$A$503=$A132)*('Checks'!$B$4:$B$503=F$4)*'Checks'!$D$4:$D$503))),""))</f>
        <v/>
      </c>
      <c r="G132" s="31">
        <f>IF(OR($A132="",G$4=""),"",IFERROR(1/(1/SUMPRODUCT(MAX(('Checks'!$A$4:$A$503=$A132)*('Checks'!$B$4:$B$503=G$4)*'Checks'!$D$4:$D$503))),""))</f>
        <v/>
      </c>
      <c r="H132" s="31">
        <f>IF(OR($A132="",H$4=""),"",IFERROR(1/(1/SUMPRODUCT(MAX(('Checks'!$A$4:$A$503=$A132)*('Checks'!$B$4:$B$503=H$4)*'Checks'!$D$4:$D$503))),""))</f>
        <v/>
      </c>
      <c r="I132" s="31">
        <f>IF(OR($A132="",I$4=""),"",IFERROR(1/(1/SUMPRODUCT(MAX(('Checks'!$A$4:$A$503=$A132)*('Checks'!$B$4:$B$503=I$4)*'Checks'!$D$4:$D$503))),""))</f>
        <v/>
      </c>
      <c r="J132" s="31">
        <f>IF(OR($A132="",J$4=""),"",IFERROR(1/(1/SUMPRODUCT(MAX(('Checks'!$A$4:$A$503=$A132)*('Checks'!$B$4:$B$503=J$4)*'Checks'!$D$4:$D$503))),""))</f>
        <v/>
      </c>
      <c r="K132" s="31">
        <f>IF(OR($A132="",K$4=""),"",IFERROR(1/(1/SUMPRODUCT(MAX(('Checks'!$A$4:$A$503=$A132)*('Checks'!$B$4:$B$503=K$4)*'Checks'!$D$4:$D$503))),""))</f>
        <v/>
      </c>
    </row>
    <row r="133">
      <c r="A133" s="30" t="n"/>
      <c r="B133" s="31">
        <f>IF(OR($A133="",B$4=""),"",IFERROR(1/(1/SUMPRODUCT(MAX(('Checks'!$A$4:$A$503=$A133)*('Checks'!$B$4:$B$503=B$4)*'Checks'!$D$4:$D$503))),""))</f>
        <v/>
      </c>
      <c r="C133" s="31">
        <f>IF(OR($A133="",C$4=""),"",IFERROR(1/(1/SUMPRODUCT(MAX(('Checks'!$A$4:$A$503=$A133)*('Checks'!$B$4:$B$503=C$4)*'Checks'!$D$4:$D$503))),""))</f>
        <v/>
      </c>
      <c r="D133" s="31">
        <f>IF(OR($A133="",D$4=""),"",IFERROR(1/(1/SUMPRODUCT(MAX(('Checks'!$A$4:$A$503=$A133)*('Checks'!$B$4:$B$503=D$4)*'Checks'!$D$4:$D$503))),""))</f>
        <v/>
      </c>
      <c r="E133" s="31">
        <f>IF(OR($A133="",E$4=""),"",IFERROR(1/(1/SUMPRODUCT(MAX(('Checks'!$A$4:$A$503=$A133)*('Checks'!$B$4:$B$503=E$4)*'Checks'!$D$4:$D$503))),""))</f>
        <v/>
      </c>
      <c r="F133" s="31">
        <f>IF(OR($A133="",F$4=""),"",IFERROR(1/(1/SUMPRODUCT(MAX(('Checks'!$A$4:$A$503=$A133)*('Checks'!$B$4:$B$503=F$4)*'Checks'!$D$4:$D$503))),""))</f>
        <v/>
      </c>
      <c r="G133" s="31">
        <f>IF(OR($A133="",G$4=""),"",IFERROR(1/(1/SUMPRODUCT(MAX(('Checks'!$A$4:$A$503=$A133)*('Checks'!$B$4:$B$503=G$4)*'Checks'!$D$4:$D$503))),""))</f>
        <v/>
      </c>
      <c r="H133" s="31">
        <f>IF(OR($A133="",H$4=""),"",IFERROR(1/(1/SUMPRODUCT(MAX(('Checks'!$A$4:$A$503=$A133)*('Checks'!$B$4:$B$503=H$4)*'Checks'!$D$4:$D$503))),""))</f>
        <v/>
      </c>
      <c r="I133" s="31">
        <f>IF(OR($A133="",I$4=""),"",IFERROR(1/(1/SUMPRODUCT(MAX(('Checks'!$A$4:$A$503=$A133)*('Checks'!$B$4:$B$503=I$4)*'Checks'!$D$4:$D$503))),""))</f>
        <v/>
      </c>
      <c r="J133" s="31">
        <f>IF(OR($A133="",J$4=""),"",IFERROR(1/(1/SUMPRODUCT(MAX(('Checks'!$A$4:$A$503=$A133)*('Checks'!$B$4:$B$503=J$4)*'Checks'!$D$4:$D$503))),""))</f>
        <v/>
      </c>
      <c r="K133" s="31">
        <f>IF(OR($A133="",K$4=""),"",IFERROR(1/(1/SUMPRODUCT(MAX(('Checks'!$A$4:$A$503=$A133)*('Checks'!$B$4:$B$503=K$4)*'Checks'!$D$4:$D$503))),""))</f>
        <v/>
      </c>
    </row>
    <row r="134">
      <c r="A134" s="30" t="n"/>
      <c r="B134" s="31">
        <f>IF(OR($A134="",B$4=""),"",IFERROR(1/(1/SUMPRODUCT(MAX(('Checks'!$A$4:$A$503=$A134)*('Checks'!$B$4:$B$503=B$4)*'Checks'!$D$4:$D$503))),""))</f>
        <v/>
      </c>
      <c r="C134" s="31">
        <f>IF(OR($A134="",C$4=""),"",IFERROR(1/(1/SUMPRODUCT(MAX(('Checks'!$A$4:$A$503=$A134)*('Checks'!$B$4:$B$503=C$4)*'Checks'!$D$4:$D$503))),""))</f>
        <v/>
      </c>
      <c r="D134" s="31">
        <f>IF(OR($A134="",D$4=""),"",IFERROR(1/(1/SUMPRODUCT(MAX(('Checks'!$A$4:$A$503=$A134)*('Checks'!$B$4:$B$503=D$4)*'Checks'!$D$4:$D$503))),""))</f>
        <v/>
      </c>
      <c r="E134" s="31">
        <f>IF(OR($A134="",E$4=""),"",IFERROR(1/(1/SUMPRODUCT(MAX(('Checks'!$A$4:$A$503=$A134)*('Checks'!$B$4:$B$503=E$4)*'Checks'!$D$4:$D$503))),""))</f>
        <v/>
      </c>
      <c r="F134" s="31">
        <f>IF(OR($A134="",F$4=""),"",IFERROR(1/(1/SUMPRODUCT(MAX(('Checks'!$A$4:$A$503=$A134)*('Checks'!$B$4:$B$503=F$4)*'Checks'!$D$4:$D$503))),""))</f>
        <v/>
      </c>
      <c r="G134" s="31">
        <f>IF(OR($A134="",G$4=""),"",IFERROR(1/(1/SUMPRODUCT(MAX(('Checks'!$A$4:$A$503=$A134)*('Checks'!$B$4:$B$503=G$4)*'Checks'!$D$4:$D$503))),""))</f>
        <v/>
      </c>
      <c r="H134" s="31">
        <f>IF(OR($A134="",H$4=""),"",IFERROR(1/(1/SUMPRODUCT(MAX(('Checks'!$A$4:$A$503=$A134)*('Checks'!$B$4:$B$503=H$4)*'Checks'!$D$4:$D$503))),""))</f>
        <v/>
      </c>
      <c r="I134" s="31">
        <f>IF(OR($A134="",I$4=""),"",IFERROR(1/(1/SUMPRODUCT(MAX(('Checks'!$A$4:$A$503=$A134)*('Checks'!$B$4:$B$503=I$4)*'Checks'!$D$4:$D$503))),""))</f>
        <v/>
      </c>
      <c r="J134" s="31">
        <f>IF(OR($A134="",J$4=""),"",IFERROR(1/(1/SUMPRODUCT(MAX(('Checks'!$A$4:$A$503=$A134)*('Checks'!$B$4:$B$503=J$4)*'Checks'!$D$4:$D$503))),""))</f>
        <v/>
      </c>
      <c r="K134" s="31">
        <f>IF(OR($A134="",K$4=""),"",IFERROR(1/(1/SUMPRODUCT(MAX(('Checks'!$A$4:$A$503=$A134)*('Checks'!$B$4:$B$503=K$4)*'Checks'!$D$4:$D$503))),""))</f>
        <v/>
      </c>
    </row>
    <row r="135">
      <c r="A135" s="30" t="n"/>
      <c r="B135" s="31">
        <f>IF(OR($A135="",B$4=""),"",IFERROR(1/(1/SUMPRODUCT(MAX(('Checks'!$A$4:$A$503=$A135)*('Checks'!$B$4:$B$503=B$4)*'Checks'!$D$4:$D$503))),""))</f>
        <v/>
      </c>
      <c r="C135" s="31">
        <f>IF(OR($A135="",C$4=""),"",IFERROR(1/(1/SUMPRODUCT(MAX(('Checks'!$A$4:$A$503=$A135)*('Checks'!$B$4:$B$503=C$4)*'Checks'!$D$4:$D$503))),""))</f>
        <v/>
      </c>
      <c r="D135" s="31">
        <f>IF(OR($A135="",D$4=""),"",IFERROR(1/(1/SUMPRODUCT(MAX(('Checks'!$A$4:$A$503=$A135)*('Checks'!$B$4:$B$503=D$4)*'Checks'!$D$4:$D$503))),""))</f>
        <v/>
      </c>
      <c r="E135" s="31">
        <f>IF(OR($A135="",E$4=""),"",IFERROR(1/(1/SUMPRODUCT(MAX(('Checks'!$A$4:$A$503=$A135)*('Checks'!$B$4:$B$503=E$4)*'Checks'!$D$4:$D$503))),""))</f>
        <v/>
      </c>
      <c r="F135" s="31">
        <f>IF(OR($A135="",F$4=""),"",IFERROR(1/(1/SUMPRODUCT(MAX(('Checks'!$A$4:$A$503=$A135)*('Checks'!$B$4:$B$503=F$4)*'Checks'!$D$4:$D$503))),""))</f>
        <v/>
      </c>
      <c r="G135" s="31">
        <f>IF(OR($A135="",G$4=""),"",IFERROR(1/(1/SUMPRODUCT(MAX(('Checks'!$A$4:$A$503=$A135)*('Checks'!$B$4:$B$503=G$4)*'Checks'!$D$4:$D$503))),""))</f>
        <v/>
      </c>
      <c r="H135" s="31">
        <f>IF(OR($A135="",H$4=""),"",IFERROR(1/(1/SUMPRODUCT(MAX(('Checks'!$A$4:$A$503=$A135)*('Checks'!$B$4:$B$503=H$4)*'Checks'!$D$4:$D$503))),""))</f>
        <v/>
      </c>
      <c r="I135" s="31">
        <f>IF(OR($A135="",I$4=""),"",IFERROR(1/(1/SUMPRODUCT(MAX(('Checks'!$A$4:$A$503=$A135)*('Checks'!$B$4:$B$503=I$4)*'Checks'!$D$4:$D$503))),""))</f>
        <v/>
      </c>
      <c r="J135" s="31">
        <f>IF(OR($A135="",J$4=""),"",IFERROR(1/(1/SUMPRODUCT(MAX(('Checks'!$A$4:$A$503=$A135)*('Checks'!$B$4:$B$503=J$4)*'Checks'!$D$4:$D$503))),""))</f>
        <v/>
      </c>
      <c r="K135" s="31">
        <f>IF(OR($A135="",K$4=""),"",IFERROR(1/(1/SUMPRODUCT(MAX(('Checks'!$A$4:$A$503=$A135)*('Checks'!$B$4:$B$503=K$4)*'Checks'!$D$4:$D$503))),""))</f>
        <v/>
      </c>
    </row>
    <row r="136">
      <c r="A136" s="30" t="n"/>
      <c r="B136" s="31">
        <f>IF(OR($A136="",B$4=""),"",IFERROR(1/(1/SUMPRODUCT(MAX(('Checks'!$A$4:$A$503=$A136)*('Checks'!$B$4:$B$503=B$4)*'Checks'!$D$4:$D$503))),""))</f>
        <v/>
      </c>
      <c r="C136" s="31">
        <f>IF(OR($A136="",C$4=""),"",IFERROR(1/(1/SUMPRODUCT(MAX(('Checks'!$A$4:$A$503=$A136)*('Checks'!$B$4:$B$503=C$4)*'Checks'!$D$4:$D$503))),""))</f>
        <v/>
      </c>
      <c r="D136" s="31">
        <f>IF(OR($A136="",D$4=""),"",IFERROR(1/(1/SUMPRODUCT(MAX(('Checks'!$A$4:$A$503=$A136)*('Checks'!$B$4:$B$503=D$4)*'Checks'!$D$4:$D$503))),""))</f>
        <v/>
      </c>
      <c r="E136" s="31">
        <f>IF(OR($A136="",E$4=""),"",IFERROR(1/(1/SUMPRODUCT(MAX(('Checks'!$A$4:$A$503=$A136)*('Checks'!$B$4:$B$503=E$4)*'Checks'!$D$4:$D$503))),""))</f>
        <v/>
      </c>
      <c r="F136" s="31">
        <f>IF(OR($A136="",F$4=""),"",IFERROR(1/(1/SUMPRODUCT(MAX(('Checks'!$A$4:$A$503=$A136)*('Checks'!$B$4:$B$503=F$4)*'Checks'!$D$4:$D$503))),""))</f>
        <v/>
      </c>
      <c r="G136" s="31">
        <f>IF(OR($A136="",G$4=""),"",IFERROR(1/(1/SUMPRODUCT(MAX(('Checks'!$A$4:$A$503=$A136)*('Checks'!$B$4:$B$503=G$4)*'Checks'!$D$4:$D$503))),""))</f>
        <v/>
      </c>
      <c r="H136" s="31">
        <f>IF(OR($A136="",H$4=""),"",IFERROR(1/(1/SUMPRODUCT(MAX(('Checks'!$A$4:$A$503=$A136)*('Checks'!$B$4:$B$503=H$4)*'Checks'!$D$4:$D$503))),""))</f>
        <v/>
      </c>
      <c r="I136" s="31">
        <f>IF(OR($A136="",I$4=""),"",IFERROR(1/(1/SUMPRODUCT(MAX(('Checks'!$A$4:$A$503=$A136)*('Checks'!$B$4:$B$503=I$4)*'Checks'!$D$4:$D$503))),""))</f>
        <v/>
      </c>
      <c r="J136" s="31">
        <f>IF(OR($A136="",J$4=""),"",IFERROR(1/(1/SUMPRODUCT(MAX(('Checks'!$A$4:$A$503=$A136)*('Checks'!$B$4:$B$503=J$4)*'Checks'!$D$4:$D$503))),""))</f>
        <v/>
      </c>
      <c r="K136" s="31">
        <f>IF(OR($A136="",K$4=""),"",IFERROR(1/(1/SUMPRODUCT(MAX(('Checks'!$A$4:$A$503=$A136)*('Checks'!$B$4:$B$503=K$4)*'Checks'!$D$4:$D$503))),""))</f>
        <v/>
      </c>
    </row>
    <row r="137">
      <c r="A137" s="30" t="n"/>
      <c r="B137" s="31">
        <f>IF(OR($A137="",B$4=""),"",IFERROR(1/(1/SUMPRODUCT(MAX(('Checks'!$A$4:$A$503=$A137)*('Checks'!$B$4:$B$503=B$4)*'Checks'!$D$4:$D$503))),""))</f>
        <v/>
      </c>
      <c r="C137" s="31">
        <f>IF(OR($A137="",C$4=""),"",IFERROR(1/(1/SUMPRODUCT(MAX(('Checks'!$A$4:$A$503=$A137)*('Checks'!$B$4:$B$503=C$4)*'Checks'!$D$4:$D$503))),""))</f>
        <v/>
      </c>
      <c r="D137" s="31">
        <f>IF(OR($A137="",D$4=""),"",IFERROR(1/(1/SUMPRODUCT(MAX(('Checks'!$A$4:$A$503=$A137)*('Checks'!$B$4:$B$503=D$4)*'Checks'!$D$4:$D$503))),""))</f>
        <v/>
      </c>
      <c r="E137" s="31">
        <f>IF(OR($A137="",E$4=""),"",IFERROR(1/(1/SUMPRODUCT(MAX(('Checks'!$A$4:$A$503=$A137)*('Checks'!$B$4:$B$503=E$4)*'Checks'!$D$4:$D$503))),""))</f>
        <v/>
      </c>
      <c r="F137" s="31">
        <f>IF(OR($A137="",F$4=""),"",IFERROR(1/(1/SUMPRODUCT(MAX(('Checks'!$A$4:$A$503=$A137)*('Checks'!$B$4:$B$503=F$4)*'Checks'!$D$4:$D$503))),""))</f>
        <v/>
      </c>
      <c r="G137" s="31">
        <f>IF(OR($A137="",G$4=""),"",IFERROR(1/(1/SUMPRODUCT(MAX(('Checks'!$A$4:$A$503=$A137)*('Checks'!$B$4:$B$503=G$4)*'Checks'!$D$4:$D$503))),""))</f>
        <v/>
      </c>
      <c r="H137" s="31">
        <f>IF(OR($A137="",H$4=""),"",IFERROR(1/(1/SUMPRODUCT(MAX(('Checks'!$A$4:$A$503=$A137)*('Checks'!$B$4:$B$503=H$4)*'Checks'!$D$4:$D$503))),""))</f>
        <v/>
      </c>
      <c r="I137" s="31">
        <f>IF(OR($A137="",I$4=""),"",IFERROR(1/(1/SUMPRODUCT(MAX(('Checks'!$A$4:$A$503=$A137)*('Checks'!$B$4:$B$503=I$4)*'Checks'!$D$4:$D$503))),""))</f>
        <v/>
      </c>
      <c r="J137" s="31">
        <f>IF(OR($A137="",J$4=""),"",IFERROR(1/(1/SUMPRODUCT(MAX(('Checks'!$A$4:$A$503=$A137)*('Checks'!$B$4:$B$503=J$4)*'Checks'!$D$4:$D$503))),""))</f>
        <v/>
      </c>
      <c r="K137" s="31">
        <f>IF(OR($A137="",K$4=""),"",IFERROR(1/(1/SUMPRODUCT(MAX(('Checks'!$A$4:$A$503=$A137)*('Checks'!$B$4:$B$503=K$4)*'Checks'!$D$4:$D$503))),""))</f>
        <v/>
      </c>
    </row>
    <row r="138">
      <c r="A138" s="30" t="n"/>
      <c r="B138" s="31">
        <f>IF(OR($A138="",B$4=""),"",IFERROR(1/(1/SUMPRODUCT(MAX(('Checks'!$A$4:$A$503=$A138)*('Checks'!$B$4:$B$503=B$4)*'Checks'!$D$4:$D$503))),""))</f>
        <v/>
      </c>
      <c r="C138" s="31">
        <f>IF(OR($A138="",C$4=""),"",IFERROR(1/(1/SUMPRODUCT(MAX(('Checks'!$A$4:$A$503=$A138)*('Checks'!$B$4:$B$503=C$4)*'Checks'!$D$4:$D$503))),""))</f>
        <v/>
      </c>
      <c r="D138" s="31">
        <f>IF(OR($A138="",D$4=""),"",IFERROR(1/(1/SUMPRODUCT(MAX(('Checks'!$A$4:$A$503=$A138)*('Checks'!$B$4:$B$503=D$4)*'Checks'!$D$4:$D$503))),""))</f>
        <v/>
      </c>
      <c r="E138" s="31">
        <f>IF(OR($A138="",E$4=""),"",IFERROR(1/(1/SUMPRODUCT(MAX(('Checks'!$A$4:$A$503=$A138)*('Checks'!$B$4:$B$503=E$4)*'Checks'!$D$4:$D$503))),""))</f>
        <v/>
      </c>
      <c r="F138" s="31">
        <f>IF(OR($A138="",F$4=""),"",IFERROR(1/(1/SUMPRODUCT(MAX(('Checks'!$A$4:$A$503=$A138)*('Checks'!$B$4:$B$503=F$4)*'Checks'!$D$4:$D$503))),""))</f>
        <v/>
      </c>
      <c r="G138" s="31">
        <f>IF(OR($A138="",G$4=""),"",IFERROR(1/(1/SUMPRODUCT(MAX(('Checks'!$A$4:$A$503=$A138)*('Checks'!$B$4:$B$503=G$4)*'Checks'!$D$4:$D$503))),""))</f>
        <v/>
      </c>
      <c r="H138" s="31">
        <f>IF(OR($A138="",H$4=""),"",IFERROR(1/(1/SUMPRODUCT(MAX(('Checks'!$A$4:$A$503=$A138)*('Checks'!$B$4:$B$503=H$4)*'Checks'!$D$4:$D$503))),""))</f>
        <v/>
      </c>
      <c r="I138" s="31">
        <f>IF(OR($A138="",I$4=""),"",IFERROR(1/(1/SUMPRODUCT(MAX(('Checks'!$A$4:$A$503=$A138)*('Checks'!$B$4:$B$503=I$4)*'Checks'!$D$4:$D$503))),""))</f>
        <v/>
      </c>
      <c r="J138" s="31">
        <f>IF(OR($A138="",J$4=""),"",IFERROR(1/(1/SUMPRODUCT(MAX(('Checks'!$A$4:$A$503=$A138)*('Checks'!$B$4:$B$503=J$4)*'Checks'!$D$4:$D$503))),""))</f>
        <v/>
      </c>
      <c r="K138" s="31">
        <f>IF(OR($A138="",K$4=""),"",IFERROR(1/(1/SUMPRODUCT(MAX(('Checks'!$A$4:$A$503=$A138)*('Checks'!$B$4:$B$503=K$4)*'Checks'!$D$4:$D$503))),""))</f>
        <v/>
      </c>
    </row>
    <row r="139">
      <c r="A139" s="30" t="n"/>
      <c r="B139" s="31">
        <f>IF(OR($A139="",B$4=""),"",IFERROR(1/(1/SUMPRODUCT(MAX(('Checks'!$A$4:$A$503=$A139)*('Checks'!$B$4:$B$503=B$4)*'Checks'!$D$4:$D$503))),""))</f>
        <v/>
      </c>
      <c r="C139" s="31">
        <f>IF(OR($A139="",C$4=""),"",IFERROR(1/(1/SUMPRODUCT(MAX(('Checks'!$A$4:$A$503=$A139)*('Checks'!$B$4:$B$503=C$4)*'Checks'!$D$4:$D$503))),""))</f>
        <v/>
      </c>
      <c r="D139" s="31">
        <f>IF(OR($A139="",D$4=""),"",IFERROR(1/(1/SUMPRODUCT(MAX(('Checks'!$A$4:$A$503=$A139)*('Checks'!$B$4:$B$503=D$4)*'Checks'!$D$4:$D$503))),""))</f>
        <v/>
      </c>
      <c r="E139" s="31">
        <f>IF(OR($A139="",E$4=""),"",IFERROR(1/(1/SUMPRODUCT(MAX(('Checks'!$A$4:$A$503=$A139)*('Checks'!$B$4:$B$503=E$4)*'Checks'!$D$4:$D$503))),""))</f>
        <v/>
      </c>
      <c r="F139" s="31">
        <f>IF(OR($A139="",F$4=""),"",IFERROR(1/(1/SUMPRODUCT(MAX(('Checks'!$A$4:$A$503=$A139)*('Checks'!$B$4:$B$503=F$4)*'Checks'!$D$4:$D$503))),""))</f>
        <v/>
      </c>
      <c r="G139" s="31">
        <f>IF(OR($A139="",G$4=""),"",IFERROR(1/(1/SUMPRODUCT(MAX(('Checks'!$A$4:$A$503=$A139)*('Checks'!$B$4:$B$503=G$4)*'Checks'!$D$4:$D$503))),""))</f>
        <v/>
      </c>
      <c r="H139" s="31">
        <f>IF(OR($A139="",H$4=""),"",IFERROR(1/(1/SUMPRODUCT(MAX(('Checks'!$A$4:$A$503=$A139)*('Checks'!$B$4:$B$503=H$4)*'Checks'!$D$4:$D$503))),""))</f>
        <v/>
      </c>
      <c r="I139" s="31">
        <f>IF(OR($A139="",I$4=""),"",IFERROR(1/(1/SUMPRODUCT(MAX(('Checks'!$A$4:$A$503=$A139)*('Checks'!$B$4:$B$503=I$4)*'Checks'!$D$4:$D$503))),""))</f>
        <v/>
      </c>
      <c r="J139" s="31">
        <f>IF(OR($A139="",J$4=""),"",IFERROR(1/(1/SUMPRODUCT(MAX(('Checks'!$A$4:$A$503=$A139)*('Checks'!$B$4:$B$503=J$4)*'Checks'!$D$4:$D$503))),""))</f>
        <v/>
      </c>
      <c r="K139" s="31">
        <f>IF(OR($A139="",K$4=""),"",IFERROR(1/(1/SUMPRODUCT(MAX(('Checks'!$A$4:$A$503=$A139)*('Checks'!$B$4:$B$503=K$4)*'Checks'!$D$4:$D$503))),""))</f>
        <v/>
      </c>
    </row>
    <row r="140">
      <c r="A140" s="30" t="n"/>
      <c r="B140" s="31">
        <f>IF(OR($A140="",B$4=""),"",IFERROR(1/(1/SUMPRODUCT(MAX(('Checks'!$A$4:$A$503=$A140)*('Checks'!$B$4:$B$503=B$4)*'Checks'!$D$4:$D$503))),""))</f>
        <v/>
      </c>
      <c r="C140" s="31">
        <f>IF(OR($A140="",C$4=""),"",IFERROR(1/(1/SUMPRODUCT(MAX(('Checks'!$A$4:$A$503=$A140)*('Checks'!$B$4:$B$503=C$4)*'Checks'!$D$4:$D$503))),""))</f>
        <v/>
      </c>
      <c r="D140" s="31">
        <f>IF(OR($A140="",D$4=""),"",IFERROR(1/(1/SUMPRODUCT(MAX(('Checks'!$A$4:$A$503=$A140)*('Checks'!$B$4:$B$503=D$4)*'Checks'!$D$4:$D$503))),""))</f>
        <v/>
      </c>
      <c r="E140" s="31">
        <f>IF(OR($A140="",E$4=""),"",IFERROR(1/(1/SUMPRODUCT(MAX(('Checks'!$A$4:$A$503=$A140)*('Checks'!$B$4:$B$503=E$4)*'Checks'!$D$4:$D$503))),""))</f>
        <v/>
      </c>
      <c r="F140" s="31">
        <f>IF(OR($A140="",F$4=""),"",IFERROR(1/(1/SUMPRODUCT(MAX(('Checks'!$A$4:$A$503=$A140)*('Checks'!$B$4:$B$503=F$4)*'Checks'!$D$4:$D$503))),""))</f>
        <v/>
      </c>
      <c r="G140" s="31">
        <f>IF(OR($A140="",G$4=""),"",IFERROR(1/(1/SUMPRODUCT(MAX(('Checks'!$A$4:$A$503=$A140)*('Checks'!$B$4:$B$503=G$4)*'Checks'!$D$4:$D$503))),""))</f>
        <v/>
      </c>
      <c r="H140" s="31">
        <f>IF(OR($A140="",H$4=""),"",IFERROR(1/(1/SUMPRODUCT(MAX(('Checks'!$A$4:$A$503=$A140)*('Checks'!$B$4:$B$503=H$4)*'Checks'!$D$4:$D$503))),""))</f>
        <v/>
      </c>
      <c r="I140" s="31">
        <f>IF(OR($A140="",I$4=""),"",IFERROR(1/(1/SUMPRODUCT(MAX(('Checks'!$A$4:$A$503=$A140)*('Checks'!$B$4:$B$503=I$4)*'Checks'!$D$4:$D$503))),""))</f>
        <v/>
      </c>
      <c r="J140" s="31">
        <f>IF(OR($A140="",J$4=""),"",IFERROR(1/(1/SUMPRODUCT(MAX(('Checks'!$A$4:$A$503=$A140)*('Checks'!$B$4:$B$503=J$4)*'Checks'!$D$4:$D$503))),""))</f>
        <v/>
      </c>
      <c r="K140" s="31">
        <f>IF(OR($A140="",K$4=""),"",IFERROR(1/(1/SUMPRODUCT(MAX(('Checks'!$A$4:$A$503=$A140)*('Checks'!$B$4:$B$503=K$4)*'Checks'!$D$4:$D$503))),""))</f>
        <v/>
      </c>
    </row>
    <row r="141">
      <c r="A141" s="30" t="n"/>
      <c r="B141" s="31">
        <f>IF(OR($A141="",B$4=""),"",IFERROR(1/(1/SUMPRODUCT(MAX(('Checks'!$A$4:$A$503=$A141)*('Checks'!$B$4:$B$503=B$4)*'Checks'!$D$4:$D$503))),""))</f>
        <v/>
      </c>
      <c r="C141" s="31">
        <f>IF(OR($A141="",C$4=""),"",IFERROR(1/(1/SUMPRODUCT(MAX(('Checks'!$A$4:$A$503=$A141)*('Checks'!$B$4:$B$503=C$4)*'Checks'!$D$4:$D$503))),""))</f>
        <v/>
      </c>
      <c r="D141" s="31">
        <f>IF(OR($A141="",D$4=""),"",IFERROR(1/(1/SUMPRODUCT(MAX(('Checks'!$A$4:$A$503=$A141)*('Checks'!$B$4:$B$503=D$4)*'Checks'!$D$4:$D$503))),""))</f>
        <v/>
      </c>
      <c r="E141" s="31">
        <f>IF(OR($A141="",E$4=""),"",IFERROR(1/(1/SUMPRODUCT(MAX(('Checks'!$A$4:$A$503=$A141)*('Checks'!$B$4:$B$503=E$4)*'Checks'!$D$4:$D$503))),""))</f>
        <v/>
      </c>
      <c r="F141" s="31">
        <f>IF(OR($A141="",F$4=""),"",IFERROR(1/(1/SUMPRODUCT(MAX(('Checks'!$A$4:$A$503=$A141)*('Checks'!$B$4:$B$503=F$4)*'Checks'!$D$4:$D$503))),""))</f>
        <v/>
      </c>
      <c r="G141" s="31">
        <f>IF(OR($A141="",G$4=""),"",IFERROR(1/(1/SUMPRODUCT(MAX(('Checks'!$A$4:$A$503=$A141)*('Checks'!$B$4:$B$503=G$4)*'Checks'!$D$4:$D$503))),""))</f>
        <v/>
      </c>
      <c r="H141" s="31">
        <f>IF(OR($A141="",H$4=""),"",IFERROR(1/(1/SUMPRODUCT(MAX(('Checks'!$A$4:$A$503=$A141)*('Checks'!$B$4:$B$503=H$4)*'Checks'!$D$4:$D$503))),""))</f>
        <v/>
      </c>
      <c r="I141" s="31">
        <f>IF(OR($A141="",I$4=""),"",IFERROR(1/(1/SUMPRODUCT(MAX(('Checks'!$A$4:$A$503=$A141)*('Checks'!$B$4:$B$503=I$4)*'Checks'!$D$4:$D$503))),""))</f>
        <v/>
      </c>
      <c r="J141" s="31">
        <f>IF(OR($A141="",J$4=""),"",IFERROR(1/(1/SUMPRODUCT(MAX(('Checks'!$A$4:$A$503=$A141)*('Checks'!$B$4:$B$503=J$4)*'Checks'!$D$4:$D$503))),""))</f>
        <v/>
      </c>
      <c r="K141" s="31">
        <f>IF(OR($A141="",K$4=""),"",IFERROR(1/(1/SUMPRODUCT(MAX(('Checks'!$A$4:$A$503=$A141)*('Checks'!$B$4:$B$503=K$4)*'Checks'!$D$4:$D$503))),""))</f>
        <v/>
      </c>
    </row>
    <row r="142">
      <c r="A142" s="30" t="n"/>
      <c r="B142" s="31">
        <f>IF(OR($A142="",B$4=""),"",IFERROR(1/(1/SUMPRODUCT(MAX(('Checks'!$A$4:$A$503=$A142)*('Checks'!$B$4:$B$503=B$4)*'Checks'!$D$4:$D$503))),""))</f>
        <v/>
      </c>
      <c r="C142" s="31">
        <f>IF(OR($A142="",C$4=""),"",IFERROR(1/(1/SUMPRODUCT(MAX(('Checks'!$A$4:$A$503=$A142)*('Checks'!$B$4:$B$503=C$4)*'Checks'!$D$4:$D$503))),""))</f>
        <v/>
      </c>
      <c r="D142" s="31">
        <f>IF(OR($A142="",D$4=""),"",IFERROR(1/(1/SUMPRODUCT(MAX(('Checks'!$A$4:$A$503=$A142)*('Checks'!$B$4:$B$503=D$4)*'Checks'!$D$4:$D$503))),""))</f>
        <v/>
      </c>
      <c r="E142" s="31">
        <f>IF(OR($A142="",E$4=""),"",IFERROR(1/(1/SUMPRODUCT(MAX(('Checks'!$A$4:$A$503=$A142)*('Checks'!$B$4:$B$503=E$4)*'Checks'!$D$4:$D$503))),""))</f>
        <v/>
      </c>
      <c r="F142" s="31">
        <f>IF(OR($A142="",F$4=""),"",IFERROR(1/(1/SUMPRODUCT(MAX(('Checks'!$A$4:$A$503=$A142)*('Checks'!$B$4:$B$503=F$4)*'Checks'!$D$4:$D$503))),""))</f>
        <v/>
      </c>
      <c r="G142" s="31">
        <f>IF(OR($A142="",G$4=""),"",IFERROR(1/(1/SUMPRODUCT(MAX(('Checks'!$A$4:$A$503=$A142)*('Checks'!$B$4:$B$503=G$4)*'Checks'!$D$4:$D$503))),""))</f>
        <v/>
      </c>
      <c r="H142" s="31">
        <f>IF(OR($A142="",H$4=""),"",IFERROR(1/(1/SUMPRODUCT(MAX(('Checks'!$A$4:$A$503=$A142)*('Checks'!$B$4:$B$503=H$4)*'Checks'!$D$4:$D$503))),""))</f>
        <v/>
      </c>
      <c r="I142" s="31">
        <f>IF(OR($A142="",I$4=""),"",IFERROR(1/(1/SUMPRODUCT(MAX(('Checks'!$A$4:$A$503=$A142)*('Checks'!$B$4:$B$503=I$4)*'Checks'!$D$4:$D$503))),""))</f>
        <v/>
      </c>
      <c r="J142" s="31">
        <f>IF(OR($A142="",J$4=""),"",IFERROR(1/(1/SUMPRODUCT(MAX(('Checks'!$A$4:$A$503=$A142)*('Checks'!$B$4:$B$503=J$4)*'Checks'!$D$4:$D$503))),""))</f>
        <v/>
      </c>
      <c r="K142" s="31">
        <f>IF(OR($A142="",K$4=""),"",IFERROR(1/(1/SUMPRODUCT(MAX(('Checks'!$A$4:$A$503=$A142)*('Checks'!$B$4:$B$503=K$4)*'Checks'!$D$4:$D$503))),""))</f>
        <v/>
      </c>
    </row>
    <row r="143">
      <c r="A143" s="30" t="n"/>
      <c r="B143" s="31">
        <f>IF(OR($A143="",B$4=""),"",IFERROR(1/(1/SUMPRODUCT(MAX(('Checks'!$A$4:$A$503=$A143)*('Checks'!$B$4:$B$503=B$4)*'Checks'!$D$4:$D$503))),""))</f>
        <v/>
      </c>
      <c r="C143" s="31">
        <f>IF(OR($A143="",C$4=""),"",IFERROR(1/(1/SUMPRODUCT(MAX(('Checks'!$A$4:$A$503=$A143)*('Checks'!$B$4:$B$503=C$4)*'Checks'!$D$4:$D$503))),""))</f>
        <v/>
      </c>
      <c r="D143" s="31">
        <f>IF(OR($A143="",D$4=""),"",IFERROR(1/(1/SUMPRODUCT(MAX(('Checks'!$A$4:$A$503=$A143)*('Checks'!$B$4:$B$503=D$4)*'Checks'!$D$4:$D$503))),""))</f>
        <v/>
      </c>
      <c r="E143" s="31">
        <f>IF(OR($A143="",E$4=""),"",IFERROR(1/(1/SUMPRODUCT(MAX(('Checks'!$A$4:$A$503=$A143)*('Checks'!$B$4:$B$503=E$4)*'Checks'!$D$4:$D$503))),""))</f>
        <v/>
      </c>
      <c r="F143" s="31">
        <f>IF(OR($A143="",F$4=""),"",IFERROR(1/(1/SUMPRODUCT(MAX(('Checks'!$A$4:$A$503=$A143)*('Checks'!$B$4:$B$503=F$4)*'Checks'!$D$4:$D$503))),""))</f>
        <v/>
      </c>
      <c r="G143" s="31">
        <f>IF(OR($A143="",G$4=""),"",IFERROR(1/(1/SUMPRODUCT(MAX(('Checks'!$A$4:$A$503=$A143)*('Checks'!$B$4:$B$503=G$4)*'Checks'!$D$4:$D$503))),""))</f>
        <v/>
      </c>
      <c r="H143" s="31">
        <f>IF(OR($A143="",H$4=""),"",IFERROR(1/(1/SUMPRODUCT(MAX(('Checks'!$A$4:$A$503=$A143)*('Checks'!$B$4:$B$503=H$4)*'Checks'!$D$4:$D$503))),""))</f>
        <v/>
      </c>
      <c r="I143" s="31">
        <f>IF(OR($A143="",I$4=""),"",IFERROR(1/(1/SUMPRODUCT(MAX(('Checks'!$A$4:$A$503=$A143)*('Checks'!$B$4:$B$503=I$4)*'Checks'!$D$4:$D$503))),""))</f>
        <v/>
      </c>
      <c r="J143" s="31">
        <f>IF(OR($A143="",J$4=""),"",IFERROR(1/(1/SUMPRODUCT(MAX(('Checks'!$A$4:$A$503=$A143)*('Checks'!$B$4:$B$503=J$4)*'Checks'!$D$4:$D$503))),""))</f>
        <v/>
      </c>
      <c r="K143" s="31">
        <f>IF(OR($A143="",K$4=""),"",IFERROR(1/(1/SUMPRODUCT(MAX(('Checks'!$A$4:$A$503=$A143)*('Checks'!$B$4:$B$503=K$4)*'Checks'!$D$4:$D$503))),""))</f>
        <v/>
      </c>
    </row>
    <row r="144">
      <c r="A144" s="30" t="n"/>
      <c r="B144" s="31">
        <f>IF(OR($A144="",B$4=""),"",IFERROR(1/(1/SUMPRODUCT(MAX(('Checks'!$A$4:$A$503=$A144)*('Checks'!$B$4:$B$503=B$4)*'Checks'!$D$4:$D$503))),""))</f>
        <v/>
      </c>
      <c r="C144" s="31">
        <f>IF(OR($A144="",C$4=""),"",IFERROR(1/(1/SUMPRODUCT(MAX(('Checks'!$A$4:$A$503=$A144)*('Checks'!$B$4:$B$503=C$4)*'Checks'!$D$4:$D$503))),""))</f>
        <v/>
      </c>
      <c r="D144" s="31">
        <f>IF(OR($A144="",D$4=""),"",IFERROR(1/(1/SUMPRODUCT(MAX(('Checks'!$A$4:$A$503=$A144)*('Checks'!$B$4:$B$503=D$4)*'Checks'!$D$4:$D$503))),""))</f>
        <v/>
      </c>
      <c r="E144" s="31">
        <f>IF(OR($A144="",E$4=""),"",IFERROR(1/(1/SUMPRODUCT(MAX(('Checks'!$A$4:$A$503=$A144)*('Checks'!$B$4:$B$503=E$4)*'Checks'!$D$4:$D$503))),""))</f>
        <v/>
      </c>
      <c r="F144" s="31">
        <f>IF(OR($A144="",F$4=""),"",IFERROR(1/(1/SUMPRODUCT(MAX(('Checks'!$A$4:$A$503=$A144)*('Checks'!$B$4:$B$503=F$4)*'Checks'!$D$4:$D$503))),""))</f>
        <v/>
      </c>
      <c r="G144" s="31">
        <f>IF(OR($A144="",G$4=""),"",IFERROR(1/(1/SUMPRODUCT(MAX(('Checks'!$A$4:$A$503=$A144)*('Checks'!$B$4:$B$503=G$4)*'Checks'!$D$4:$D$503))),""))</f>
        <v/>
      </c>
      <c r="H144" s="31">
        <f>IF(OR($A144="",H$4=""),"",IFERROR(1/(1/SUMPRODUCT(MAX(('Checks'!$A$4:$A$503=$A144)*('Checks'!$B$4:$B$503=H$4)*'Checks'!$D$4:$D$503))),""))</f>
        <v/>
      </c>
      <c r="I144" s="31">
        <f>IF(OR($A144="",I$4=""),"",IFERROR(1/(1/SUMPRODUCT(MAX(('Checks'!$A$4:$A$503=$A144)*('Checks'!$B$4:$B$503=I$4)*'Checks'!$D$4:$D$503))),""))</f>
        <v/>
      </c>
      <c r="J144" s="31">
        <f>IF(OR($A144="",J$4=""),"",IFERROR(1/(1/SUMPRODUCT(MAX(('Checks'!$A$4:$A$503=$A144)*('Checks'!$B$4:$B$503=J$4)*'Checks'!$D$4:$D$503))),""))</f>
        <v/>
      </c>
      <c r="K144" s="31">
        <f>IF(OR($A144="",K$4=""),"",IFERROR(1/(1/SUMPRODUCT(MAX(('Checks'!$A$4:$A$503=$A144)*('Checks'!$B$4:$B$503=K$4)*'Checks'!$D$4:$D$503))),""))</f>
        <v/>
      </c>
    </row>
    <row r="145">
      <c r="A145" s="30" t="n"/>
      <c r="B145" s="31">
        <f>IF(OR($A145="",B$4=""),"",IFERROR(1/(1/SUMPRODUCT(MAX(('Checks'!$A$4:$A$503=$A145)*('Checks'!$B$4:$B$503=B$4)*'Checks'!$D$4:$D$503))),""))</f>
        <v/>
      </c>
      <c r="C145" s="31">
        <f>IF(OR($A145="",C$4=""),"",IFERROR(1/(1/SUMPRODUCT(MAX(('Checks'!$A$4:$A$503=$A145)*('Checks'!$B$4:$B$503=C$4)*'Checks'!$D$4:$D$503))),""))</f>
        <v/>
      </c>
      <c r="D145" s="31">
        <f>IF(OR($A145="",D$4=""),"",IFERROR(1/(1/SUMPRODUCT(MAX(('Checks'!$A$4:$A$503=$A145)*('Checks'!$B$4:$B$503=D$4)*'Checks'!$D$4:$D$503))),""))</f>
        <v/>
      </c>
      <c r="E145" s="31">
        <f>IF(OR($A145="",E$4=""),"",IFERROR(1/(1/SUMPRODUCT(MAX(('Checks'!$A$4:$A$503=$A145)*('Checks'!$B$4:$B$503=E$4)*'Checks'!$D$4:$D$503))),""))</f>
        <v/>
      </c>
      <c r="F145" s="31">
        <f>IF(OR($A145="",F$4=""),"",IFERROR(1/(1/SUMPRODUCT(MAX(('Checks'!$A$4:$A$503=$A145)*('Checks'!$B$4:$B$503=F$4)*'Checks'!$D$4:$D$503))),""))</f>
        <v/>
      </c>
      <c r="G145" s="31">
        <f>IF(OR($A145="",G$4=""),"",IFERROR(1/(1/SUMPRODUCT(MAX(('Checks'!$A$4:$A$503=$A145)*('Checks'!$B$4:$B$503=G$4)*'Checks'!$D$4:$D$503))),""))</f>
        <v/>
      </c>
      <c r="H145" s="31">
        <f>IF(OR($A145="",H$4=""),"",IFERROR(1/(1/SUMPRODUCT(MAX(('Checks'!$A$4:$A$503=$A145)*('Checks'!$B$4:$B$503=H$4)*'Checks'!$D$4:$D$503))),""))</f>
        <v/>
      </c>
      <c r="I145" s="31">
        <f>IF(OR($A145="",I$4=""),"",IFERROR(1/(1/SUMPRODUCT(MAX(('Checks'!$A$4:$A$503=$A145)*('Checks'!$B$4:$B$503=I$4)*'Checks'!$D$4:$D$503))),""))</f>
        <v/>
      </c>
      <c r="J145" s="31">
        <f>IF(OR($A145="",J$4=""),"",IFERROR(1/(1/SUMPRODUCT(MAX(('Checks'!$A$4:$A$503=$A145)*('Checks'!$B$4:$B$503=J$4)*'Checks'!$D$4:$D$503))),""))</f>
        <v/>
      </c>
      <c r="K145" s="31">
        <f>IF(OR($A145="",K$4=""),"",IFERROR(1/(1/SUMPRODUCT(MAX(('Checks'!$A$4:$A$503=$A145)*('Checks'!$B$4:$B$503=K$4)*'Checks'!$D$4:$D$503))),""))</f>
        <v/>
      </c>
    </row>
    <row r="146">
      <c r="A146" s="30" t="n"/>
      <c r="B146" s="31">
        <f>IF(OR($A146="",B$4=""),"",IFERROR(1/(1/SUMPRODUCT(MAX(('Checks'!$A$4:$A$503=$A146)*('Checks'!$B$4:$B$503=B$4)*'Checks'!$D$4:$D$503))),""))</f>
        <v/>
      </c>
      <c r="C146" s="31">
        <f>IF(OR($A146="",C$4=""),"",IFERROR(1/(1/SUMPRODUCT(MAX(('Checks'!$A$4:$A$503=$A146)*('Checks'!$B$4:$B$503=C$4)*'Checks'!$D$4:$D$503))),""))</f>
        <v/>
      </c>
      <c r="D146" s="31">
        <f>IF(OR($A146="",D$4=""),"",IFERROR(1/(1/SUMPRODUCT(MAX(('Checks'!$A$4:$A$503=$A146)*('Checks'!$B$4:$B$503=D$4)*'Checks'!$D$4:$D$503))),""))</f>
        <v/>
      </c>
      <c r="E146" s="31">
        <f>IF(OR($A146="",E$4=""),"",IFERROR(1/(1/SUMPRODUCT(MAX(('Checks'!$A$4:$A$503=$A146)*('Checks'!$B$4:$B$503=E$4)*'Checks'!$D$4:$D$503))),""))</f>
        <v/>
      </c>
      <c r="F146" s="31">
        <f>IF(OR($A146="",F$4=""),"",IFERROR(1/(1/SUMPRODUCT(MAX(('Checks'!$A$4:$A$503=$A146)*('Checks'!$B$4:$B$503=F$4)*'Checks'!$D$4:$D$503))),""))</f>
        <v/>
      </c>
      <c r="G146" s="31">
        <f>IF(OR($A146="",G$4=""),"",IFERROR(1/(1/SUMPRODUCT(MAX(('Checks'!$A$4:$A$503=$A146)*('Checks'!$B$4:$B$503=G$4)*'Checks'!$D$4:$D$503))),""))</f>
        <v/>
      </c>
      <c r="H146" s="31">
        <f>IF(OR($A146="",H$4=""),"",IFERROR(1/(1/SUMPRODUCT(MAX(('Checks'!$A$4:$A$503=$A146)*('Checks'!$B$4:$B$503=H$4)*'Checks'!$D$4:$D$503))),""))</f>
        <v/>
      </c>
      <c r="I146" s="31">
        <f>IF(OR($A146="",I$4=""),"",IFERROR(1/(1/SUMPRODUCT(MAX(('Checks'!$A$4:$A$503=$A146)*('Checks'!$B$4:$B$503=I$4)*'Checks'!$D$4:$D$503))),""))</f>
        <v/>
      </c>
      <c r="J146" s="31">
        <f>IF(OR($A146="",J$4=""),"",IFERROR(1/(1/SUMPRODUCT(MAX(('Checks'!$A$4:$A$503=$A146)*('Checks'!$B$4:$B$503=J$4)*'Checks'!$D$4:$D$503))),""))</f>
        <v/>
      </c>
      <c r="K146" s="31">
        <f>IF(OR($A146="",K$4=""),"",IFERROR(1/(1/SUMPRODUCT(MAX(('Checks'!$A$4:$A$503=$A146)*('Checks'!$B$4:$B$503=K$4)*'Checks'!$D$4:$D$503))),""))</f>
        <v/>
      </c>
    </row>
    <row r="147">
      <c r="A147" s="30" t="n"/>
      <c r="B147" s="31">
        <f>IF(OR($A147="",B$4=""),"",IFERROR(1/(1/SUMPRODUCT(MAX(('Checks'!$A$4:$A$503=$A147)*('Checks'!$B$4:$B$503=B$4)*'Checks'!$D$4:$D$503))),""))</f>
        <v/>
      </c>
      <c r="C147" s="31">
        <f>IF(OR($A147="",C$4=""),"",IFERROR(1/(1/SUMPRODUCT(MAX(('Checks'!$A$4:$A$503=$A147)*('Checks'!$B$4:$B$503=C$4)*'Checks'!$D$4:$D$503))),""))</f>
        <v/>
      </c>
      <c r="D147" s="31">
        <f>IF(OR($A147="",D$4=""),"",IFERROR(1/(1/SUMPRODUCT(MAX(('Checks'!$A$4:$A$503=$A147)*('Checks'!$B$4:$B$503=D$4)*'Checks'!$D$4:$D$503))),""))</f>
        <v/>
      </c>
      <c r="E147" s="31">
        <f>IF(OR($A147="",E$4=""),"",IFERROR(1/(1/SUMPRODUCT(MAX(('Checks'!$A$4:$A$503=$A147)*('Checks'!$B$4:$B$503=E$4)*'Checks'!$D$4:$D$503))),""))</f>
        <v/>
      </c>
      <c r="F147" s="31">
        <f>IF(OR($A147="",F$4=""),"",IFERROR(1/(1/SUMPRODUCT(MAX(('Checks'!$A$4:$A$503=$A147)*('Checks'!$B$4:$B$503=F$4)*'Checks'!$D$4:$D$503))),""))</f>
        <v/>
      </c>
      <c r="G147" s="31">
        <f>IF(OR($A147="",G$4=""),"",IFERROR(1/(1/SUMPRODUCT(MAX(('Checks'!$A$4:$A$503=$A147)*('Checks'!$B$4:$B$503=G$4)*'Checks'!$D$4:$D$503))),""))</f>
        <v/>
      </c>
      <c r="H147" s="31">
        <f>IF(OR($A147="",H$4=""),"",IFERROR(1/(1/SUMPRODUCT(MAX(('Checks'!$A$4:$A$503=$A147)*('Checks'!$B$4:$B$503=H$4)*'Checks'!$D$4:$D$503))),""))</f>
        <v/>
      </c>
      <c r="I147" s="31">
        <f>IF(OR($A147="",I$4=""),"",IFERROR(1/(1/SUMPRODUCT(MAX(('Checks'!$A$4:$A$503=$A147)*('Checks'!$B$4:$B$503=I$4)*'Checks'!$D$4:$D$503))),""))</f>
        <v/>
      </c>
      <c r="J147" s="31">
        <f>IF(OR($A147="",J$4=""),"",IFERROR(1/(1/SUMPRODUCT(MAX(('Checks'!$A$4:$A$503=$A147)*('Checks'!$B$4:$B$503=J$4)*'Checks'!$D$4:$D$503))),""))</f>
        <v/>
      </c>
      <c r="K147" s="31">
        <f>IF(OR($A147="",K$4=""),"",IFERROR(1/(1/SUMPRODUCT(MAX(('Checks'!$A$4:$A$503=$A147)*('Checks'!$B$4:$B$503=K$4)*'Checks'!$D$4:$D$503))),""))</f>
        <v/>
      </c>
    </row>
    <row r="148">
      <c r="A148" s="30" t="n"/>
      <c r="B148" s="31">
        <f>IF(OR($A148="",B$4=""),"",IFERROR(1/(1/SUMPRODUCT(MAX(('Checks'!$A$4:$A$503=$A148)*('Checks'!$B$4:$B$503=B$4)*'Checks'!$D$4:$D$503))),""))</f>
        <v/>
      </c>
      <c r="C148" s="31">
        <f>IF(OR($A148="",C$4=""),"",IFERROR(1/(1/SUMPRODUCT(MAX(('Checks'!$A$4:$A$503=$A148)*('Checks'!$B$4:$B$503=C$4)*'Checks'!$D$4:$D$503))),""))</f>
        <v/>
      </c>
      <c r="D148" s="31">
        <f>IF(OR($A148="",D$4=""),"",IFERROR(1/(1/SUMPRODUCT(MAX(('Checks'!$A$4:$A$503=$A148)*('Checks'!$B$4:$B$503=D$4)*'Checks'!$D$4:$D$503))),""))</f>
        <v/>
      </c>
      <c r="E148" s="31">
        <f>IF(OR($A148="",E$4=""),"",IFERROR(1/(1/SUMPRODUCT(MAX(('Checks'!$A$4:$A$503=$A148)*('Checks'!$B$4:$B$503=E$4)*'Checks'!$D$4:$D$503))),""))</f>
        <v/>
      </c>
      <c r="F148" s="31">
        <f>IF(OR($A148="",F$4=""),"",IFERROR(1/(1/SUMPRODUCT(MAX(('Checks'!$A$4:$A$503=$A148)*('Checks'!$B$4:$B$503=F$4)*'Checks'!$D$4:$D$503))),""))</f>
        <v/>
      </c>
      <c r="G148" s="31">
        <f>IF(OR($A148="",G$4=""),"",IFERROR(1/(1/SUMPRODUCT(MAX(('Checks'!$A$4:$A$503=$A148)*('Checks'!$B$4:$B$503=G$4)*'Checks'!$D$4:$D$503))),""))</f>
        <v/>
      </c>
      <c r="H148" s="31">
        <f>IF(OR($A148="",H$4=""),"",IFERROR(1/(1/SUMPRODUCT(MAX(('Checks'!$A$4:$A$503=$A148)*('Checks'!$B$4:$B$503=H$4)*'Checks'!$D$4:$D$503))),""))</f>
        <v/>
      </c>
      <c r="I148" s="31">
        <f>IF(OR($A148="",I$4=""),"",IFERROR(1/(1/SUMPRODUCT(MAX(('Checks'!$A$4:$A$503=$A148)*('Checks'!$B$4:$B$503=I$4)*'Checks'!$D$4:$D$503))),""))</f>
        <v/>
      </c>
      <c r="J148" s="31">
        <f>IF(OR($A148="",J$4=""),"",IFERROR(1/(1/SUMPRODUCT(MAX(('Checks'!$A$4:$A$503=$A148)*('Checks'!$B$4:$B$503=J$4)*'Checks'!$D$4:$D$503))),""))</f>
        <v/>
      </c>
      <c r="K148" s="31">
        <f>IF(OR($A148="",K$4=""),"",IFERROR(1/(1/SUMPRODUCT(MAX(('Checks'!$A$4:$A$503=$A148)*('Checks'!$B$4:$B$503=K$4)*'Checks'!$D$4:$D$503))),""))</f>
        <v/>
      </c>
    </row>
    <row r="149">
      <c r="A149" s="30" t="n"/>
      <c r="B149" s="31">
        <f>IF(OR($A149="",B$4=""),"",IFERROR(1/(1/SUMPRODUCT(MAX(('Checks'!$A$4:$A$503=$A149)*('Checks'!$B$4:$B$503=B$4)*'Checks'!$D$4:$D$503))),""))</f>
        <v/>
      </c>
      <c r="C149" s="31">
        <f>IF(OR($A149="",C$4=""),"",IFERROR(1/(1/SUMPRODUCT(MAX(('Checks'!$A$4:$A$503=$A149)*('Checks'!$B$4:$B$503=C$4)*'Checks'!$D$4:$D$503))),""))</f>
        <v/>
      </c>
      <c r="D149" s="31">
        <f>IF(OR($A149="",D$4=""),"",IFERROR(1/(1/SUMPRODUCT(MAX(('Checks'!$A$4:$A$503=$A149)*('Checks'!$B$4:$B$503=D$4)*'Checks'!$D$4:$D$503))),""))</f>
        <v/>
      </c>
      <c r="E149" s="31">
        <f>IF(OR($A149="",E$4=""),"",IFERROR(1/(1/SUMPRODUCT(MAX(('Checks'!$A$4:$A$503=$A149)*('Checks'!$B$4:$B$503=E$4)*'Checks'!$D$4:$D$503))),""))</f>
        <v/>
      </c>
      <c r="F149" s="31">
        <f>IF(OR($A149="",F$4=""),"",IFERROR(1/(1/SUMPRODUCT(MAX(('Checks'!$A$4:$A$503=$A149)*('Checks'!$B$4:$B$503=F$4)*'Checks'!$D$4:$D$503))),""))</f>
        <v/>
      </c>
      <c r="G149" s="31">
        <f>IF(OR($A149="",G$4=""),"",IFERROR(1/(1/SUMPRODUCT(MAX(('Checks'!$A$4:$A$503=$A149)*('Checks'!$B$4:$B$503=G$4)*'Checks'!$D$4:$D$503))),""))</f>
        <v/>
      </c>
      <c r="H149" s="31">
        <f>IF(OR($A149="",H$4=""),"",IFERROR(1/(1/SUMPRODUCT(MAX(('Checks'!$A$4:$A$503=$A149)*('Checks'!$B$4:$B$503=H$4)*'Checks'!$D$4:$D$503))),""))</f>
        <v/>
      </c>
      <c r="I149" s="31">
        <f>IF(OR($A149="",I$4=""),"",IFERROR(1/(1/SUMPRODUCT(MAX(('Checks'!$A$4:$A$503=$A149)*('Checks'!$B$4:$B$503=I$4)*'Checks'!$D$4:$D$503))),""))</f>
        <v/>
      </c>
      <c r="J149" s="31">
        <f>IF(OR($A149="",J$4=""),"",IFERROR(1/(1/SUMPRODUCT(MAX(('Checks'!$A$4:$A$503=$A149)*('Checks'!$B$4:$B$503=J$4)*'Checks'!$D$4:$D$503))),""))</f>
        <v/>
      </c>
      <c r="K149" s="31">
        <f>IF(OR($A149="",K$4=""),"",IFERROR(1/(1/SUMPRODUCT(MAX(('Checks'!$A$4:$A$503=$A149)*('Checks'!$B$4:$B$503=K$4)*'Checks'!$D$4:$D$503))),""))</f>
        <v/>
      </c>
    </row>
    <row r="150">
      <c r="A150" s="30" t="n"/>
      <c r="B150" s="31">
        <f>IF(OR($A150="",B$4=""),"",IFERROR(1/(1/SUMPRODUCT(MAX(('Checks'!$A$4:$A$503=$A150)*('Checks'!$B$4:$B$503=B$4)*'Checks'!$D$4:$D$503))),""))</f>
        <v/>
      </c>
      <c r="C150" s="31">
        <f>IF(OR($A150="",C$4=""),"",IFERROR(1/(1/SUMPRODUCT(MAX(('Checks'!$A$4:$A$503=$A150)*('Checks'!$B$4:$B$503=C$4)*'Checks'!$D$4:$D$503))),""))</f>
        <v/>
      </c>
      <c r="D150" s="31">
        <f>IF(OR($A150="",D$4=""),"",IFERROR(1/(1/SUMPRODUCT(MAX(('Checks'!$A$4:$A$503=$A150)*('Checks'!$B$4:$B$503=D$4)*'Checks'!$D$4:$D$503))),""))</f>
        <v/>
      </c>
      <c r="E150" s="31">
        <f>IF(OR($A150="",E$4=""),"",IFERROR(1/(1/SUMPRODUCT(MAX(('Checks'!$A$4:$A$503=$A150)*('Checks'!$B$4:$B$503=E$4)*'Checks'!$D$4:$D$503))),""))</f>
        <v/>
      </c>
      <c r="F150" s="31">
        <f>IF(OR($A150="",F$4=""),"",IFERROR(1/(1/SUMPRODUCT(MAX(('Checks'!$A$4:$A$503=$A150)*('Checks'!$B$4:$B$503=F$4)*'Checks'!$D$4:$D$503))),""))</f>
        <v/>
      </c>
      <c r="G150" s="31">
        <f>IF(OR($A150="",G$4=""),"",IFERROR(1/(1/SUMPRODUCT(MAX(('Checks'!$A$4:$A$503=$A150)*('Checks'!$B$4:$B$503=G$4)*'Checks'!$D$4:$D$503))),""))</f>
        <v/>
      </c>
      <c r="H150" s="31">
        <f>IF(OR($A150="",H$4=""),"",IFERROR(1/(1/SUMPRODUCT(MAX(('Checks'!$A$4:$A$503=$A150)*('Checks'!$B$4:$B$503=H$4)*'Checks'!$D$4:$D$503))),""))</f>
        <v/>
      </c>
      <c r="I150" s="31">
        <f>IF(OR($A150="",I$4=""),"",IFERROR(1/(1/SUMPRODUCT(MAX(('Checks'!$A$4:$A$503=$A150)*('Checks'!$B$4:$B$503=I$4)*'Checks'!$D$4:$D$503))),""))</f>
        <v/>
      </c>
      <c r="J150" s="31">
        <f>IF(OR($A150="",J$4=""),"",IFERROR(1/(1/SUMPRODUCT(MAX(('Checks'!$A$4:$A$503=$A150)*('Checks'!$B$4:$B$503=J$4)*'Checks'!$D$4:$D$503))),""))</f>
        <v/>
      </c>
      <c r="K150" s="31">
        <f>IF(OR($A150="",K$4=""),"",IFERROR(1/(1/SUMPRODUCT(MAX(('Checks'!$A$4:$A$503=$A150)*('Checks'!$B$4:$B$503=K$4)*'Checks'!$D$4:$D$503))),""))</f>
        <v/>
      </c>
    </row>
    <row r="151">
      <c r="A151" s="30" t="n"/>
      <c r="B151" s="31">
        <f>IF(OR($A151="",B$4=""),"",IFERROR(1/(1/SUMPRODUCT(MAX(('Checks'!$A$4:$A$503=$A151)*('Checks'!$B$4:$B$503=B$4)*'Checks'!$D$4:$D$503))),""))</f>
        <v/>
      </c>
      <c r="C151" s="31">
        <f>IF(OR($A151="",C$4=""),"",IFERROR(1/(1/SUMPRODUCT(MAX(('Checks'!$A$4:$A$503=$A151)*('Checks'!$B$4:$B$503=C$4)*'Checks'!$D$4:$D$503))),""))</f>
        <v/>
      </c>
      <c r="D151" s="31">
        <f>IF(OR($A151="",D$4=""),"",IFERROR(1/(1/SUMPRODUCT(MAX(('Checks'!$A$4:$A$503=$A151)*('Checks'!$B$4:$B$503=D$4)*'Checks'!$D$4:$D$503))),""))</f>
        <v/>
      </c>
      <c r="E151" s="31">
        <f>IF(OR($A151="",E$4=""),"",IFERROR(1/(1/SUMPRODUCT(MAX(('Checks'!$A$4:$A$503=$A151)*('Checks'!$B$4:$B$503=E$4)*'Checks'!$D$4:$D$503))),""))</f>
        <v/>
      </c>
      <c r="F151" s="31">
        <f>IF(OR($A151="",F$4=""),"",IFERROR(1/(1/SUMPRODUCT(MAX(('Checks'!$A$4:$A$503=$A151)*('Checks'!$B$4:$B$503=F$4)*'Checks'!$D$4:$D$503))),""))</f>
        <v/>
      </c>
      <c r="G151" s="31">
        <f>IF(OR($A151="",G$4=""),"",IFERROR(1/(1/SUMPRODUCT(MAX(('Checks'!$A$4:$A$503=$A151)*('Checks'!$B$4:$B$503=G$4)*'Checks'!$D$4:$D$503))),""))</f>
        <v/>
      </c>
      <c r="H151" s="31">
        <f>IF(OR($A151="",H$4=""),"",IFERROR(1/(1/SUMPRODUCT(MAX(('Checks'!$A$4:$A$503=$A151)*('Checks'!$B$4:$B$503=H$4)*'Checks'!$D$4:$D$503))),""))</f>
        <v/>
      </c>
      <c r="I151" s="31">
        <f>IF(OR($A151="",I$4=""),"",IFERROR(1/(1/SUMPRODUCT(MAX(('Checks'!$A$4:$A$503=$A151)*('Checks'!$B$4:$B$503=I$4)*'Checks'!$D$4:$D$503))),""))</f>
        <v/>
      </c>
      <c r="J151" s="31">
        <f>IF(OR($A151="",J$4=""),"",IFERROR(1/(1/SUMPRODUCT(MAX(('Checks'!$A$4:$A$503=$A151)*('Checks'!$B$4:$B$503=J$4)*'Checks'!$D$4:$D$503))),""))</f>
        <v/>
      </c>
      <c r="K151" s="31">
        <f>IF(OR($A151="",K$4=""),"",IFERROR(1/(1/SUMPRODUCT(MAX(('Checks'!$A$4:$A$503=$A151)*('Checks'!$B$4:$B$503=K$4)*'Checks'!$D$4:$D$503))),""))</f>
        <v/>
      </c>
    </row>
    <row r="152">
      <c r="A152" s="30" t="n"/>
      <c r="B152" s="31">
        <f>IF(OR($A152="",B$4=""),"",IFERROR(1/(1/SUMPRODUCT(MAX(('Checks'!$A$4:$A$503=$A152)*('Checks'!$B$4:$B$503=B$4)*'Checks'!$D$4:$D$503))),""))</f>
        <v/>
      </c>
      <c r="C152" s="31">
        <f>IF(OR($A152="",C$4=""),"",IFERROR(1/(1/SUMPRODUCT(MAX(('Checks'!$A$4:$A$503=$A152)*('Checks'!$B$4:$B$503=C$4)*'Checks'!$D$4:$D$503))),""))</f>
        <v/>
      </c>
      <c r="D152" s="31">
        <f>IF(OR($A152="",D$4=""),"",IFERROR(1/(1/SUMPRODUCT(MAX(('Checks'!$A$4:$A$503=$A152)*('Checks'!$B$4:$B$503=D$4)*'Checks'!$D$4:$D$503))),""))</f>
        <v/>
      </c>
      <c r="E152" s="31">
        <f>IF(OR($A152="",E$4=""),"",IFERROR(1/(1/SUMPRODUCT(MAX(('Checks'!$A$4:$A$503=$A152)*('Checks'!$B$4:$B$503=E$4)*'Checks'!$D$4:$D$503))),""))</f>
        <v/>
      </c>
      <c r="F152" s="31">
        <f>IF(OR($A152="",F$4=""),"",IFERROR(1/(1/SUMPRODUCT(MAX(('Checks'!$A$4:$A$503=$A152)*('Checks'!$B$4:$B$503=F$4)*'Checks'!$D$4:$D$503))),""))</f>
        <v/>
      </c>
      <c r="G152" s="31">
        <f>IF(OR($A152="",G$4=""),"",IFERROR(1/(1/SUMPRODUCT(MAX(('Checks'!$A$4:$A$503=$A152)*('Checks'!$B$4:$B$503=G$4)*'Checks'!$D$4:$D$503))),""))</f>
        <v/>
      </c>
      <c r="H152" s="31">
        <f>IF(OR($A152="",H$4=""),"",IFERROR(1/(1/SUMPRODUCT(MAX(('Checks'!$A$4:$A$503=$A152)*('Checks'!$B$4:$B$503=H$4)*'Checks'!$D$4:$D$503))),""))</f>
        <v/>
      </c>
      <c r="I152" s="31">
        <f>IF(OR($A152="",I$4=""),"",IFERROR(1/(1/SUMPRODUCT(MAX(('Checks'!$A$4:$A$503=$A152)*('Checks'!$B$4:$B$503=I$4)*'Checks'!$D$4:$D$503))),""))</f>
        <v/>
      </c>
      <c r="J152" s="31">
        <f>IF(OR($A152="",J$4=""),"",IFERROR(1/(1/SUMPRODUCT(MAX(('Checks'!$A$4:$A$503=$A152)*('Checks'!$B$4:$B$503=J$4)*'Checks'!$D$4:$D$503))),""))</f>
        <v/>
      </c>
      <c r="K152" s="31">
        <f>IF(OR($A152="",K$4=""),"",IFERROR(1/(1/SUMPRODUCT(MAX(('Checks'!$A$4:$A$503=$A152)*('Checks'!$B$4:$B$503=K$4)*'Checks'!$D$4:$D$503))),""))</f>
        <v/>
      </c>
    </row>
    <row r="153">
      <c r="A153" s="30" t="n"/>
      <c r="B153" s="31">
        <f>IF(OR($A153="",B$4=""),"",IFERROR(1/(1/SUMPRODUCT(MAX(('Checks'!$A$4:$A$503=$A153)*('Checks'!$B$4:$B$503=B$4)*'Checks'!$D$4:$D$503))),""))</f>
        <v/>
      </c>
      <c r="C153" s="31">
        <f>IF(OR($A153="",C$4=""),"",IFERROR(1/(1/SUMPRODUCT(MAX(('Checks'!$A$4:$A$503=$A153)*('Checks'!$B$4:$B$503=C$4)*'Checks'!$D$4:$D$503))),""))</f>
        <v/>
      </c>
      <c r="D153" s="31">
        <f>IF(OR($A153="",D$4=""),"",IFERROR(1/(1/SUMPRODUCT(MAX(('Checks'!$A$4:$A$503=$A153)*('Checks'!$B$4:$B$503=D$4)*'Checks'!$D$4:$D$503))),""))</f>
        <v/>
      </c>
      <c r="E153" s="31">
        <f>IF(OR($A153="",E$4=""),"",IFERROR(1/(1/SUMPRODUCT(MAX(('Checks'!$A$4:$A$503=$A153)*('Checks'!$B$4:$B$503=E$4)*'Checks'!$D$4:$D$503))),""))</f>
        <v/>
      </c>
      <c r="F153" s="31">
        <f>IF(OR($A153="",F$4=""),"",IFERROR(1/(1/SUMPRODUCT(MAX(('Checks'!$A$4:$A$503=$A153)*('Checks'!$B$4:$B$503=F$4)*'Checks'!$D$4:$D$503))),""))</f>
        <v/>
      </c>
      <c r="G153" s="31">
        <f>IF(OR($A153="",G$4=""),"",IFERROR(1/(1/SUMPRODUCT(MAX(('Checks'!$A$4:$A$503=$A153)*('Checks'!$B$4:$B$503=G$4)*'Checks'!$D$4:$D$503))),""))</f>
        <v/>
      </c>
      <c r="H153" s="31">
        <f>IF(OR($A153="",H$4=""),"",IFERROR(1/(1/SUMPRODUCT(MAX(('Checks'!$A$4:$A$503=$A153)*('Checks'!$B$4:$B$503=H$4)*'Checks'!$D$4:$D$503))),""))</f>
        <v/>
      </c>
      <c r="I153" s="31">
        <f>IF(OR($A153="",I$4=""),"",IFERROR(1/(1/SUMPRODUCT(MAX(('Checks'!$A$4:$A$503=$A153)*('Checks'!$B$4:$B$503=I$4)*'Checks'!$D$4:$D$503))),""))</f>
        <v/>
      </c>
      <c r="J153" s="31">
        <f>IF(OR($A153="",J$4=""),"",IFERROR(1/(1/SUMPRODUCT(MAX(('Checks'!$A$4:$A$503=$A153)*('Checks'!$B$4:$B$503=J$4)*'Checks'!$D$4:$D$503))),""))</f>
        <v/>
      </c>
      <c r="K153" s="31">
        <f>IF(OR($A153="",K$4=""),"",IFERROR(1/(1/SUMPRODUCT(MAX(('Checks'!$A$4:$A$503=$A153)*('Checks'!$B$4:$B$503=K$4)*'Checks'!$D$4:$D$503))),""))</f>
        <v/>
      </c>
    </row>
    <row r="154">
      <c r="A154" s="30" t="n"/>
      <c r="B154" s="31">
        <f>IF(OR($A154="",B$4=""),"",IFERROR(1/(1/SUMPRODUCT(MAX(('Checks'!$A$4:$A$503=$A154)*('Checks'!$B$4:$B$503=B$4)*'Checks'!$D$4:$D$503))),""))</f>
        <v/>
      </c>
      <c r="C154" s="31">
        <f>IF(OR($A154="",C$4=""),"",IFERROR(1/(1/SUMPRODUCT(MAX(('Checks'!$A$4:$A$503=$A154)*('Checks'!$B$4:$B$503=C$4)*'Checks'!$D$4:$D$503))),""))</f>
        <v/>
      </c>
      <c r="D154" s="31">
        <f>IF(OR($A154="",D$4=""),"",IFERROR(1/(1/SUMPRODUCT(MAX(('Checks'!$A$4:$A$503=$A154)*('Checks'!$B$4:$B$503=D$4)*'Checks'!$D$4:$D$503))),""))</f>
        <v/>
      </c>
      <c r="E154" s="31">
        <f>IF(OR($A154="",E$4=""),"",IFERROR(1/(1/SUMPRODUCT(MAX(('Checks'!$A$4:$A$503=$A154)*('Checks'!$B$4:$B$503=E$4)*'Checks'!$D$4:$D$503))),""))</f>
        <v/>
      </c>
      <c r="F154" s="31">
        <f>IF(OR($A154="",F$4=""),"",IFERROR(1/(1/SUMPRODUCT(MAX(('Checks'!$A$4:$A$503=$A154)*('Checks'!$B$4:$B$503=F$4)*'Checks'!$D$4:$D$503))),""))</f>
        <v/>
      </c>
      <c r="G154" s="31">
        <f>IF(OR($A154="",G$4=""),"",IFERROR(1/(1/SUMPRODUCT(MAX(('Checks'!$A$4:$A$503=$A154)*('Checks'!$B$4:$B$503=G$4)*'Checks'!$D$4:$D$503))),""))</f>
        <v/>
      </c>
      <c r="H154" s="31">
        <f>IF(OR($A154="",H$4=""),"",IFERROR(1/(1/SUMPRODUCT(MAX(('Checks'!$A$4:$A$503=$A154)*('Checks'!$B$4:$B$503=H$4)*'Checks'!$D$4:$D$503))),""))</f>
        <v/>
      </c>
      <c r="I154" s="31">
        <f>IF(OR($A154="",I$4=""),"",IFERROR(1/(1/SUMPRODUCT(MAX(('Checks'!$A$4:$A$503=$A154)*('Checks'!$B$4:$B$503=I$4)*'Checks'!$D$4:$D$503))),""))</f>
        <v/>
      </c>
      <c r="J154" s="31">
        <f>IF(OR($A154="",J$4=""),"",IFERROR(1/(1/SUMPRODUCT(MAX(('Checks'!$A$4:$A$503=$A154)*('Checks'!$B$4:$B$503=J$4)*'Checks'!$D$4:$D$503))),""))</f>
        <v/>
      </c>
      <c r="K154" s="31">
        <f>IF(OR($A154="",K$4=""),"",IFERROR(1/(1/SUMPRODUCT(MAX(('Checks'!$A$4:$A$503=$A154)*('Checks'!$B$4:$B$503=K$4)*'Checks'!$D$4:$D$503))),""))</f>
        <v/>
      </c>
    </row>
  </sheetData>
  <conditionalFormatting sqref="B5:K154">
    <cfRule type="expression" priority="1" dxfId="0" stopIfTrue="1">
      <formula>AND(ISNUMBER(B5),B5&lt;TODAY())</formula>
    </cfRule>
    <cfRule type="expression" priority="2" dxfId="1" stopIfTrue="1">
      <formula>AND(ISNUMBER(B5),B5&lt;=TODAY()+30)</formula>
    </cfRule>
    <cfRule type="expression" priority="3" dxfId="2" stopIfTrue="1">
      <formula>AND(ISNUMBER(B5),B5&lt;=TODAY()+90)</formula>
    </cfRule>
    <cfRule type="expression" priority="4" dxfId="3" stopIfTrue="1">
      <formula>ISNUMBER(B5)</formula>
    </cfRule>
  </conditionalFormatting>
  <conditionalFormatting sqref="A5:A154">
    <cfRule type="expression" priority="5" dxfId="4">
      <formula>LEFT($A5,9)="Example –"</formula>
    </cfRule>
  </conditionalFormatting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G2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5" customWidth="1" min="4" max="4"/>
    <col width="10" customWidth="1" min="5" max="5"/>
    <col width="15" customWidth="1" min="6" max="6"/>
    <col width="28" customWidth="1" min="7" max="7"/>
    <col width="6" customWidth="1" min="8" max="8"/>
  </cols>
  <sheetData>
    <row r="1">
      <c r="B1" s="32" t="inlineStr">
        <is>
          <t>Dashboard</t>
        </is>
      </c>
    </row>
    <row r="2">
      <c r="B2" s="3" t="inlineStr">
        <is>
          <t>As of</t>
        </is>
      </c>
      <c r="C2" s="33">
        <f>TODAY()</f>
        <v/>
      </c>
    </row>
    <row r="4">
      <c r="B4" s="34" t="inlineStr">
        <is>
          <t>Where things stand</t>
        </is>
      </c>
    </row>
    <row r="5">
      <c r="B5" s="35" t="n"/>
      <c r="C5" s="36" t="inlineStr">
        <is>
          <t>Status</t>
        </is>
      </c>
      <c r="D5" s="37" t="inlineStr">
        <is>
          <t>Checks</t>
        </is>
      </c>
    </row>
    <row r="6">
      <c r="C6" s="38" t="inlineStr">
        <is>
          <t>Expired</t>
        </is>
      </c>
      <c r="D6" s="39">
        <f>COUNTIF('Checks'!$H$4:$H$503,"Expired")</f>
        <v/>
      </c>
    </row>
    <row r="7">
      <c r="C7" s="40" t="inlineStr">
        <is>
          <t>Due ≤30 days</t>
        </is>
      </c>
      <c r="D7" s="39">
        <f>COUNTIF('Checks'!$H$4:$H$503,"Due ≤30 days")</f>
        <v/>
      </c>
    </row>
    <row r="8">
      <c r="C8" s="41" t="inlineStr">
        <is>
          <t>Due ≤90 days</t>
        </is>
      </c>
      <c r="D8" s="39">
        <f>COUNTIF('Checks'!$H$4:$H$503,"Due ≤90 days")</f>
        <v/>
      </c>
    </row>
    <row r="9">
      <c r="C9" s="42" t="inlineStr">
        <is>
          <t>OK</t>
        </is>
      </c>
      <c r="D9" s="39">
        <f>COUNTIF('Checks'!$H$4:$H$503,"OK")</f>
        <v/>
      </c>
    </row>
    <row r="10">
      <c r="C10" s="30" t="inlineStr">
        <is>
          <t>Date missing or not a date</t>
        </is>
      </c>
      <c r="D10" s="39">
        <f>SUMPRODUCT((LEN('Checks'!$A$4:$A$503)&gt;0)*(ISNUMBER('Checks'!$D$4:$D$503)=FALSE))</f>
        <v/>
      </c>
    </row>
    <row r="11">
      <c r="C11" s="30" t="inlineStr">
        <is>
          <t>Total rows</t>
        </is>
      </c>
      <c r="D11" s="39">
        <f>COUNTIF('Checks'!$A$4:$A$503,"?*")</f>
        <v/>
      </c>
    </row>
    <row r="12">
      <c r="C12" s="3" t="inlineStr">
        <is>
          <t>Status is calculated from the expiry / next due. Counts update every time the file recalculates.</t>
        </is>
      </c>
    </row>
    <row r="14">
      <c r="B14" s="34" t="inlineStr">
        <is>
          <t>Next 10 due</t>
        </is>
      </c>
    </row>
    <row r="15">
      <c r="B15" s="13" t="inlineStr">
        <is>
          <t>#</t>
        </is>
      </c>
      <c r="C15" s="13" t="inlineStr">
        <is>
          <t>Item</t>
        </is>
      </c>
      <c r="D15" s="13" t="inlineStr">
        <is>
          <t>Expiry / next due</t>
        </is>
      </c>
      <c r="E15" s="13" t="inlineStr">
        <is>
          <t>Days left</t>
        </is>
      </c>
      <c r="F15" s="13" t="inlineStr">
        <is>
          <t>Status</t>
        </is>
      </c>
      <c r="G15" s="13" t="inlineStr">
        <is>
          <t>Owner email</t>
        </is>
      </c>
    </row>
    <row r="16">
      <c r="B16" s="43" t="n">
        <v>1</v>
      </c>
      <c r="C16" s="44">
        <f>IF(_calc!$D$4="","",INDEX('Checks'!$B$4:$B$503,_calc!$D$4)&amp;" – "&amp;INDEX('Checks'!$A$4:$A$503,_calc!$D$4))</f>
        <v/>
      </c>
      <c r="D16" s="45">
        <f>IF(_calc!$C$4="","",INT(_calc!$C$4))</f>
        <v/>
      </c>
      <c r="E16" s="46">
        <f>IF(_calc!$C$4="","",INT(_calc!$C$4)-TODAY())</f>
        <v/>
      </c>
      <c r="F16" s="30">
        <f>IF(E16="","",IF(E16&lt;0,"Expired",IF(E16&lt;=30,"Due ≤30 days",IF(E16&lt;=90,"Due ≤90 days","OK"))))</f>
        <v/>
      </c>
      <c r="G16" s="44">
        <f>IF(_calc!$D$4="","",IF(LEN(INDEX('Checks'!$M$4:$M$503,_calc!$D$4))=0,"",INDEX('Checks'!$M$4:$M$503,_calc!$D$4)))</f>
        <v/>
      </c>
    </row>
    <row r="17">
      <c r="B17" s="43" t="n">
        <v>2</v>
      </c>
      <c r="C17" s="44">
        <f>IF(_calc!$D$5="","",INDEX('Checks'!$B$4:$B$503,_calc!$D$5)&amp;" – "&amp;INDEX('Checks'!$A$4:$A$503,_calc!$D$5))</f>
        <v/>
      </c>
      <c r="D17" s="45">
        <f>IF(_calc!$C$5="","",INT(_calc!$C$5))</f>
        <v/>
      </c>
      <c r="E17" s="46">
        <f>IF(_calc!$C$5="","",INT(_calc!$C$5)-TODAY())</f>
        <v/>
      </c>
      <c r="F17" s="30">
        <f>IF(E17="","",IF(E17&lt;0,"Expired",IF(E17&lt;=30,"Due ≤30 days",IF(E17&lt;=90,"Due ≤90 days","OK"))))</f>
        <v/>
      </c>
      <c r="G17" s="44">
        <f>IF(_calc!$D$5="","",IF(LEN(INDEX('Checks'!$M$4:$M$503,_calc!$D$5))=0,"",INDEX('Checks'!$M$4:$M$503,_calc!$D$5)))</f>
        <v/>
      </c>
    </row>
    <row r="18">
      <c r="B18" s="43" t="n">
        <v>3</v>
      </c>
      <c r="C18" s="44">
        <f>IF(_calc!$D$6="","",INDEX('Checks'!$B$4:$B$503,_calc!$D$6)&amp;" – "&amp;INDEX('Checks'!$A$4:$A$503,_calc!$D$6))</f>
        <v/>
      </c>
      <c r="D18" s="45">
        <f>IF(_calc!$C$6="","",INT(_calc!$C$6))</f>
        <v/>
      </c>
      <c r="E18" s="46">
        <f>IF(_calc!$C$6="","",INT(_calc!$C$6)-TODAY())</f>
        <v/>
      </c>
      <c r="F18" s="30">
        <f>IF(E18="","",IF(E18&lt;0,"Expired",IF(E18&lt;=30,"Due ≤30 days",IF(E18&lt;=90,"Due ≤90 days","OK"))))</f>
        <v/>
      </c>
      <c r="G18" s="44">
        <f>IF(_calc!$D$6="","",IF(LEN(INDEX('Checks'!$M$4:$M$503,_calc!$D$6))=0,"",INDEX('Checks'!$M$4:$M$503,_calc!$D$6)))</f>
        <v/>
      </c>
    </row>
    <row r="19">
      <c r="B19" s="43" t="n">
        <v>4</v>
      </c>
      <c r="C19" s="44">
        <f>IF(_calc!$D$7="","",INDEX('Checks'!$B$4:$B$503,_calc!$D$7)&amp;" – "&amp;INDEX('Checks'!$A$4:$A$503,_calc!$D$7))</f>
        <v/>
      </c>
      <c r="D19" s="45">
        <f>IF(_calc!$C$7="","",INT(_calc!$C$7))</f>
        <v/>
      </c>
      <c r="E19" s="46">
        <f>IF(_calc!$C$7="","",INT(_calc!$C$7)-TODAY())</f>
        <v/>
      </c>
      <c r="F19" s="30">
        <f>IF(E19="","",IF(E19&lt;0,"Expired",IF(E19&lt;=30,"Due ≤30 days",IF(E19&lt;=90,"Due ≤90 days","OK"))))</f>
        <v/>
      </c>
      <c r="G19" s="44">
        <f>IF(_calc!$D$7="","",IF(LEN(INDEX('Checks'!$M$4:$M$503,_calc!$D$7))=0,"",INDEX('Checks'!$M$4:$M$503,_calc!$D$7)))</f>
        <v/>
      </c>
    </row>
    <row r="20">
      <c r="B20" s="43" t="n">
        <v>5</v>
      </c>
      <c r="C20" s="44">
        <f>IF(_calc!$D$8="","",INDEX('Checks'!$B$4:$B$503,_calc!$D$8)&amp;" – "&amp;INDEX('Checks'!$A$4:$A$503,_calc!$D$8))</f>
        <v/>
      </c>
      <c r="D20" s="45">
        <f>IF(_calc!$C$8="","",INT(_calc!$C$8))</f>
        <v/>
      </c>
      <c r="E20" s="46">
        <f>IF(_calc!$C$8="","",INT(_calc!$C$8)-TODAY())</f>
        <v/>
      </c>
      <c r="F20" s="30">
        <f>IF(E20="","",IF(E20&lt;0,"Expired",IF(E20&lt;=30,"Due ≤30 days",IF(E20&lt;=90,"Due ≤90 days","OK"))))</f>
        <v/>
      </c>
      <c r="G20" s="44">
        <f>IF(_calc!$D$8="","",IF(LEN(INDEX('Checks'!$M$4:$M$503,_calc!$D$8))=0,"",INDEX('Checks'!$M$4:$M$503,_calc!$D$8)))</f>
        <v/>
      </c>
    </row>
    <row r="21">
      <c r="B21" s="43" t="n">
        <v>6</v>
      </c>
      <c r="C21" s="44">
        <f>IF(_calc!$D$9="","",INDEX('Checks'!$B$4:$B$503,_calc!$D$9)&amp;" – "&amp;INDEX('Checks'!$A$4:$A$503,_calc!$D$9))</f>
        <v/>
      </c>
      <c r="D21" s="45">
        <f>IF(_calc!$C$9="","",INT(_calc!$C$9))</f>
        <v/>
      </c>
      <c r="E21" s="46">
        <f>IF(_calc!$C$9="","",INT(_calc!$C$9)-TODAY())</f>
        <v/>
      </c>
      <c r="F21" s="30">
        <f>IF(E21="","",IF(E21&lt;0,"Expired",IF(E21&lt;=30,"Due ≤30 days",IF(E21&lt;=90,"Due ≤90 days","OK"))))</f>
        <v/>
      </c>
      <c r="G21" s="44">
        <f>IF(_calc!$D$9="","",IF(LEN(INDEX('Checks'!$M$4:$M$503,_calc!$D$9))=0,"",INDEX('Checks'!$M$4:$M$503,_calc!$D$9)))</f>
        <v/>
      </c>
    </row>
    <row r="22">
      <c r="B22" s="43" t="n">
        <v>7</v>
      </c>
      <c r="C22" s="44">
        <f>IF(_calc!$D$10="","",INDEX('Checks'!$B$4:$B$503,_calc!$D$10)&amp;" – "&amp;INDEX('Checks'!$A$4:$A$503,_calc!$D$10))</f>
        <v/>
      </c>
      <c r="D22" s="45">
        <f>IF(_calc!$C$10="","",INT(_calc!$C$10))</f>
        <v/>
      </c>
      <c r="E22" s="46">
        <f>IF(_calc!$C$10="","",INT(_calc!$C$10)-TODAY())</f>
        <v/>
      </c>
      <c r="F22" s="30">
        <f>IF(E22="","",IF(E22&lt;0,"Expired",IF(E22&lt;=30,"Due ≤30 days",IF(E22&lt;=90,"Due ≤90 days","OK"))))</f>
        <v/>
      </c>
      <c r="G22" s="44">
        <f>IF(_calc!$D$10="","",IF(LEN(INDEX('Checks'!$M$4:$M$503,_calc!$D$10))=0,"",INDEX('Checks'!$M$4:$M$503,_calc!$D$10)))</f>
        <v/>
      </c>
    </row>
    <row r="23">
      <c r="B23" s="43" t="n">
        <v>8</v>
      </c>
      <c r="C23" s="44">
        <f>IF(_calc!$D$11="","",INDEX('Checks'!$B$4:$B$503,_calc!$D$11)&amp;" – "&amp;INDEX('Checks'!$A$4:$A$503,_calc!$D$11))</f>
        <v/>
      </c>
      <c r="D23" s="45">
        <f>IF(_calc!$C$11="","",INT(_calc!$C$11))</f>
        <v/>
      </c>
      <c r="E23" s="46">
        <f>IF(_calc!$C$11="","",INT(_calc!$C$11)-TODAY())</f>
        <v/>
      </c>
      <c r="F23" s="30">
        <f>IF(E23="","",IF(E23&lt;0,"Expired",IF(E23&lt;=30,"Due ≤30 days",IF(E23&lt;=90,"Due ≤90 days","OK"))))</f>
        <v/>
      </c>
      <c r="G23" s="44">
        <f>IF(_calc!$D$11="","",IF(LEN(INDEX('Checks'!$M$4:$M$503,_calc!$D$11))=0,"",INDEX('Checks'!$M$4:$M$503,_calc!$D$11)))</f>
        <v/>
      </c>
    </row>
    <row r="24">
      <c r="B24" s="43" t="n">
        <v>9</v>
      </c>
      <c r="C24" s="44">
        <f>IF(_calc!$D$12="","",INDEX('Checks'!$B$4:$B$503,_calc!$D$12)&amp;" – "&amp;INDEX('Checks'!$A$4:$A$503,_calc!$D$12))</f>
        <v/>
      </c>
      <c r="D24" s="45">
        <f>IF(_calc!$C$12="","",INT(_calc!$C$12))</f>
        <v/>
      </c>
      <c r="E24" s="46">
        <f>IF(_calc!$C$12="","",INT(_calc!$C$12)-TODAY())</f>
        <v/>
      </c>
      <c r="F24" s="30">
        <f>IF(E24="","",IF(E24&lt;0,"Expired",IF(E24&lt;=30,"Due ≤30 days",IF(E24&lt;=90,"Due ≤90 days","OK"))))</f>
        <v/>
      </c>
      <c r="G24" s="44">
        <f>IF(_calc!$D$12="","",IF(LEN(INDEX('Checks'!$M$4:$M$503,_calc!$D$12))=0,"",INDEX('Checks'!$M$4:$M$503,_calc!$D$12)))</f>
        <v/>
      </c>
    </row>
    <row r="25">
      <c r="B25" s="43" t="n">
        <v>10</v>
      </c>
      <c r="C25" s="44">
        <f>IF(_calc!$D$13="","",INDEX('Checks'!$B$4:$B$503,_calc!$D$13)&amp;" – "&amp;INDEX('Checks'!$A$4:$A$503,_calc!$D$13))</f>
        <v/>
      </c>
      <c r="D25" s="45">
        <f>IF(_calc!$C$13="","",INT(_calc!$C$13))</f>
        <v/>
      </c>
      <c r="E25" s="46">
        <f>IF(_calc!$C$13="","",INT(_calc!$C$13)-TODAY())</f>
        <v/>
      </c>
      <c r="F25" s="30">
        <f>IF(E25="","",IF(E25&lt;0,"Expired",IF(E25&lt;=30,"Due ≤30 days",IF(E25&lt;=90,"Due ≤90 days","OK"))))</f>
        <v/>
      </c>
      <c r="G25" s="44">
        <f>IF(_calc!$D$13="","",IF(LEN(INDEX('Checks'!$M$4:$M$503,_calc!$D$13))=0,"",INDEX('Checks'!$M$4:$M$503,_calc!$D$13)))</f>
        <v/>
      </c>
    </row>
    <row r="26">
      <c r="C26" s="3" t="inlineStr">
        <is>
          <t>Earliest dates first, including anything already expired.</t>
        </is>
      </c>
    </row>
    <row r="27">
      <c r="C27" s="3" t="inlineStr">
        <is>
          <t>Made by ExpiryEdge · expiryedge.com</t>
        </is>
      </c>
    </row>
  </sheetData>
  <conditionalFormatting sqref="D16:F25">
    <cfRule type="expression" priority="1" dxfId="0" stopIfTrue="1">
      <formula>AND(ISNUMBER($E16),$E16&lt;0)</formula>
    </cfRule>
    <cfRule type="expression" priority="2" dxfId="1" stopIfTrue="1">
      <formula>AND(ISNUMBER($E16),$E16&lt;=30)</formula>
    </cfRule>
    <cfRule type="expression" priority="3" dxfId="2" stopIfTrue="1">
      <formula>AND(ISNUMBER($E16),$E16&lt;=90)</formula>
    </cfRule>
    <cfRule type="expression" priority="4" dxfId="3" stopIfTrue="1">
      <formula>ISNUMBER($E16)</formula>
    </cfRule>
  </conditionalFormatting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5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8" customWidth="1" min="3" max="3"/>
    <col width="13" customWidth="1" min="4" max="4"/>
    <col width="13" customWidth="1" min="5" max="5"/>
    <col width="60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47">
        <f>IF(_calc!$E$4="","",IF(LEN(INDEX('Checks'!$B$4:$B$503,_calc!$E$4))=0,"",INDEX('Checks'!$B$4:$B$503,_calc!$E$4))&amp;" – "&amp;IF(LEN(INDEX('Checks'!$A$4:$A$503,_calc!$E$4))=0,"",INDEX('Checks'!$A$4:$A$503,_calc!$E$4)))</f>
        <v/>
      </c>
      <c r="B2" s="47">
        <f>IF(_calc!$E$4="","",IF(ISNUMBER(INDEX('Checks'!$D$4:$D$503,_calc!$E$4)),TEXT(INDEX('Checks'!$D$4:$D$503,_calc!$E$4),"yyyy-mm-dd"),""))</f>
        <v/>
      </c>
      <c r="C2" s="47">
        <f>IF(_calc!$E$4="","",IF(LEN(INDEX('Checks'!$B$4:$B$503,_calc!$E$4))=0,"",INDEX('Checks'!$B$4:$B$503,_calc!$E$4)))</f>
        <v/>
      </c>
      <c r="D2" s="47">
        <f>IF(_calc!$E$4="","",IF(ISNUMBER(INDEX('Checks'!$C$4:$C$503,_calc!$E$4)),TEXT(INDEX('Checks'!$C$4:$C$503,_calc!$E$4),"yyyy-mm-dd"),""))</f>
        <v/>
      </c>
      <c r="E2" s="47">
        <f>IF(_calc!$E$4="","",IF(LEN(INDEX('Checks'!$L$4:$L$503,_calc!$E$4))=0,"",INDEX('Checks'!$L$4:$L$503,_calc!$E$4)))</f>
        <v/>
      </c>
      <c r="F2" s="47">
        <f>IF(_calc!$E$4="","",TRIM(IF(LEN(IF(LEN(INDEX('Checks'!$I$4:$I$503,_calc!$E$4))=0,"",INDEX('Checks'!$I$4:$I$503,_calc!$E$4)))=0,"","Contractor: "&amp;IF(LEN(INDEX('Checks'!$I$4:$I$503,_calc!$E$4))=0,"",INDEX('Checks'!$I$4:$I$503,_calc!$E$4))&amp;". ")&amp;IF(LEN(IF(LEN(INDEX('Checks'!$J$4:$J$503,_calc!$E$4))=0,"",INDEX('Checks'!$J$4:$J$503,_calc!$E$4)))=0,"","Ref: "&amp;IF(LEN(INDEX('Checks'!$J$4:$J$503,_calc!$E$4))=0,"",INDEX('Checks'!$J$4:$J$503,_calc!$E$4))&amp;". ")&amp;IF(LEN(IF(ISNUMBER(INDEX('Checks'!$K$4:$K$503,_calc!$E$4)),TEXT(INDEX('Checks'!$K$4:$K$503,_calc!$E$4),"yyyy-mm-dd"),""))=0,"","Copy to tenant: "&amp;IF(ISNUMBER(INDEX('Checks'!$K$4:$K$503,_calc!$E$4)),TEXT(INDEX('Checks'!$K$4:$K$503,_calc!$E$4),"yyyy-mm-dd"),"")&amp;". ")&amp;IF(LEN(IF(LEN(INDEX('Checks'!$P$4:$P$503,_calc!$E$4))=0,"",INDEX('Checks'!$P$4:$P$503,_calc!$E$4)))=0,"",IF(LEN(INDEX('Checks'!$P$4:$P$503,_calc!$E$4))=0,"",INDEX('Checks'!$P$4:$P$503,_calc!$E$4)))))</f>
        <v/>
      </c>
      <c r="G2" s="47">
        <f>IF(_calc!$E$4="","",IF(LEN(INDEX('Checks'!$N$4:$N$503,_calc!$E$4))=0,"",INDEX('Checks'!$N$4:$N$503,_calc!$E$4)))</f>
        <v/>
      </c>
      <c r="K2" s="47">
        <f>IF(_calc!$E$4="","",IF(LEN(INDEX('Checks'!$M$4:$M$503,_calc!$E$4))=0,"",INDEX('Checks'!$M$4:$M$503,_calc!$E$4)))</f>
        <v/>
      </c>
    </row>
    <row r="3">
      <c r="A3" s="47">
        <f>IF(_calc!$E$5="","",IF(LEN(INDEX('Checks'!$B$4:$B$503,_calc!$E$5))=0,"",INDEX('Checks'!$B$4:$B$503,_calc!$E$5))&amp;" – "&amp;IF(LEN(INDEX('Checks'!$A$4:$A$503,_calc!$E$5))=0,"",INDEX('Checks'!$A$4:$A$503,_calc!$E$5)))</f>
        <v/>
      </c>
      <c r="B3" s="47">
        <f>IF(_calc!$E$5="","",IF(ISNUMBER(INDEX('Checks'!$D$4:$D$503,_calc!$E$5)),TEXT(INDEX('Checks'!$D$4:$D$503,_calc!$E$5),"yyyy-mm-dd"),""))</f>
        <v/>
      </c>
      <c r="C3" s="47">
        <f>IF(_calc!$E$5="","",IF(LEN(INDEX('Checks'!$B$4:$B$503,_calc!$E$5))=0,"",INDEX('Checks'!$B$4:$B$503,_calc!$E$5)))</f>
        <v/>
      </c>
      <c r="D3" s="47">
        <f>IF(_calc!$E$5="","",IF(ISNUMBER(INDEX('Checks'!$C$4:$C$503,_calc!$E$5)),TEXT(INDEX('Checks'!$C$4:$C$503,_calc!$E$5),"yyyy-mm-dd"),""))</f>
        <v/>
      </c>
      <c r="E3" s="47">
        <f>IF(_calc!$E$5="","",IF(LEN(INDEX('Checks'!$L$4:$L$503,_calc!$E$5))=0,"",INDEX('Checks'!$L$4:$L$503,_calc!$E$5)))</f>
        <v/>
      </c>
      <c r="F3" s="47">
        <f>IF(_calc!$E$5="","",TRIM(IF(LEN(IF(LEN(INDEX('Checks'!$I$4:$I$503,_calc!$E$5))=0,"",INDEX('Checks'!$I$4:$I$503,_calc!$E$5)))=0,"","Contractor: "&amp;IF(LEN(INDEX('Checks'!$I$4:$I$503,_calc!$E$5))=0,"",INDEX('Checks'!$I$4:$I$503,_calc!$E$5))&amp;". ")&amp;IF(LEN(IF(LEN(INDEX('Checks'!$J$4:$J$503,_calc!$E$5))=0,"",INDEX('Checks'!$J$4:$J$503,_calc!$E$5)))=0,"","Ref: "&amp;IF(LEN(INDEX('Checks'!$J$4:$J$503,_calc!$E$5))=0,"",INDEX('Checks'!$J$4:$J$503,_calc!$E$5))&amp;". ")&amp;IF(LEN(IF(ISNUMBER(INDEX('Checks'!$K$4:$K$503,_calc!$E$5)),TEXT(INDEX('Checks'!$K$4:$K$503,_calc!$E$5),"yyyy-mm-dd"),""))=0,"","Copy to tenant: "&amp;IF(ISNUMBER(INDEX('Checks'!$K$4:$K$503,_calc!$E$5)),TEXT(INDEX('Checks'!$K$4:$K$503,_calc!$E$5),"yyyy-mm-dd"),"")&amp;". ")&amp;IF(LEN(IF(LEN(INDEX('Checks'!$P$4:$P$503,_calc!$E$5))=0,"",INDEX('Checks'!$P$4:$P$503,_calc!$E$5)))=0,"",IF(LEN(INDEX('Checks'!$P$4:$P$503,_calc!$E$5))=0,"",INDEX('Checks'!$P$4:$P$503,_calc!$E$5)))))</f>
        <v/>
      </c>
      <c r="G3" s="47">
        <f>IF(_calc!$E$5="","",IF(LEN(INDEX('Checks'!$N$4:$N$503,_calc!$E$5))=0,"",INDEX('Checks'!$N$4:$N$503,_calc!$E$5)))</f>
        <v/>
      </c>
      <c r="K3" s="47">
        <f>IF(_calc!$E$5="","",IF(LEN(INDEX('Checks'!$M$4:$M$503,_calc!$E$5))=0,"",INDEX('Checks'!$M$4:$M$503,_calc!$E$5)))</f>
        <v/>
      </c>
    </row>
    <row r="4">
      <c r="A4" s="47">
        <f>IF(_calc!$E$6="","",IF(LEN(INDEX('Checks'!$B$4:$B$503,_calc!$E$6))=0,"",INDEX('Checks'!$B$4:$B$503,_calc!$E$6))&amp;" – "&amp;IF(LEN(INDEX('Checks'!$A$4:$A$503,_calc!$E$6))=0,"",INDEX('Checks'!$A$4:$A$503,_calc!$E$6)))</f>
        <v/>
      </c>
      <c r="B4" s="47">
        <f>IF(_calc!$E$6="","",IF(ISNUMBER(INDEX('Checks'!$D$4:$D$503,_calc!$E$6)),TEXT(INDEX('Checks'!$D$4:$D$503,_calc!$E$6),"yyyy-mm-dd"),""))</f>
        <v/>
      </c>
      <c r="C4" s="47">
        <f>IF(_calc!$E$6="","",IF(LEN(INDEX('Checks'!$B$4:$B$503,_calc!$E$6))=0,"",INDEX('Checks'!$B$4:$B$503,_calc!$E$6)))</f>
        <v/>
      </c>
      <c r="D4" s="47">
        <f>IF(_calc!$E$6="","",IF(ISNUMBER(INDEX('Checks'!$C$4:$C$503,_calc!$E$6)),TEXT(INDEX('Checks'!$C$4:$C$503,_calc!$E$6),"yyyy-mm-dd"),""))</f>
        <v/>
      </c>
      <c r="E4" s="47">
        <f>IF(_calc!$E$6="","",IF(LEN(INDEX('Checks'!$L$4:$L$503,_calc!$E$6))=0,"",INDEX('Checks'!$L$4:$L$503,_calc!$E$6)))</f>
        <v/>
      </c>
      <c r="F4" s="47">
        <f>IF(_calc!$E$6="","",TRIM(IF(LEN(IF(LEN(INDEX('Checks'!$I$4:$I$503,_calc!$E$6))=0,"",INDEX('Checks'!$I$4:$I$503,_calc!$E$6)))=0,"","Contractor: "&amp;IF(LEN(INDEX('Checks'!$I$4:$I$503,_calc!$E$6))=0,"",INDEX('Checks'!$I$4:$I$503,_calc!$E$6))&amp;". ")&amp;IF(LEN(IF(LEN(INDEX('Checks'!$J$4:$J$503,_calc!$E$6))=0,"",INDEX('Checks'!$J$4:$J$503,_calc!$E$6)))=0,"","Ref: "&amp;IF(LEN(INDEX('Checks'!$J$4:$J$503,_calc!$E$6))=0,"",INDEX('Checks'!$J$4:$J$503,_calc!$E$6))&amp;". ")&amp;IF(LEN(IF(ISNUMBER(INDEX('Checks'!$K$4:$K$503,_calc!$E$6)),TEXT(INDEX('Checks'!$K$4:$K$503,_calc!$E$6),"yyyy-mm-dd"),""))=0,"","Copy to tenant: "&amp;IF(ISNUMBER(INDEX('Checks'!$K$4:$K$503,_calc!$E$6)),TEXT(INDEX('Checks'!$K$4:$K$503,_calc!$E$6),"yyyy-mm-dd"),"")&amp;". ")&amp;IF(LEN(IF(LEN(INDEX('Checks'!$P$4:$P$503,_calc!$E$6))=0,"",INDEX('Checks'!$P$4:$P$503,_calc!$E$6)))=0,"",IF(LEN(INDEX('Checks'!$P$4:$P$503,_calc!$E$6))=0,"",INDEX('Checks'!$P$4:$P$503,_calc!$E$6)))))</f>
        <v/>
      </c>
      <c r="G4" s="47">
        <f>IF(_calc!$E$6="","",IF(LEN(INDEX('Checks'!$N$4:$N$503,_calc!$E$6))=0,"",INDEX('Checks'!$N$4:$N$503,_calc!$E$6)))</f>
        <v/>
      </c>
      <c r="K4" s="47">
        <f>IF(_calc!$E$6="","",IF(LEN(INDEX('Checks'!$M$4:$M$503,_calc!$E$6))=0,"",INDEX('Checks'!$M$4:$M$503,_calc!$E$6)))</f>
        <v/>
      </c>
    </row>
    <row r="5">
      <c r="A5" s="47">
        <f>IF(_calc!$E$7="","",IF(LEN(INDEX('Checks'!$B$4:$B$503,_calc!$E$7))=0,"",INDEX('Checks'!$B$4:$B$503,_calc!$E$7))&amp;" – "&amp;IF(LEN(INDEX('Checks'!$A$4:$A$503,_calc!$E$7))=0,"",INDEX('Checks'!$A$4:$A$503,_calc!$E$7)))</f>
        <v/>
      </c>
      <c r="B5" s="47">
        <f>IF(_calc!$E$7="","",IF(ISNUMBER(INDEX('Checks'!$D$4:$D$503,_calc!$E$7)),TEXT(INDEX('Checks'!$D$4:$D$503,_calc!$E$7),"yyyy-mm-dd"),""))</f>
        <v/>
      </c>
      <c r="C5" s="47">
        <f>IF(_calc!$E$7="","",IF(LEN(INDEX('Checks'!$B$4:$B$503,_calc!$E$7))=0,"",INDEX('Checks'!$B$4:$B$503,_calc!$E$7)))</f>
        <v/>
      </c>
      <c r="D5" s="47">
        <f>IF(_calc!$E$7="","",IF(ISNUMBER(INDEX('Checks'!$C$4:$C$503,_calc!$E$7)),TEXT(INDEX('Checks'!$C$4:$C$503,_calc!$E$7),"yyyy-mm-dd"),""))</f>
        <v/>
      </c>
      <c r="E5" s="47">
        <f>IF(_calc!$E$7="","",IF(LEN(INDEX('Checks'!$L$4:$L$503,_calc!$E$7))=0,"",INDEX('Checks'!$L$4:$L$503,_calc!$E$7)))</f>
        <v/>
      </c>
      <c r="F5" s="47">
        <f>IF(_calc!$E$7="","",TRIM(IF(LEN(IF(LEN(INDEX('Checks'!$I$4:$I$503,_calc!$E$7))=0,"",INDEX('Checks'!$I$4:$I$503,_calc!$E$7)))=0,"","Contractor: "&amp;IF(LEN(INDEX('Checks'!$I$4:$I$503,_calc!$E$7))=0,"",INDEX('Checks'!$I$4:$I$503,_calc!$E$7))&amp;". ")&amp;IF(LEN(IF(LEN(INDEX('Checks'!$J$4:$J$503,_calc!$E$7))=0,"",INDEX('Checks'!$J$4:$J$503,_calc!$E$7)))=0,"","Ref: "&amp;IF(LEN(INDEX('Checks'!$J$4:$J$503,_calc!$E$7))=0,"",INDEX('Checks'!$J$4:$J$503,_calc!$E$7))&amp;". ")&amp;IF(LEN(IF(ISNUMBER(INDEX('Checks'!$K$4:$K$503,_calc!$E$7)),TEXT(INDEX('Checks'!$K$4:$K$503,_calc!$E$7),"yyyy-mm-dd"),""))=0,"","Copy to tenant: "&amp;IF(ISNUMBER(INDEX('Checks'!$K$4:$K$503,_calc!$E$7)),TEXT(INDEX('Checks'!$K$4:$K$503,_calc!$E$7),"yyyy-mm-dd"),"")&amp;". ")&amp;IF(LEN(IF(LEN(INDEX('Checks'!$P$4:$P$503,_calc!$E$7))=0,"",INDEX('Checks'!$P$4:$P$503,_calc!$E$7)))=0,"",IF(LEN(INDEX('Checks'!$P$4:$P$503,_calc!$E$7))=0,"",INDEX('Checks'!$P$4:$P$503,_calc!$E$7)))))</f>
        <v/>
      </c>
      <c r="G5" s="47">
        <f>IF(_calc!$E$7="","",IF(LEN(INDEX('Checks'!$N$4:$N$503,_calc!$E$7))=0,"",INDEX('Checks'!$N$4:$N$503,_calc!$E$7)))</f>
        <v/>
      </c>
      <c r="K5" s="47">
        <f>IF(_calc!$E$7="","",IF(LEN(INDEX('Checks'!$M$4:$M$503,_calc!$E$7))=0,"",INDEX('Checks'!$M$4:$M$503,_calc!$E$7)))</f>
        <v/>
      </c>
    </row>
    <row r="6">
      <c r="A6" s="47">
        <f>IF(_calc!$E$8="","",IF(LEN(INDEX('Checks'!$B$4:$B$503,_calc!$E$8))=0,"",INDEX('Checks'!$B$4:$B$503,_calc!$E$8))&amp;" – "&amp;IF(LEN(INDEX('Checks'!$A$4:$A$503,_calc!$E$8))=0,"",INDEX('Checks'!$A$4:$A$503,_calc!$E$8)))</f>
        <v/>
      </c>
      <c r="B6" s="47">
        <f>IF(_calc!$E$8="","",IF(ISNUMBER(INDEX('Checks'!$D$4:$D$503,_calc!$E$8)),TEXT(INDEX('Checks'!$D$4:$D$503,_calc!$E$8),"yyyy-mm-dd"),""))</f>
        <v/>
      </c>
      <c r="C6" s="47">
        <f>IF(_calc!$E$8="","",IF(LEN(INDEX('Checks'!$B$4:$B$503,_calc!$E$8))=0,"",INDEX('Checks'!$B$4:$B$503,_calc!$E$8)))</f>
        <v/>
      </c>
      <c r="D6" s="47">
        <f>IF(_calc!$E$8="","",IF(ISNUMBER(INDEX('Checks'!$C$4:$C$503,_calc!$E$8)),TEXT(INDEX('Checks'!$C$4:$C$503,_calc!$E$8),"yyyy-mm-dd"),""))</f>
        <v/>
      </c>
      <c r="E6" s="47">
        <f>IF(_calc!$E$8="","",IF(LEN(INDEX('Checks'!$L$4:$L$503,_calc!$E$8))=0,"",INDEX('Checks'!$L$4:$L$503,_calc!$E$8)))</f>
        <v/>
      </c>
      <c r="F6" s="47">
        <f>IF(_calc!$E$8="","",TRIM(IF(LEN(IF(LEN(INDEX('Checks'!$I$4:$I$503,_calc!$E$8))=0,"",INDEX('Checks'!$I$4:$I$503,_calc!$E$8)))=0,"","Contractor: "&amp;IF(LEN(INDEX('Checks'!$I$4:$I$503,_calc!$E$8))=0,"",INDEX('Checks'!$I$4:$I$503,_calc!$E$8))&amp;". ")&amp;IF(LEN(IF(LEN(INDEX('Checks'!$J$4:$J$503,_calc!$E$8))=0,"",INDEX('Checks'!$J$4:$J$503,_calc!$E$8)))=0,"","Ref: "&amp;IF(LEN(INDEX('Checks'!$J$4:$J$503,_calc!$E$8))=0,"",INDEX('Checks'!$J$4:$J$503,_calc!$E$8))&amp;". ")&amp;IF(LEN(IF(ISNUMBER(INDEX('Checks'!$K$4:$K$503,_calc!$E$8)),TEXT(INDEX('Checks'!$K$4:$K$503,_calc!$E$8),"yyyy-mm-dd"),""))=0,"","Copy to tenant: "&amp;IF(ISNUMBER(INDEX('Checks'!$K$4:$K$503,_calc!$E$8)),TEXT(INDEX('Checks'!$K$4:$K$503,_calc!$E$8),"yyyy-mm-dd"),"")&amp;". ")&amp;IF(LEN(IF(LEN(INDEX('Checks'!$P$4:$P$503,_calc!$E$8))=0,"",INDEX('Checks'!$P$4:$P$503,_calc!$E$8)))=0,"",IF(LEN(INDEX('Checks'!$P$4:$P$503,_calc!$E$8))=0,"",INDEX('Checks'!$P$4:$P$503,_calc!$E$8)))))</f>
        <v/>
      </c>
      <c r="G6" s="47">
        <f>IF(_calc!$E$8="","",IF(LEN(INDEX('Checks'!$N$4:$N$503,_calc!$E$8))=0,"",INDEX('Checks'!$N$4:$N$503,_calc!$E$8)))</f>
        <v/>
      </c>
      <c r="K6" s="47">
        <f>IF(_calc!$E$8="","",IF(LEN(INDEX('Checks'!$M$4:$M$503,_calc!$E$8))=0,"",INDEX('Checks'!$M$4:$M$503,_calc!$E$8)))</f>
        <v/>
      </c>
    </row>
    <row r="7">
      <c r="A7" s="47">
        <f>IF(_calc!$E$9="","",IF(LEN(INDEX('Checks'!$B$4:$B$503,_calc!$E$9))=0,"",INDEX('Checks'!$B$4:$B$503,_calc!$E$9))&amp;" – "&amp;IF(LEN(INDEX('Checks'!$A$4:$A$503,_calc!$E$9))=0,"",INDEX('Checks'!$A$4:$A$503,_calc!$E$9)))</f>
        <v/>
      </c>
      <c r="B7" s="47">
        <f>IF(_calc!$E$9="","",IF(ISNUMBER(INDEX('Checks'!$D$4:$D$503,_calc!$E$9)),TEXT(INDEX('Checks'!$D$4:$D$503,_calc!$E$9),"yyyy-mm-dd"),""))</f>
        <v/>
      </c>
      <c r="C7" s="47">
        <f>IF(_calc!$E$9="","",IF(LEN(INDEX('Checks'!$B$4:$B$503,_calc!$E$9))=0,"",INDEX('Checks'!$B$4:$B$503,_calc!$E$9)))</f>
        <v/>
      </c>
      <c r="D7" s="47">
        <f>IF(_calc!$E$9="","",IF(ISNUMBER(INDEX('Checks'!$C$4:$C$503,_calc!$E$9)),TEXT(INDEX('Checks'!$C$4:$C$503,_calc!$E$9),"yyyy-mm-dd"),""))</f>
        <v/>
      </c>
      <c r="E7" s="47">
        <f>IF(_calc!$E$9="","",IF(LEN(INDEX('Checks'!$L$4:$L$503,_calc!$E$9))=0,"",INDEX('Checks'!$L$4:$L$503,_calc!$E$9)))</f>
        <v/>
      </c>
      <c r="F7" s="47">
        <f>IF(_calc!$E$9="","",TRIM(IF(LEN(IF(LEN(INDEX('Checks'!$I$4:$I$503,_calc!$E$9))=0,"",INDEX('Checks'!$I$4:$I$503,_calc!$E$9)))=0,"","Contractor: "&amp;IF(LEN(INDEX('Checks'!$I$4:$I$503,_calc!$E$9))=0,"",INDEX('Checks'!$I$4:$I$503,_calc!$E$9))&amp;". ")&amp;IF(LEN(IF(LEN(INDEX('Checks'!$J$4:$J$503,_calc!$E$9))=0,"",INDEX('Checks'!$J$4:$J$503,_calc!$E$9)))=0,"","Ref: "&amp;IF(LEN(INDEX('Checks'!$J$4:$J$503,_calc!$E$9))=0,"",INDEX('Checks'!$J$4:$J$503,_calc!$E$9))&amp;". ")&amp;IF(LEN(IF(ISNUMBER(INDEX('Checks'!$K$4:$K$503,_calc!$E$9)),TEXT(INDEX('Checks'!$K$4:$K$503,_calc!$E$9),"yyyy-mm-dd"),""))=0,"","Copy to tenant: "&amp;IF(ISNUMBER(INDEX('Checks'!$K$4:$K$503,_calc!$E$9)),TEXT(INDEX('Checks'!$K$4:$K$503,_calc!$E$9),"yyyy-mm-dd"),"")&amp;". ")&amp;IF(LEN(IF(LEN(INDEX('Checks'!$P$4:$P$503,_calc!$E$9))=0,"",INDEX('Checks'!$P$4:$P$503,_calc!$E$9)))=0,"",IF(LEN(INDEX('Checks'!$P$4:$P$503,_calc!$E$9))=0,"",INDEX('Checks'!$P$4:$P$503,_calc!$E$9)))))</f>
        <v/>
      </c>
      <c r="G7" s="47">
        <f>IF(_calc!$E$9="","",IF(LEN(INDEX('Checks'!$N$4:$N$503,_calc!$E$9))=0,"",INDEX('Checks'!$N$4:$N$503,_calc!$E$9)))</f>
        <v/>
      </c>
      <c r="K7" s="47">
        <f>IF(_calc!$E$9="","",IF(LEN(INDEX('Checks'!$M$4:$M$503,_calc!$E$9))=0,"",INDEX('Checks'!$M$4:$M$503,_calc!$E$9)))</f>
        <v/>
      </c>
    </row>
    <row r="8">
      <c r="A8" s="47">
        <f>IF(_calc!$E$10="","",IF(LEN(INDEX('Checks'!$B$4:$B$503,_calc!$E$10))=0,"",INDEX('Checks'!$B$4:$B$503,_calc!$E$10))&amp;" – "&amp;IF(LEN(INDEX('Checks'!$A$4:$A$503,_calc!$E$10))=0,"",INDEX('Checks'!$A$4:$A$503,_calc!$E$10)))</f>
        <v/>
      </c>
      <c r="B8" s="47">
        <f>IF(_calc!$E$10="","",IF(ISNUMBER(INDEX('Checks'!$D$4:$D$503,_calc!$E$10)),TEXT(INDEX('Checks'!$D$4:$D$503,_calc!$E$10),"yyyy-mm-dd"),""))</f>
        <v/>
      </c>
      <c r="C8" s="47">
        <f>IF(_calc!$E$10="","",IF(LEN(INDEX('Checks'!$B$4:$B$503,_calc!$E$10))=0,"",INDEX('Checks'!$B$4:$B$503,_calc!$E$10)))</f>
        <v/>
      </c>
      <c r="D8" s="47">
        <f>IF(_calc!$E$10="","",IF(ISNUMBER(INDEX('Checks'!$C$4:$C$503,_calc!$E$10)),TEXT(INDEX('Checks'!$C$4:$C$503,_calc!$E$10),"yyyy-mm-dd"),""))</f>
        <v/>
      </c>
      <c r="E8" s="47">
        <f>IF(_calc!$E$10="","",IF(LEN(INDEX('Checks'!$L$4:$L$503,_calc!$E$10))=0,"",INDEX('Checks'!$L$4:$L$503,_calc!$E$10)))</f>
        <v/>
      </c>
      <c r="F8" s="47">
        <f>IF(_calc!$E$10="","",TRIM(IF(LEN(IF(LEN(INDEX('Checks'!$I$4:$I$503,_calc!$E$10))=0,"",INDEX('Checks'!$I$4:$I$503,_calc!$E$10)))=0,"","Contractor: "&amp;IF(LEN(INDEX('Checks'!$I$4:$I$503,_calc!$E$10))=0,"",INDEX('Checks'!$I$4:$I$503,_calc!$E$10))&amp;". ")&amp;IF(LEN(IF(LEN(INDEX('Checks'!$J$4:$J$503,_calc!$E$10))=0,"",INDEX('Checks'!$J$4:$J$503,_calc!$E$10)))=0,"","Ref: "&amp;IF(LEN(INDEX('Checks'!$J$4:$J$503,_calc!$E$10))=0,"",INDEX('Checks'!$J$4:$J$503,_calc!$E$10))&amp;". ")&amp;IF(LEN(IF(ISNUMBER(INDEX('Checks'!$K$4:$K$503,_calc!$E$10)),TEXT(INDEX('Checks'!$K$4:$K$503,_calc!$E$10),"yyyy-mm-dd"),""))=0,"","Copy to tenant: "&amp;IF(ISNUMBER(INDEX('Checks'!$K$4:$K$503,_calc!$E$10)),TEXT(INDEX('Checks'!$K$4:$K$503,_calc!$E$10),"yyyy-mm-dd"),"")&amp;". ")&amp;IF(LEN(IF(LEN(INDEX('Checks'!$P$4:$P$503,_calc!$E$10))=0,"",INDEX('Checks'!$P$4:$P$503,_calc!$E$10)))=0,"",IF(LEN(INDEX('Checks'!$P$4:$P$503,_calc!$E$10))=0,"",INDEX('Checks'!$P$4:$P$503,_calc!$E$10)))))</f>
        <v/>
      </c>
      <c r="G8" s="47">
        <f>IF(_calc!$E$10="","",IF(LEN(INDEX('Checks'!$N$4:$N$503,_calc!$E$10))=0,"",INDEX('Checks'!$N$4:$N$503,_calc!$E$10)))</f>
        <v/>
      </c>
      <c r="K8" s="47">
        <f>IF(_calc!$E$10="","",IF(LEN(INDEX('Checks'!$M$4:$M$503,_calc!$E$10))=0,"",INDEX('Checks'!$M$4:$M$503,_calc!$E$10)))</f>
        <v/>
      </c>
    </row>
    <row r="9">
      <c r="A9" s="47">
        <f>IF(_calc!$E$11="","",IF(LEN(INDEX('Checks'!$B$4:$B$503,_calc!$E$11))=0,"",INDEX('Checks'!$B$4:$B$503,_calc!$E$11))&amp;" – "&amp;IF(LEN(INDEX('Checks'!$A$4:$A$503,_calc!$E$11))=0,"",INDEX('Checks'!$A$4:$A$503,_calc!$E$11)))</f>
        <v/>
      </c>
      <c r="B9" s="47">
        <f>IF(_calc!$E$11="","",IF(ISNUMBER(INDEX('Checks'!$D$4:$D$503,_calc!$E$11)),TEXT(INDEX('Checks'!$D$4:$D$503,_calc!$E$11),"yyyy-mm-dd"),""))</f>
        <v/>
      </c>
      <c r="C9" s="47">
        <f>IF(_calc!$E$11="","",IF(LEN(INDEX('Checks'!$B$4:$B$503,_calc!$E$11))=0,"",INDEX('Checks'!$B$4:$B$503,_calc!$E$11)))</f>
        <v/>
      </c>
      <c r="D9" s="47">
        <f>IF(_calc!$E$11="","",IF(ISNUMBER(INDEX('Checks'!$C$4:$C$503,_calc!$E$11)),TEXT(INDEX('Checks'!$C$4:$C$503,_calc!$E$11),"yyyy-mm-dd"),""))</f>
        <v/>
      </c>
      <c r="E9" s="47">
        <f>IF(_calc!$E$11="","",IF(LEN(INDEX('Checks'!$L$4:$L$503,_calc!$E$11))=0,"",INDEX('Checks'!$L$4:$L$503,_calc!$E$11)))</f>
        <v/>
      </c>
      <c r="F9" s="47">
        <f>IF(_calc!$E$11="","",TRIM(IF(LEN(IF(LEN(INDEX('Checks'!$I$4:$I$503,_calc!$E$11))=0,"",INDEX('Checks'!$I$4:$I$503,_calc!$E$11)))=0,"","Contractor: "&amp;IF(LEN(INDEX('Checks'!$I$4:$I$503,_calc!$E$11))=0,"",INDEX('Checks'!$I$4:$I$503,_calc!$E$11))&amp;". ")&amp;IF(LEN(IF(LEN(INDEX('Checks'!$J$4:$J$503,_calc!$E$11))=0,"",INDEX('Checks'!$J$4:$J$503,_calc!$E$11)))=0,"","Ref: "&amp;IF(LEN(INDEX('Checks'!$J$4:$J$503,_calc!$E$11))=0,"",INDEX('Checks'!$J$4:$J$503,_calc!$E$11))&amp;". ")&amp;IF(LEN(IF(ISNUMBER(INDEX('Checks'!$K$4:$K$503,_calc!$E$11)),TEXT(INDEX('Checks'!$K$4:$K$503,_calc!$E$11),"yyyy-mm-dd"),""))=0,"","Copy to tenant: "&amp;IF(ISNUMBER(INDEX('Checks'!$K$4:$K$503,_calc!$E$11)),TEXT(INDEX('Checks'!$K$4:$K$503,_calc!$E$11),"yyyy-mm-dd"),"")&amp;". ")&amp;IF(LEN(IF(LEN(INDEX('Checks'!$P$4:$P$503,_calc!$E$11))=0,"",INDEX('Checks'!$P$4:$P$503,_calc!$E$11)))=0,"",IF(LEN(INDEX('Checks'!$P$4:$P$503,_calc!$E$11))=0,"",INDEX('Checks'!$P$4:$P$503,_calc!$E$11)))))</f>
        <v/>
      </c>
      <c r="G9" s="47">
        <f>IF(_calc!$E$11="","",IF(LEN(INDEX('Checks'!$N$4:$N$503,_calc!$E$11))=0,"",INDEX('Checks'!$N$4:$N$503,_calc!$E$11)))</f>
        <v/>
      </c>
      <c r="K9" s="47">
        <f>IF(_calc!$E$11="","",IF(LEN(INDEX('Checks'!$M$4:$M$503,_calc!$E$11))=0,"",INDEX('Checks'!$M$4:$M$503,_calc!$E$11)))</f>
        <v/>
      </c>
    </row>
    <row r="10">
      <c r="A10" s="47">
        <f>IF(_calc!$E$12="","",IF(LEN(INDEX('Checks'!$B$4:$B$503,_calc!$E$12))=0,"",INDEX('Checks'!$B$4:$B$503,_calc!$E$12))&amp;" – "&amp;IF(LEN(INDEX('Checks'!$A$4:$A$503,_calc!$E$12))=0,"",INDEX('Checks'!$A$4:$A$503,_calc!$E$12)))</f>
        <v/>
      </c>
      <c r="B10" s="47">
        <f>IF(_calc!$E$12="","",IF(ISNUMBER(INDEX('Checks'!$D$4:$D$503,_calc!$E$12)),TEXT(INDEX('Checks'!$D$4:$D$503,_calc!$E$12),"yyyy-mm-dd"),""))</f>
        <v/>
      </c>
      <c r="C10" s="47">
        <f>IF(_calc!$E$12="","",IF(LEN(INDEX('Checks'!$B$4:$B$503,_calc!$E$12))=0,"",INDEX('Checks'!$B$4:$B$503,_calc!$E$12)))</f>
        <v/>
      </c>
      <c r="D10" s="47">
        <f>IF(_calc!$E$12="","",IF(ISNUMBER(INDEX('Checks'!$C$4:$C$503,_calc!$E$12)),TEXT(INDEX('Checks'!$C$4:$C$503,_calc!$E$12),"yyyy-mm-dd"),""))</f>
        <v/>
      </c>
      <c r="E10" s="47">
        <f>IF(_calc!$E$12="","",IF(LEN(INDEX('Checks'!$L$4:$L$503,_calc!$E$12))=0,"",INDEX('Checks'!$L$4:$L$503,_calc!$E$12)))</f>
        <v/>
      </c>
      <c r="F10" s="47">
        <f>IF(_calc!$E$12="","",TRIM(IF(LEN(IF(LEN(INDEX('Checks'!$I$4:$I$503,_calc!$E$12))=0,"",INDEX('Checks'!$I$4:$I$503,_calc!$E$12)))=0,"","Contractor: "&amp;IF(LEN(INDEX('Checks'!$I$4:$I$503,_calc!$E$12))=0,"",INDEX('Checks'!$I$4:$I$503,_calc!$E$12))&amp;". ")&amp;IF(LEN(IF(LEN(INDEX('Checks'!$J$4:$J$503,_calc!$E$12))=0,"",INDEX('Checks'!$J$4:$J$503,_calc!$E$12)))=0,"","Ref: "&amp;IF(LEN(INDEX('Checks'!$J$4:$J$503,_calc!$E$12))=0,"",INDEX('Checks'!$J$4:$J$503,_calc!$E$12))&amp;". ")&amp;IF(LEN(IF(ISNUMBER(INDEX('Checks'!$K$4:$K$503,_calc!$E$12)),TEXT(INDEX('Checks'!$K$4:$K$503,_calc!$E$12),"yyyy-mm-dd"),""))=0,"","Copy to tenant: "&amp;IF(ISNUMBER(INDEX('Checks'!$K$4:$K$503,_calc!$E$12)),TEXT(INDEX('Checks'!$K$4:$K$503,_calc!$E$12),"yyyy-mm-dd"),"")&amp;". ")&amp;IF(LEN(IF(LEN(INDEX('Checks'!$P$4:$P$503,_calc!$E$12))=0,"",INDEX('Checks'!$P$4:$P$503,_calc!$E$12)))=0,"",IF(LEN(INDEX('Checks'!$P$4:$P$503,_calc!$E$12))=0,"",INDEX('Checks'!$P$4:$P$503,_calc!$E$12)))))</f>
        <v/>
      </c>
      <c r="G10" s="47">
        <f>IF(_calc!$E$12="","",IF(LEN(INDEX('Checks'!$N$4:$N$503,_calc!$E$12))=0,"",INDEX('Checks'!$N$4:$N$503,_calc!$E$12)))</f>
        <v/>
      </c>
      <c r="K10" s="47">
        <f>IF(_calc!$E$12="","",IF(LEN(INDEX('Checks'!$M$4:$M$503,_calc!$E$12))=0,"",INDEX('Checks'!$M$4:$M$503,_calc!$E$12)))</f>
        <v/>
      </c>
    </row>
    <row r="11">
      <c r="A11" s="47">
        <f>IF(_calc!$E$13="","",IF(LEN(INDEX('Checks'!$B$4:$B$503,_calc!$E$13))=0,"",INDEX('Checks'!$B$4:$B$503,_calc!$E$13))&amp;" – "&amp;IF(LEN(INDEX('Checks'!$A$4:$A$503,_calc!$E$13))=0,"",INDEX('Checks'!$A$4:$A$503,_calc!$E$13)))</f>
        <v/>
      </c>
      <c r="B11" s="47">
        <f>IF(_calc!$E$13="","",IF(ISNUMBER(INDEX('Checks'!$D$4:$D$503,_calc!$E$13)),TEXT(INDEX('Checks'!$D$4:$D$503,_calc!$E$13),"yyyy-mm-dd"),""))</f>
        <v/>
      </c>
      <c r="C11" s="47">
        <f>IF(_calc!$E$13="","",IF(LEN(INDEX('Checks'!$B$4:$B$503,_calc!$E$13))=0,"",INDEX('Checks'!$B$4:$B$503,_calc!$E$13)))</f>
        <v/>
      </c>
      <c r="D11" s="47">
        <f>IF(_calc!$E$13="","",IF(ISNUMBER(INDEX('Checks'!$C$4:$C$503,_calc!$E$13)),TEXT(INDEX('Checks'!$C$4:$C$503,_calc!$E$13),"yyyy-mm-dd"),""))</f>
        <v/>
      </c>
      <c r="E11" s="47">
        <f>IF(_calc!$E$13="","",IF(LEN(INDEX('Checks'!$L$4:$L$503,_calc!$E$13))=0,"",INDEX('Checks'!$L$4:$L$503,_calc!$E$13)))</f>
        <v/>
      </c>
      <c r="F11" s="47">
        <f>IF(_calc!$E$13="","",TRIM(IF(LEN(IF(LEN(INDEX('Checks'!$I$4:$I$503,_calc!$E$13))=0,"",INDEX('Checks'!$I$4:$I$503,_calc!$E$13)))=0,"","Contractor: "&amp;IF(LEN(INDEX('Checks'!$I$4:$I$503,_calc!$E$13))=0,"",INDEX('Checks'!$I$4:$I$503,_calc!$E$13))&amp;". ")&amp;IF(LEN(IF(LEN(INDEX('Checks'!$J$4:$J$503,_calc!$E$13))=0,"",INDEX('Checks'!$J$4:$J$503,_calc!$E$13)))=0,"","Ref: "&amp;IF(LEN(INDEX('Checks'!$J$4:$J$503,_calc!$E$13))=0,"",INDEX('Checks'!$J$4:$J$503,_calc!$E$13))&amp;". ")&amp;IF(LEN(IF(ISNUMBER(INDEX('Checks'!$K$4:$K$503,_calc!$E$13)),TEXT(INDEX('Checks'!$K$4:$K$503,_calc!$E$13),"yyyy-mm-dd"),""))=0,"","Copy to tenant: "&amp;IF(ISNUMBER(INDEX('Checks'!$K$4:$K$503,_calc!$E$13)),TEXT(INDEX('Checks'!$K$4:$K$503,_calc!$E$13),"yyyy-mm-dd"),"")&amp;". ")&amp;IF(LEN(IF(LEN(INDEX('Checks'!$P$4:$P$503,_calc!$E$13))=0,"",INDEX('Checks'!$P$4:$P$503,_calc!$E$13)))=0,"",IF(LEN(INDEX('Checks'!$P$4:$P$503,_calc!$E$13))=0,"",INDEX('Checks'!$P$4:$P$503,_calc!$E$13)))))</f>
        <v/>
      </c>
      <c r="G11" s="47">
        <f>IF(_calc!$E$13="","",IF(LEN(INDEX('Checks'!$N$4:$N$503,_calc!$E$13))=0,"",INDEX('Checks'!$N$4:$N$503,_calc!$E$13)))</f>
        <v/>
      </c>
      <c r="K11" s="47">
        <f>IF(_calc!$E$13="","",IF(LEN(INDEX('Checks'!$M$4:$M$503,_calc!$E$13))=0,"",INDEX('Checks'!$M$4:$M$503,_calc!$E$13)))</f>
        <v/>
      </c>
    </row>
    <row r="12">
      <c r="A12" s="47">
        <f>IF(_calc!$E$14="","",IF(LEN(INDEX('Checks'!$B$4:$B$503,_calc!$E$14))=0,"",INDEX('Checks'!$B$4:$B$503,_calc!$E$14))&amp;" – "&amp;IF(LEN(INDEX('Checks'!$A$4:$A$503,_calc!$E$14))=0,"",INDEX('Checks'!$A$4:$A$503,_calc!$E$14)))</f>
        <v/>
      </c>
      <c r="B12" s="47">
        <f>IF(_calc!$E$14="","",IF(ISNUMBER(INDEX('Checks'!$D$4:$D$503,_calc!$E$14)),TEXT(INDEX('Checks'!$D$4:$D$503,_calc!$E$14),"yyyy-mm-dd"),""))</f>
        <v/>
      </c>
      <c r="C12" s="47">
        <f>IF(_calc!$E$14="","",IF(LEN(INDEX('Checks'!$B$4:$B$503,_calc!$E$14))=0,"",INDEX('Checks'!$B$4:$B$503,_calc!$E$14)))</f>
        <v/>
      </c>
      <c r="D12" s="47">
        <f>IF(_calc!$E$14="","",IF(ISNUMBER(INDEX('Checks'!$C$4:$C$503,_calc!$E$14)),TEXT(INDEX('Checks'!$C$4:$C$503,_calc!$E$14),"yyyy-mm-dd"),""))</f>
        <v/>
      </c>
      <c r="E12" s="47">
        <f>IF(_calc!$E$14="","",IF(LEN(INDEX('Checks'!$L$4:$L$503,_calc!$E$14))=0,"",INDEX('Checks'!$L$4:$L$503,_calc!$E$14)))</f>
        <v/>
      </c>
      <c r="F12" s="47">
        <f>IF(_calc!$E$14="","",TRIM(IF(LEN(IF(LEN(INDEX('Checks'!$I$4:$I$503,_calc!$E$14))=0,"",INDEX('Checks'!$I$4:$I$503,_calc!$E$14)))=0,"","Contractor: "&amp;IF(LEN(INDEX('Checks'!$I$4:$I$503,_calc!$E$14))=0,"",INDEX('Checks'!$I$4:$I$503,_calc!$E$14))&amp;". ")&amp;IF(LEN(IF(LEN(INDEX('Checks'!$J$4:$J$503,_calc!$E$14))=0,"",INDEX('Checks'!$J$4:$J$503,_calc!$E$14)))=0,"","Ref: "&amp;IF(LEN(INDEX('Checks'!$J$4:$J$503,_calc!$E$14))=0,"",INDEX('Checks'!$J$4:$J$503,_calc!$E$14))&amp;". ")&amp;IF(LEN(IF(ISNUMBER(INDEX('Checks'!$K$4:$K$503,_calc!$E$14)),TEXT(INDEX('Checks'!$K$4:$K$503,_calc!$E$14),"yyyy-mm-dd"),""))=0,"","Copy to tenant: "&amp;IF(ISNUMBER(INDEX('Checks'!$K$4:$K$503,_calc!$E$14)),TEXT(INDEX('Checks'!$K$4:$K$503,_calc!$E$14),"yyyy-mm-dd"),"")&amp;". ")&amp;IF(LEN(IF(LEN(INDEX('Checks'!$P$4:$P$503,_calc!$E$14))=0,"",INDEX('Checks'!$P$4:$P$503,_calc!$E$14)))=0,"",IF(LEN(INDEX('Checks'!$P$4:$P$503,_calc!$E$14))=0,"",INDEX('Checks'!$P$4:$P$503,_calc!$E$14)))))</f>
        <v/>
      </c>
      <c r="G12" s="47">
        <f>IF(_calc!$E$14="","",IF(LEN(INDEX('Checks'!$N$4:$N$503,_calc!$E$14))=0,"",INDEX('Checks'!$N$4:$N$503,_calc!$E$14)))</f>
        <v/>
      </c>
      <c r="K12" s="47">
        <f>IF(_calc!$E$14="","",IF(LEN(INDEX('Checks'!$M$4:$M$503,_calc!$E$14))=0,"",INDEX('Checks'!$M$4:$M$503,_calc!$E$14)))</f>
        <v/>
      </c>
    </row>
    <row r="13">
      <c r="A13" s="47">
        <f>IF(_calc!$E$15="","",IF(LEN(INDEX('Checks'!$B$4:$B$503,_calc!$E$15))=0,"",INDEX('Checks'!$B$4:$B$503,_calc!$E$15))&amp;" – "&amp;IF(LEN(INDEX('Checks'!$A$4:$A$503,_calc!$E$15))=0,"",INDEX('Checks'!$A$4:$A$503,_calc!$E$15)))</f>
        <v/>
      </c>
      <c r="B13" s="47">
        <f>IF(_calc!$E$15="","",IF(ISNUMBER(INDEX('Checks'!$D$4:$D$503,_calc!$E$15)),TEXT(INDEX('Checks'!$D$4:$D$503,_calc!$E$15),"yyyy-mm-dd"),""))</f>
        <v/>
      </c>
      <c r="C13" s="47">
        <f>IF(_calc!$E$15="","",IF(LEN(INDEX('Checks'!$B$4:$B$503,_calc!$E$15))=0,"",INDEX('Checks'!$B$4:$B$503,_calc!$E$15)))</f>
        <v/>
      </c>
      <c r="D13" s="47">
        <f>IF(_calc!$E$15="","",IF(ISNUMBER(INDEX('Checks'!$C$4:$C$503,_calc!$E$15)),TEXT(INDEX('Checks'!$C$4:$C$503,_calc!$E$15),"yyyy-mm-dd"),""))</f>
        <v/>
      </c>
      <c r="E13" s="47">
        <f>IF(_calc!$E$15="","",IF(LEN(INDEX('Checks'!$L$4:$L$503,_calc!$E$15))=0,"",INDEX('Checks'!$L$4:$L$503,_calc!$E$15)))</f>
        <v/>
      </c>
      <c r="F13" s="47">
        <f>IF(_calc!$E$15="","",TRIM(IF(LEN(IF(LEN(INDEX('Checks'!$I$4:$I$503,_calc!$E$15))=0,"",INDEX('Checks'!$I$4:$I$503,_calc!$E$15)))=0,"","Contractor: "&amp;IF(LEN(INDEX('Checks'!$I$4:$I$503,_calc!$E$15))=0,"",INDEX('Checks'!$I$4:$I$503,_calc!$E$15))&amp;". ")&amp;IF(LEN(IF(LEN(INDEX('Checks'!$J$4:$J$503,_calc!$E$15))=0,"",INDEX('Checks'!$J$4:$J$503,_calc!$E$15)))=0,"","Ref: "&amp;IF(LEN(INDEX('Checks'!$J$4:$J$503,_calc!$E$15))=0,"",INDEX('Checks'!$J$4:$J$503,_calc!$E$15))&amp;". ")&amp;IF(LEN(IF(ISNUMBER(INDEX('Checks'!$K$4:$K$503,_calc!$E$15)),TEXT(INDEX('Checks'!$K$4:$K$503,_calc!$E$15),"yyyy-mm-dd"),""))=0,"","Copy to tenant: "&amp;IF(ISNUMBER(INDEX('Checks'!$K$4:$K$503,_calc!$E$15)),TEXT(INDEX('Checks'!$K$4:$K$503,_calc!$E$15),"yyyy-mm-dd"),"")&amp;". ")&amp;IF(LEN(IF(LEN(INDEX('Checks'!$P$4:$P$503,_calc!$E$15))=0,"",INDEX('Checks'!$P$4:$P$503,_calc!$E$15)))=0,"",IF(LEN(INDEX('Checks'!$P$4:$P$503,_calc!$E$15))=0,"",INDEX('Checks'!$P$4:$P$503,_calc!$E$15)))))</f>
        <v/>
      </c>
      <c r="G13" s="47">
        <f>IF(_calc!$E$15="","",IF(LEN(INDEX('Checks'!$N$4:$N$503,_calc!$E$15))=0,"",INDEX('Checks'!$N$4:$N$503,_calc!$E$15)))</f>
        <v/>
      </c>
      <c r="K13" s="47">
        <f>IF(_calc!$E$15="","",IF(LEN(INDEX('Checks'!$M$4:$M$503,_calc!$E$15))=0,"",INDEX('Checks'!$M$4:$M$503,_calc!$E$15)))</f>
        <v/>
      </c>
    </row>
    <row r="14">
      <c r="A14" s="47">
        <f>IF(_calc!$E$16="","",IF(LEN(INDEX('Checks'!$B$4:$B$503,_calc!$E$16))=0,"",INDEX('Checks'!$B$4:$B$503,_calc!$E$16))&amp;" – "&amp;IF(LEN(INDEX('Checks'!$A$4:$A$503,_calc!$E$16))=0,"",INDEX('Checks'!$A$4:$A$503,_calc!$E$16)))</f>
        <v/>
      </c>
      <c r="B14" s="47">
        <f>IF(_calc!$E$16="","",IF(ISNUMBER(INDEX('Checks'!$D$4:$D$503,_calc!$E$16)),TEXT(INDEX('Checks'!$D$4:$D$503,_calc!$E$16),"yyyy-mm-dd"),""))</f>
        <v/>
      </c>
      <c r="C14" s="47">
        <f>IF(_calc!$E$16="","",IF(LEN(INDEX('Checks'!$B$4:$B$503,_calc!$E$16))=0,"",INDEX('Checks'!$B$4:$B$503,_calc!$E$16)))</f>
        <v/>
      </c>
      <c r="D14" s="47">
        <f>IF(_calc!$E$16="","",IF(ISNUMBER(INDEX('Checks'!$C$4:$C$503,_calc!$E$16)),TEXT(INDEX('Checks'!$C$4:$C$503,_calc!$E$16),"yyyy-mm-dd"),""))</f>
        <v/>
      </c>
      <c r="E14" s="47">
        <f>IF(_calc!$E$16="","",IF(LEN(INDEX('Checks'!$L$4:$L$503,_calc!$E$16))=0,"",INDEX('Checks'!$L$4:$L$503,_calc!$E$16)))</f>
        <v/>
      </c>
      <c r="F14" s="47">
        <f>IF(_calc!$E$16="","",TRIM(IF(LEN(IF(LEN(INDEX('Checks'!$I$4:$I$503,_calc!$E$16))=0,"",INDEX('Checks'!$I$4:$I$503,_calc!$E$16)))=0,"","Contractor: "&amp;IF(LEN(INDEX('Checks'!$I$4:$I$503,_calc!$E$16))=0,"",INDEX('Checks'!$I$4:$I$503,_calc!$E$16))&amp;". ")&amp;IF(LEN(IF(LEN(INDEX('Checks'!$J$4:$J$503,_calc!$E$16))=0,"",INDEX('Checks'!$J$4:$J$503,_calc!$E$16)))=0,"","Ref: "&amp;IF(LEN(INDEX('Checks'!$J$4:$J$503,_calc!$E$16))=0,"",INDEX('Checks'!$J$4:$J$503,_calc!$E$16))&amp;". ")&amp;IF(LEN(IF(ISNUMBER(INDEX('Checks'!$K$4:$K$503,_calc!$E$16)),TEXT(INDEX('Checks'!$K$4:$K$503,_calc!$E$16),"yyyy-mm-dd"),""))=0,"","Copy to tenant: "&amp;IF(ISNUMBER(INDEX('Checks'!$K$4:$K$503,_calc!$E$16)),TEXT(INDEX('Checks'!$K$4:$K$503,_calc!$E$16),"yyyy-mm-dd"),"")&amp;". ")&amp;IF(LEN(IF(LEN(INDEX('Checks'!$P$4:$P$503,_calc!$E$16))=0,"",INDEX('Checks'!$P$4:$P$503,_calc!$E$16)))=0,"",IF(LEN(INDEX('Checks'!$P$4:$P$503,_calc!$E$16))=0,"",INDEX('Checks'!$P$4:$P$503,_calc!$E$16)))))</f>
        <v/>
      </c>
      <c r="G14" s="47">
        <f>IF(_calc!$E$16="","",IF(LEN(INDEX('Checks'!$N$4:$N$503,_calc!$E$16))=0,"",INDEX('Checks'!$N$4:$N$503,_calc!$E$16)))</f>
        <v/>
      </c>
      <c r="K14" s="47">
        <f>IF(_calc!$E$16="","",IF(LEN(INDEX('Checks'!$M$4:$M$503,_calc!$E$16))=0,"",INDEX('Checks'!$M$4:$M$503,_calc!$E$16)))</f>
        <v/>
      </c>
    </row>
    <row r="15">
      <c r="A15" s="47">
        <f>IF(_calc!$E$17="","",IF(LEN(INDEX('Checks'!$B$4:$B$503,_calc!$E$17))=0,"",INDEX('Checks'!$B$4:$B$503,_calc!$E$17))&amp;" – "&amp;IF(LEN(INDEX('Checks'!$A$4:$A$503,_calc!$E$17))=0,"",INDEX('Checks'!$A$4:$A$503,_calc!$E$17)))</f>
        <v/>
      </c>
      <c r="B15" s="47">
        <f>IF(_calc!$E$17="","",IF(ISNUMBER(INDEX('Checks'!$D$4:$D$503,_calc!$E$17)),TEXT(INDEX('Checks'!$D$4:$D$503,_calc!$E$17),"yyyy-mm-dd"),""))</f>
        <v/>
      </c>
      <c r="C15" s="47">
        <f>IF(_calc!$E$17="","",IF(LEN(INDEX('Checks'!$B$4:$B$503,_calc!$E$17))=0,"",INDEX('Checks'!$B$4:$B$503,_calc!$E$17)))</f>
        <v/>
      </c>
      <c r="D15" s="47">
        <f>IF(_calc!$E$17="","",IF(ISNUMBER(INDEX('Checks'!$C$4:$C$503,_calc!$E$17)),TEXT(INDEX('Checks'!$C$4:$C$503,_calc!$E$17),"yyyy-mm-dd"),""))</f>
        <v/>
      </c>
      <c r="E15" s="47">
        <f>IF(_calc!$E$17="","",IF(LEN(INDEX('Checks'!$L$4:$L$503,_calc!$E$17))=0,"",INDEX('Checks'!$L$4:$L$503,_calc!$E$17)))</f>
        <v/>
      </c>
      <c r="F15" s="47">
        <f>IF(_calc!$E$17="","",TRIM(IF(LEN(IF(LEN(INDEX('Checks'!$I$4:$I$503,_calc!$E$17))=0,"",INDEX('Checks'!$I$4:$I$503,_calc!$E$17)))=0,"","Contractor: "&amp;IF(LEN(INDEX('Checks'!$I$4:$I$503,_calc!$E$17))=0,"",INDEX('Checks'!$I$4:$I$503,_calc!$E$17))&amp;". ")&amp;IF(LEN(IF(LEN(INDEX('Checks'!$J$4:$J$503,_calc!$E$17))=0,"",INDEX('Checks'!$J$4:$J$503,_calc!$E$17)))=0,"","Ref: "&amp;IF(LEN(INDEX('Checks'!$J$4:$J$503,_calc!$E$17))=0,"",INDEX('Checks'!$J$4:$J$503,_calc!$E$17))&amp;". ")&amp;IF(LEN(IF(ISNUMBER(INDEX('Checks'!$K$4:$K$503,_calc!$E$17)),TEXT(INDEX('Checks'!$K$4:$K$503,_calc!$E$17),"yyyy-mm-dd"),""))=0,"","Copy to tenant: "&amp;IF(ISNUMBER(INDEX('Checks'!$K$4:$K$503,_calc!$E$17)),TEXT(INDEX('Checks'!$K$4:$K$503,_calc!$E$17),"yyyy-mm-dd"),"")&amp;". ")&amp;IF(LEN(IF(LEN(INDEX('Checks'!$P$4:$P$503,_calc!$E$17))=0,"",INDEX('Checks'!$P$4:$P$503,_calc!$E$17)))=0,"",IF(LEN(INDEX('Checks'!$P$4:$P$503,_calc!$E$17))=0,"",INDEX('Checks'!$P$4:$P$503,_calc!$E$17)))))</f>
        <v/>
      </c>
      <c r="G15" s="47">
        <f>IF(_calc!$E$17="","",IF(LEN(INDEX('Checks'!$N$4:$N$503,_calc!$E$17))=0,"",INDEX('Checks'!$N$4:$N$503,_calc!$E$17)))</f>
        <v/>
      </c>
      <c r="K15" s="47">
        <f>IF(_calc!$E$17="","",IF(LEN(INDEX('Checks'!$M$4:$M$503,_calc!$E$17))=0,"",INDEX('Checks'!$M$4:$M$503,_calc!$E$17)))</f>
        <v/>
      </c>
    </row>
    <row r="16">
      <c r="A16" s="47">
        <f>IF(_calc!$E$18="","",IF(LEN(INDEX('Checks'!$B$4:$B$503,_calc!$E$18))=0,"",INDEX('Checks'!$B$4:$B$503,_calc!$E$18))&amp;" – "&amp;IF(LEN(INDEX('Checks'!$A$4:$A$503,_calc!$E$18))=0,"",INDEX('Checks'!$A$4:$A$503,_calc!$E$18)))</f>
        <v/>
      </c>
      <c r="B16" s="47">
        <f>IF(_calc!$E$18="","",IF(ISNUMBER(INDEX('Checks'!$D$4:$D$503,_calc!$E$18)),TEXT(INDEX('Checks'!$D$4:$D$503,_calc!$E$18),"yyyy-mm-dd"),""))</f>
        <v/>
      </c>
      <c r="C16" s="47">
        <f>IF(_calc!$E$18="","",IF(LEN(INDEX('Checks'!$B$4:$B$503,_calc!$E$18))=0,"",INDEX('Checks'!$B$4:$B$503,_calc!$E$18)))</f>
        <v/>
      </c>
      <c r="D16" s="47">
        <f>IF(_calc!$E$18="","",IF(ISNUMBER(INDEX('Checks'!$C$4:$C$503,_calc!$E$18)),TEXT(INDEX('Checks'!$C$4:$C$503,_calc!$E$18),"yyyy-mm-dd"),""))</f>
        <v/>
      </c>
      <c r="E16" s="47">
        <f>IF(_calc!$E$18="","",IF(LEN(INDEX('Checks'!$L$4:$L$503,_calc!$E$18))=0,"",INDEX('Checks'!$L$4:$L$503,_calc!$E$18)))</f>
        <v/>
      </c>
      <c r="F16" s="47">
        <f>IF(_calc!$E$18="","",TRIM(IF(LEN(IF(LEN(INDEX('Checks'!$I$4:$I$503,_calc!$E$18))=0,"",INDEX('Checks'!$I$4:$I$503,_calc!$E$18)))=0,"","Contractor: "&amp;IF(LEN(INDEX('Checks'!$I$4:$I$503,_calc!$E$18))=0,"",INDEX('Checks'!$I$4:$I$503,_calc!$E$18))&amp;". ")&amp;IF(LEN(IF(LEN(INDEX('Checks'!$J$4:$J$503,_calc!$E$18))=0,"",INDEX('Checks'!$J$4:$J$503,_calc!$E$18)))=0,"","Ref: "&amp;IF(LEN(INDEX('Checks'!$J$4:$J$503,_calc!$E$18))=0,"",INDEX('Checks'!$J$4:$J$503,_calc!$E$18))&amp;". ")&amp;IF(LEN(IF(ISNUMBER(INDEX('Checks'!$K$4:$K$503,_calc!$E$18)),TEXT(INDEX('Checks'!$K$4:$K$503,_calc!$E$18),"yyyy-mm-dd"),""))=0,"","Copy to tenant: "&amp;IF(ISNUMBER(INDEX('Checks'!$K$4:$K$503,_calc!$E$18)),TEXT(INDEX('Checks'!$K$4:$K$503,_calc!$E$18),"yyyy-mm-dd"),"")&amp;". ")&amp;IF(LEN(IF(LEN(INDEX('Checks'!$P$4:$P$503,_calc!$E$18))=0,"",INDEX('Checks'!$P$4:$P$503,_calc!$E$18)))=0,"",IF(LEN(INDEX('Checks'!$P$4:$P$503,_calc!$E$18))=0,"",INDEX('Checks'!$P$4:$P$503,_calc!$E$18)))))</f>
        <v/>
      </c>
      <c r="G16" s="47">
        <f>IF(_calc!$E$18="","",IF(LEN(INDEX('Checks'!$N$4:$N$503,_calc!$E$18))=0,"",INDEX('Checks'!$N$4:$N$503,_calc!$E$18)))</f>
        <v/>
      </c>
      <c r="K16" s="47">
        <f>IF(_calc!$E$18="","",IF(LEN(INDEX('Checks'!$M$4:$M$503,_calc!$E$18))=0,"",INDEX('Checks'!$M$4:$M$503,_calc!$E$18)))</f>
        <v/>
      </c>
    </row>
    <row r="17">
      <c r="A17" s="47">
        <f>IF(_calc!$E$19="","",IF(LEN(INDEX('Checks'!$B$4:$B$503,_calc!$E$19))=0,"",INDEX('Checks'!$B$4:$B$503,_calc!$E$19))&amp;" – "&amp;IF(LEN(INDEX('Checks'!$A$4:$A$503,_calc!$E$19))=0,"",INDEX('Checks'!$A$4:$A$503,_calc!$E$19)))</f>
        <v/>
      </c>
      <c r="B17" s="47">
        <f>IF(_calc!$E$19="","",IF(ISNUMBER(INDEX('Checks'!$D$4:$D$503,_calc!$E$19)),TEXT(INDEX('Checks'!$D$4:$D$503,_calc!$E$19),"yyyy-mm-dd"),""))</f>
        <v/>
      </c>
      <c r="C17" s="47">
        <f>IF(_calc!$E$19="","",IF(LEN(INDEX('Checks'!$B$4:$B$503,_calc!$E$19))=0,"",INDEX('Checks'!$B$4:$B$503,_calc!$E$19)))</f>
        <v/>
      </c>
      <c r="D17" s="47">
        <f>IF(_calc!$E$19="","",IF(ISNUMBER(INDEX('Checks'!$C$4:$C$503,_calc!$E$19)),TEXT(INDEX('Checks'!$C$4:$C$503,_calc!$E$19),"yyyy-mm-dd"),""))</f>
        <v/>
      </c>
      <c r="E17" s="47">
        <f>IF(_calc!$E$19="","",IF(LEN(INDEX('Checks'!$L$4:$L$503,_calc!$E$19))=0,"",INDEX('Checks'!$L$4:$L$503,_calc!$E$19)))</f>
        <v/>
      </c>
      <c r="F17" s="47">
        <f>IF(_calc!$E$19="","",TRIM(IF(LEN(IF(LEN(INDEX('Checks'!$I$4:$I$503,_calc!$E$19))=0,"",INDEX('Checks'!$I$4:$I$503,_calc!$E$19)))=0,"","Contractor: "&amp;IF(LEN(INDEX('Checks'!$I$4:$I$503,_calc!$E$19))=0,"",INDEX('Checks'!$I$4:$I$503,_calc!$E$19))&amp;". ")&amp;IF(LEN(IF(LEN(INDEX('Checks'!$J$4:$J$503,_calc!$E$19))=0,"",INDEX('Checks'!$J$4:$J$503,_calc!$E$19)))=0,"","Ref: "&amp;IF(LEN(INDEX('Checks'!$J$4:$J$503,_calc!$E$19))=0,"",INDEX('Checks'!$J$4:$J$503,_calc!$E$19))&amp;". ")&amp;IF(LEN(IF(ISNUMBER(INDEX('Checks'!$K$4:$K$503,_calc!$E$19)),TEXT(INDEX('Checks'!$K$4:$K$503,_calc!$E$19),"yyyy-mm-dd"),""))=0,"","Copy to tenant: "&amp;IF(ISNUMBER(INDEX('Checks'!$K$4:$K$503,_calc!$E$19)),TEXT(INDEX('Checks'!$K$4:$K$503,_calc!$E$19),"yyyy-mm-dd"),"")&amp;". ")&amp;IF(LEN(IF(LEN(INDEX('Checks'!$P$4:$P$503,_calc!$E$19))=0,"",INDEX('Checks'!$P$4:$P$503,_calc!$E$19)))=0,"",IF(LEN(INDEX('Checks'!$P$4:$P$503,_calc!$E$19))=0,"",INDEX('Checks'!$P$4:$P$503,_calc!$E$19)))))</f>
        <v/>
      </c>
      <c r="G17" s="47">
        <f>IF(_calc!$E$19="","",IF(LEN(INDEX('Checks'!$N$4:$N$503,_calc!$E$19))=0,"",INDEX('Checks'!$N$4:$N$503,_calc!$E$19)))</f>
        <v/>
      </c>
      <c r="K17" s="47">
        <f>IF(_calc!$E$19="","",IF(LEN(INDEX('Checks'!$M$4:$M$503,_calc!$E$19))=0,"",INDEX('Checks'!$M$4:$M$503,_calc!$E$19)))</f>
        <v/>
      </c>
    </row>
    <row r="18">
      <c r="A18" s="47">
        <f>IF(_calc!$E$20="","",IF(LEN(INDEX('Checks'!$B$4:$B$503,_calc!$E$20))=0,"",INDEX('Checks'!$B$4:$B$503,_calc!$E$20))&amp;" – "&amp;IF(LEN(INDEX('Checks'!$A$4:$A$503,_calc!$E$20))=0,"",INDEX('Checks'!$A$4:$A$503,_calc!$E$20)))</f>
        <v/>
      </c>
      <c r="B18" s="47">
        <f>IF(_calc!$E$20="","",IF(ISNUMBER(INDEX('Checks'!$D$4:$D$503,_calc!$E$20)),TEXT(INDEX('Checks'!$D$4:$D$503,_calc!$E$20),"yyyy-mm-dd"),""))</f>
        <v/>
      </c>
      <c r="C18" s="47">
        <f>IF(_calc!$E$20="","",IF(LEN(INDEX('Checks'!$B$4:$B$503,_calc!$E$20))=0,"",INDEX('Checks'!$B$4:$B$503,_calc!$E$20)))</f>
        <v/>
      </c>
      <c r="D18" s="47">
        <f>IF(_calc!$E$20="","",IF(ISNUMBER(INDEX('Checks'!$C$4:$C$503,_calc!$E$20)),TEXT(INDEX('Checks'!$C$4:$C$503,_calc!$E$20),"yyyy-mm-dd"),""))</f>
        <v/>
      </c>
      <c r="E18" s="47">
        <f>IF(_calc!$E$20="","",IF(LEN(INDEX('Checks'!$L$4:$L$503,_calc!$E$20))=0,"",INDEX('Checks'!$L$4:$L$503,_calc!$E$20)))</f>
        <v/>
      </c>
      <c r="F18" s="47">
        <f>IF(_calc!$E$20="","",TRIM(IF(LEN(IF(LEN(INDEX('Checks'!$I$4:$I$503,_calc!$E$20))=0,"",INDEX('Checks'!$I$4:$I$503,_calc!$E$20)))=0,"","Contractor: "&amp;IF(LEN(INDEX('Checks'!$I$4:$I$503,_calc!$E$20))=0,"",INDEX('Checks'!$I$4:$I$503,_calc!$E$20))&amp;". ")&amp;IF(LEN(IF(LEN(INDEX('Checks'!$J$4:$J$503,_calc!$E$20))=0,"",INDEX('Checks'!$J$4:$J$503,_calc!$E$20)))=0,"","Ref: "&amp;IF(LEN(INDEX('Checks'!$J$4:$J$503,_calc!$E$20))=0,"",INDEX('Checks'!$J$4:$J$503,_calc!$E$20))&amp;". ")&amp;IF(LEN(IF(ISNUMBER(INDEX('Checks'!$K$4:$K$503,_calc!$E$20)),TEXT(INDEX('Checks'!$K$4:$K$503,_calc!$E$20),"yyyy-mm-dd"),""))=0,"","Copy to tenant: "&amp;IF(ISNUMBER(INDEX('Checks'!$K$4:$K$503,_calc!$E$20)),TEXT(INDEX('Checks'!$K$4:$K$503,_calc!$E$20),"yyyy-mm-dd"),"")&amp;". ")&amp;IF(LEN(IF(LEN(INDEX('Checks'!$P$4:$P$503,_calc!$E$20))=0,"",INDEX('Checks'!$P$4:$P$503,_calc!$E$20)))=0,"",IF(LEN(INDEX('Checks'!$P$4:$P$503,_calc!$E$20))=0,"",INDEX('Checks'!$P$4:$P$503,_calc!$E$20)))))</f>
        <v/>
      </c>
      <c r="G18" s="47">
        <f>IF(_calc!$E$20="","",IF(LEN(INDEX('Checks'!$N$4:$N$503,_calc!$E$20))=0,"",INDEX('Checks'!$N$4:$N$503,_calc!$E$20)))</f>
        <v/>
      </c>
      <c r="K18" s="47">
        <f>IF(_calc!$E$20="","",IF(LEN(INDEX('Checks'!$M$4:$M$503,_calc!$E$20))=0,"",INDEX('Checks'!$M$4:$M$503,_calc!$E$20)))</f>
        <v/>
      </c>
    </row>
    <row r="19">
      <c r="A19" s="47">
        <f>IF(_calc!$E$21="","",IF(LEN(INDEX('Checks'!$B$4:$B$503,_calc!$E$21))=0,"",INDEX('Checks'!$B$4:$B$503,_calc!$E$21))&amp;" – "&amp;IF(LEN(INDEX('Checks'!$A$4:$A$503,_calc!$E$21))=0,"",INDEX('Checks'!$A$4:$A$503,_calc!$E$21)))</f>
        <v/>
      </c>
      <c r="B19" s="47">
        <f>IF(_calc!$E$21="","",IF(ISNUMBER(INDEX('Checks'!$D$4:$D$503,_calc!$E$21)),TEXT(INDEX('Checks'!$D$4:$D$503,_calc!$E$21),"yyyy-mm-dd"),""))</f>
        <v/>
      </c>
      <c r="C19" s="47">
        <f>IF(_calc!$E$21="","",IF(LEN(INDEX('Checks'!$B$4:$B$503,_calc!$E$21))=0,"",INDEX('Checks'!$B$4:$B$503,_calc!$E$21)))</f>
        <v/>
      </c>
      <c r="D19" s="47">
        <f>IF(_calc!$E$21="","",IF(ISNUMBER(INDEX('Checks'!$C$4:$C$503,_calc!$E$21)),TEXT(INDEX('Checks'!$C$4:$C$503,_calc!$E$21),"yyyy-mm-dd"),""))</f>
        <v/>
      </c>
      <c r="E19" s="47">
        <f>IF(_calc!$E$21="","",IF(LEN(INDEX('Checks'!$L$4:$L$503,_calc!$E$21))=0,"",INDEX('Checks'!$L$4:$L$503,_calc!$E$21)))</f>
        <v/>
      </c>
      <c r="F19" s="47">
        <f>IF(_calc!$E$21="","",TRIM(IF(LEN(IF(LEN(INDEX('Checks'!$I$4:$I$503,_calc!$E$21))=0,"",INDEX('Checks'!$I$4:$I$503,_calc!$E$21)))=0,"","Contractor: "&amp;IF(LEN(INDEX('Checks'!$I$4:$I$503,_calc!$E$21))=0,"",INDEX('Checks'!$I$4:$I$503,_calc!$E$21))&amp;". ")&amp;IF(LEN(IF(LEN(INDEX('Checks'!$J$4:$J$503,_calc!$E$21))=0,"",INDEX('Checks'!$J$4:$J$503,_calc!$E$21)))=0,"","Ref: "&amp;IF(LEN(INDEX('Checks'!$J$4:$J$503,_calc!$E$21))=0,"",INDEX('Checks'!$J$4:$J$503,_calc!$E$21))&amp;". ")&amp;IF(LEN(IF(ISNUMBER(INDEX('Checks'!$K$4:$K$503,_calc!$E$21)),TEXT(INDEX('Checks'!$K$4:$K$503,_calc!$E$21),"yyyy-mm-dd"),""))=0,"","Copy to tenant: "&amp;IF(ISNUMBER(INDEX('Checks'!$K$4:$K$503,_calc!$E$21)),TEXT(INDEX('Checks'!$K$4:$K$503,_calc!$E$21),"yyyy-mm-dd"),"")&amp;". ")&amp;IF(LEN(IF(LEN(INDEX('Checks'!$P$4:$P$503,_calc!$E$21))=0,"",INDEX('Checks'!$P$4:$P$503,_calc!$E$21)))=0,"",IF(LEN(INDEX('Checks'!$P$4:$P$503,_calc!$E$21))=0,"",INDEX('Checks'!$P$4:$P$503,_calc!$E$21)))))</f>
        <v/>
      </c>
      <c r="G19" s="47">
        <f>IF(_calc!$E$21="","",IF(LEN(INDEX('Checks'!$N$4:$N$503,_calc!$E$21))=0,"",INDEX('Checks'!$N$4:$N$503,_calc!$E$21)))</f>
        <v/>
      </c>
      <c r="K19" s="47">
        <f>IF(_calc!$E$21="","",IF(LEN(INDEX('Checks'!$M$4:$M$503,_calc!$E$21))=0,"",INDEX('Checks'!$M$4:$M$503,_calc!$E$21)))</f>
        <v/>
      </c>
    </row>
    <row r="20">
      <c r="A20" s="47">
        <f>IF(_calc!$E$22="","",IF(LEN(INDEX('Checks'!$B$4:$B$503,_calc!$E$22))=0,"",INDEX('Checks'!$B$4:$B$503,_calc!$E$22))&amp;" – "&amp;IF(LEN(INDEX('Checks'!$A$4:$A$503,_calc!$E$22))=0,"",INDEX('Checks'!$A$4:$A$503,_calc!$E$22)))</f>
        <v/>
      </c>
      <c r="B20" s="47">
        <f>IF(_calc!$E$22="","",IF(ISNUMBER(INDEX('Checks'!$D$4:$D$503,_calc!$E$22)),TEXT(INDEX('Checks'!$D$4:$D$503,_calc!$E$22),"yyyy-mm-dd"),""))</f>
        <v/>
      </c>
      <c r="C20" s="47">
        <f>IF(_calc!$E$22="","",IF(LEN(INDEX('Checks'!$B$4:$B$503,_calc!$E$22))=0,"",INDEX('Checks'!$B$4:$B$503,_calc!$E$22)))</f>
        <v/>
      </c>
      <c r="D20" s="47">
        <f>IF(_calc!$E$22="","",IF(ISNUMBER(INDEX('Checks'!$C$4:$C$503,_calc!$E$22)),TEXT(INDEX('Checks'!$C$4:$C$503,_calc!$E$22),"yyyy-mm-dd"),""))</f>
        <v/>
      </c>
      <c r="E20" s="47">
        <f>IF(_calc!$E$22="","",IF(LEN(INDEX('Checks'!$L$4:$L$503,_calc!$E$22))=0,"",INDEX('Checks'!$L$4:$L$503,_calc!$E$22)))</f>
        <v/>
      </c>
      <c r="F20" s="47">
        <f>IF(_calc!$E$22="","",TRIM(IF(LEN(IF(LEN(INDEX('Checks'!$I$4:$I$503,_calc!$E$22))=0,"",INDEX('Checks'!$I$4:$I$503,_calc!$E$22)))=0,"","Contractor: "&amp;IF(LEN(INDEX('Checks'!$I$4:$I$503,_calc!$E$22))=0,"",INDEX('Checks'!$I$4:$I$503,_calc!$E$22))&amp;". ")&amp;IF(LEN(IF(LEN(INDEX('Checks'!$J$4:$J$503,_calc!$E$22))=0,"",INDEX('Checks'!$J$4:$J$503,_calc!$E$22)))=0,"","Ref: "&amp;IF(LEN(INDEX('Checks'!$J$4:$J$503,_calc!$E$22))=0,"",INDEX('Checks'!$J$4:$J$503,_calc!$E$22))&amp;". ")&amp;IF(LEN(IF(ISNUMBER(INDEX('Checks'!$K$4:$K$503,_calc!$E$22)),TEXT(INDEX('Checks'!$K$4:$K$503,_calc!$E$22),"yyyy-mm-dd"),""))=0,"","Copy to tenant: "&amp;IF(ISNUMBER(INDEX('Checks'!$K$4:$K$503,_calc!$E$22)),TEXT(INDEX('Checks'!$K$4:$K$503,_calc!$E$22),"yyyy-mm-dd"),"")&amp;". ")&amp;IF(LEN(IF(LEN(INDEX('Checks'!$P$4:$P$503,_calc!$E$22))=0,"",INDEX('Checks'!$P$4:$P$503,_calc!$E$22)))=0,"",IF(LEN(INDEX('Checks'!$P$4:$P$503,_calc!$E$22))=0,"",INDEX('Checks'!$P$4:$P$503,_calc!$E$22)))))</f>
        <v/>
      </c>
      <c r="G20" s="47">
        <f>IF(_calc!$E$22="","",IF(LEN(INDEX('Checks'!$N$4:$N$503,_calc!$E$22))=0,"",INDEX('Checks'!$N$4:$N$503,_calc!$E$22)))</f>
        <v/>
      </c>
      <c r="K20" s="47">
        <f>IF(_calc!$E$22="","",IF(LEN(INDEX('Checks'!$M$4:$M$503,_calc!$E$22))=0,"",INDEX('Checks'!$M$4:$M$503,_calc!$E$22)))</f>
        <v/>
      </c>
    </row>
    <row r="21">
      <c r="A21" s="47">
        <f>IF(_calc!$E$23="","",IF(LEN(INDEX('Checks'!$B$4:$B$503,_calc!$E$23))=0,"",INDEX('Checks'!$B$4:$B$503,_calc!$E$23))&amp;" – "&amp;IF(LEN(INDEX('Checks'!$A$4:$A$503,_calc!$E$23))=0,"",INDEX('Checks'!$A$4:$A$503,_calc!$E$23)))</f>
        <v/>
      </c>
      <c r="B21" s="47">
        <f>IF(_calc!$E$23="","",IF(ISNUMBER(INDEX('Checks'!$D$4:$D$503,_calc!$E$23)),TEXT(INDEX('Checks'!$D$4:$D$503,_calc!$E$23),"yyyy-mm-dd"),""))</f>
        <v/>
      </c>
      <c r="C21" s="47">
        <f>IF(_calc!$E$23="","",IF(LEN(INDEX('Checks'!$B$4:$B$503,_calc!$E$23))=0,"",INDEX('Checks'!$B$4:$B$503,_calc!$E$23)))</f>
        <v/>
      </c>
      <c r="D21" s="47">
        <f>IF(_calc!$E$23="","",IF(ISNUMBER(INDEX('Checks'!$C$4:$C$503,_calc!$E$23)),TEXT(INDEX('Checks'!$C$4:$C$503,_calc!$E$23),"yyyy-mm-dd"),""))</f>
        <v/>
      </c>
      <c r="E21" s="47">
        <f>IF(_calc!$E$23="","",IF(LEN(INDEX('Checks'!$L$4:$L$503,_calc!$E$23))=0,"",INDEX('Checks'!$L$4:$L$503,_calc!$E$23)))</f>
        <v/>
      </c>
      <c r="F21" s="47">
        <f>IF(_calc!$E$23="","",TRIM(IF(LEN(IF(LEN(INDEX('Checks'!$I$4:$I$503,_calc!$E$23))=0,"",INDEX('Checks'!$I$4:$I$503,_calc!$E$23)))=0,"","Contractor: "&amp;IF(LEN(INDEX('Checks'!$I$4:$I$503,_calc!$E$23))=0,"",INDEX('Checks'!$I$4:$I$503,_calc!$E$23))&amp;". ")&amp;IF(LEN(IF(LEN(INDEX('Checks'!$J$4:$J$503,_calc!$E$23))=0,"",INDEX('Checks'!$J$4:$J$503,_calc!$E$23)))=0,"","Ref: "&amp;IF(LEN(INDEX('Checks'!$J$4:$J$503,_calc!$E$23))=0,"",INDEX('Checks'!$J$4:$J$503,_calc!$E$23))&amp;". ")&amp;IF(LEN(IF(ISNUMBER(INDEX('Checks'!$K$4:$K$503,_calc!$E$23)),TEXT(INDEX('Checks'!$K$4:$K$503,_calc!$E$23),"yyyy-mm-dd"),""))=0,"","Copy to tenant: "&amp;IF(ISNUMBER(INDEX('Checks'!$K$4:$K$503,_calc!$E$23)),TEXT(INDEX('Checks'!$K$4:$K$503,_calc!$E$23),"yyyy-mm-dd"),"")&amp;". ")&amp;IF(LEN(IF(LEN(INDEX('Checks'!$P$4:$P$503,_calc!$E$23))=0,"",INDEX('Checks'!$P$4:$P$503,_calc!$E$23)))=0,"",IF(LEN(INDEX('Checks'!$P$4:$P$503,_calc!$E$23))=0,"",INDEX('Checks'!$P$4:$P$503,_calc!$E$23)))))</f>
        <v/>
      </c>
      <c r="G21" s="47">
        <f>IF(_calc!$E$23="","",IF(LEN(INDEX('Checks'!$N$4:$N$503,_calc!$E$23))=0,"",INDEX('Checks'!$N$4:$N$503,_calc!$E$23)))</f>
        <v/>
      </c>
      <c r="K21" s="47">
        <f>IF(_calc!$E$23="","",IF(LEN(INDEX('Checks'!$M$4:$M$503,_calc!$E$23))=0,"",INDEX('Checks'!$M$4:$M$503,_calc!$E$23)))</f>
        <v/>
      </c>
    </row>
    <row r="22">
      <c r="A22" s="47">
        <f>IF(_calc!$E$24="","",IF(LEN(INDEX('Checks'!$B$4:$B$503,_calc!$E$24))=0,"",INDEX('Checks'!$B$4:$B$503,_calc!$E$24))&amp;" – "&amp;IF(LEN(INDEX('Checks'!$A$4:$A$503,_calc!$E$24))=0,"",INDEX('Checks'!$A$4:$A$503,_calc!$E$24)))</f>
        <v/>
      </c>
      <c r="B22" s="47">
        <f>IF(_calc!$E$24="","",IF(ISNUMBER(INDEX('Checks'!$D$4:$D$503,_calc!$E$24)),TEXT(INDEX('Checks'!$D$4:$D$503,_calc!$E$24),"yyyy-mm-dd"),""))</f>
        <v/>
      </c>
      <c r="C22" s="47">
        <f>IF(_calc!$E$24="","",IF(LEN(INDEX('Checks'!$B$4:$B$503,_calc!$E$24))=0,"",INDEX('Checks'!$B$4:$B$503,_calc!$E$24)))</f>
        <v/>
      </c>
      <c r="D22" s="47">
        <f>IF(_calc!$E$24="","",IF(ISNUMBER(INDEX('Checks'!$C$4:$C$503,_calc!$E$24)),TEXT(INDEX('Checks'!$C$4:$C$503,_calc!$E$24),"yyyy-mm-dd"),""))</f>
        <v/>
      </c>
      <c r="E22" s="47">
        <f>IF(_calc!$E$24="","",IF(LEN(INDEX('Checks'!$L$4:$L$503,_calc!$E$24))=0,"",INDEX('Checks'!$L$4:$L$503,_calc!$E$24)))</f>
        <v/>
      </c>
      <c r="F22" s="47">
        <f>IF(_calc!$E$24="","",TRIM(IF(LEN(IF(LEN(INDEX('Checks'!$I$4:$I$503,_calc!$E$24))=0,"",INDEX('Checks'!$I$4:$I$503,_calc!$E$24)))=0,"","Contractor: "&amp;IF(LEN(INDEX('Checks'!$I$4:$I$503,_calc!$E$24))=0,"",INDEX('Checks'!$I$4:$I$503,_calc!$E$24))&amp;". ")&amp;IF(LEN(IF(LEN(INDEX('Checks'!$J$4:$J$503,_calc!$E$24))=0,"",INDEX('Checks'!$J$4:$J$503,_calc!$E$24)))=0,"","Ref: "&amp;IF(LEN(INDEX('Checks'!$J$4:$J$503,_calc!$E$24))=0,"",INDEX('Checks'!$J$4:$J$503,_calc!$E$24))&amp;". ")&amp;IF(LEN(IF(ISNUMBER(INDEX('Checks'!$K$4:$K$503,_calc!$E$24)),TEXT(INDEX('Checks'!$K$4:$K$503,_calc!$E$24),"yyyy-mm-dd"),""))=0,"","Copy to tenant: "&amp;IF(ISNUMBER(INDEX('Checks'!$K$4:$K$503,_calc!$E$24)),TEXT(INDEX('Checks'!$K$4:$K$503,_calc!$E$24),"yyyy-mm-dd"),"")&amp;". ")&amp;IF(LEN(IF(LEN(INDEX('Checks'!$P$4:$P$503,_calc!$E$24))=0,"",INDEX('Checks'!$P$4:$P$503,_calc!$E$24)))=0,"",IF(LEN(INDEX('Checks'!$P$4:$P$503,_calc!$E$24))=0,"",INDEX('Checks'!$P$4:$P$503,_calc!$E$24)))))</f>
        <v/>
      </c>
      <c r="G22" s="47">
        <f>IF(_calc!$E$24="","",IF(LEN(INDEX('Checks'!$N$4:$N$503,_calc!$E$24))=0,"",INDEX('Checks'!$N$4:$N$503,_calc!$E$24)))</f>
        <v/>
      </c>
      <c r="K22" s="47">
        <f>IF(_calc!$E$24="","",IF(LEN(INDEX('Checks'!$M$4:$M$503,_calc!$E$24))=0,"",INDEX('Checks'!$M$4:$M$503,_calc!$E$24)))</f>
        <v/>
      </c>
    </row>
    <row r="23">
      <c r="A23" s="47">
        <f>IF(_calc!$E$25="","",IF(LEN(INDEX('Checks'!$B$4:$B$503,_calc!$E$25))=0,"",INDEX('Checks'!$B$4:$B$503,_calc!$E$25))&amp;" – "&amp;IF(LEN(INDEX('Checks'!$A$4:$A$503,_calc!$E$25))=0,"",INDEX('Checks'!$A$4:$A$503,_calc!$E$25)))</f>
        <v/>
      </c>
      <c r="B23" s="47">
        <f>IF(_calc!$E$25="","",IF(ISNUMBER(INDEX('Checks'!$D$4:$D$503,_calc!$E$25)),TEXT(INDEX('Checks'!$D$4:$D$503,_calc!$E$25),"yyyy-mm-dd"),""))</f>
        <v/>
      </c>
      <c r="C23" s="47">
        <f>IF(_calc!$E$25="","",IF(LEN(INDEX('Checks'!$B$4:$B$503,_calc!$E$25))=0,"",INDEX('Checks'!$B$4:$B$503,_calc!$E$25)))</f>
        <v/>
      </c>
      <c r="D23" s="47">
        <f>IF(_calc!$E$25="","",IF(ISNUMBER(INDEX('Checks'!$C$4:$C$503,_calc!$E$25)),TEXT(INDEX('Checks'!$C$4:$C$503,_calc!$E$25),"yyyy-mm-dd"),""))</f>
        <v/>
      </c>
      <c r="E23" s="47">
        <f>IF(_calc!$E$25="","",IF(LEN(INDEX('Checks'!$L$4:$L$503,_calc!$E$25))=0,"",INDEX('Checks'!$L$4:$L$503,_calc!$E$25)))</f>
        <v/>
      </c>
      <c r="F23" s="47">
        <f>IF(_calc!$E$25="","",TRIM(IF(LEN(IF(LEN(INDEX('Checks'!$I$4:$I$503,_calc!$E$25))=0,"",INDEX('Checks'!$I$4:$I$503,_calc!$E$25)))=0,"","Contractor: "&amp;IF(LEN(INDEX('Checks'!$I$4:$I$503,_calc!$E$25))=0,"",INDEX('Checks'!$I$4:$I$503,_calc!$E$25))&amp;". ")&amp;IF(LEN(IF(LEN(INDEX('Checks'!$J$4:$J$503,_calc!$E$25))=0,"",INDEX('Checks'!$J$4:$J$503,_calc!$E$25)))=0,"","Ref: "&amp;IF(LEN(INDEX('Checks'!$J$4:$J$503,_calc!$E$25))=0,"",INDEX('Checks'!$J$4:$J$503,_calc!$E$25))&amp;". ")&amp;IF(LEN(IF(ISNUMBER(INDEX('Checks'!$K$4:$K$503,_calc!$E$25)),TEXT(INDEX('Checks'!$K$4:$K$503,_calc!$E$25),"yyyy-mm-dd"),""))=0,"","Copy to tenant: "&amp;IF(ISNUMBER(INDEX('Checks'!$K$4:$K$503,_calc!$E$25)),TEXT(INDEX('Checks'!$K$4:$K$503,_calc!$E$25),"yyyy-mm-dd"),"")&amp;". ")&amp;IF(LEN(IF(LEN(INDEX('Checks'!$P$4:$P$503,_calc!$E$25))=0,"",INDEX('Checks'!$P$4:$P$503,_calc!$E$25)))=0,"",IF(LEN(INDEX('Checks'!$P$4:$P$503,_calc!$E$25))=0,"",INDEX('Checks'!$P$4:$P$503,_calc!$E$25)))))</f>
        <v/>
      </c>
      <c r="G23" s="47">
        <f>IF(_calc!$E$25="","",IF(LEN(INDEX('Checks'!$N$4:$N$503,_calc!$E$25))=0,"",INDEX('Checks'!$N$4:$N$503,_calc!$E$25)))</f>
        <v/>
      </c>
      <c r="K23" s="47">
        <f>IF(_calc!$E$25="","",IF(LEN(INDEX('Checks'!$M$4:$M$503,_calc!$E$25))=0,"",INDEX('Checks'!$M$4:$M$503,_calc!$E$25)))</f>
        <v/>
      </c>
    </row>
    <row r="24">
      <c r="A24" s="47">
        <f>IF(_calc!$E$26="","",IF(LEN(INDEX('Checks'!$B$4:$B$503,_calc!$E$26))=0,"",INDEX('Checks'!$B$4:$B$503,_calc!$E$26))&amp;" – "&amp;IF(LEN(INDEX('Checks'!$A$4:$A$503,_calc!$E$26))=0,"",INDEX('Checks'!$A$4:$A$503,_calc!$E$26)))</f>
        <v/>
      </c>
      <c r="B24" s="47">
        <f>IF(_calc!$E$26="","",IF(ISNUMBER(INDEX('Checks'!$D$4:$D$503,_calc!$E$26)),TEXT(INDEX('Checks'!$D$4:$D$503,_calc!$E$26),"yyyy-mm-dd"),""))</f>
        <v/>
      </c>
      <c r="C24" s="47">
        <f>IF(_calc!$E$26="","",IF(LEN(INDEX('Checks'!$B$4:$B$503,_calc!$E$26))=0,"",INDEX('Checks'!$B$4:$B$503,_calc!$E$26)))</f>
        <v/>
      </c>
      <c r="D24" s="47">
        <f>IF(_calc!$E$26="","",IF(ISNUMBER(INDEX('Checks'!$C$4:$C$503,_calc!$E$26)),TEXT(INDEX('Checks'!$C$4:$C$503,_calc!$E$26),"yyyy-mm-dd"),""))</f>
        <v/>
      </c>
      <c r="E24" s="47">
        <f>IF(_calc!$E$26="","",IF(LEN(INDEX('Checks'!$L$4:$L$503,_calc!$E$26))=0,"",INDEX('Checks'!$L$4:$L$503,_calc!$E$26)))</f>
        <v/>
      </c>
      <c r="F24" s="47">
        <f>IF(_calc!$E$26="","",TRIM(IF(LEN(IF(LEN(INDEX('Checks'!$I$4:$I$503,_calc!$E$26))=0,"",INDEX('Checks'!$I$4:$I$503,_calc!$E$26)))=0,"","Contractor: "&amp;IF(LEN(INDEX('Checks'!$I$4:$I$503,_calc!$E$26))=0,"",INDEX('Checks'!$I$4:$I$503,_calc!$E$26))&amp;". ")&amp;IF(LEN(IF(LEN(INDEX('Checks'!$J$4:$J$503,_calc!$E$26))=0,"",INDEX('Checks'!$J$4:$J$503,_calc!$E$26)))=0,"","Ref: "&amp;IF(LEN(INDEX('Checks'!$J$4:$J$503,_calc!$E$26))=0,"",INDEX('Checks'!$J$4:$J$503,_calc!$E$26))&amp;". ")&amp;IF(LEN(IF(ISNUMBER(INDEX('Checks'!$K$4:$K$503,_calc!$E$26)),TEXT(INDEX('Checks'!$K$4:$K$503,_calc!$E$26),"yyyy-mm-dd"),""))=0,"","Copy to tenant: "&amp;IF(ISNUMBER(INDEX('Checks'!$K$4:$K$503,_calc!$E$26)),TEXT(INDEX('Checks'!$K$4:$K$503,_calc!$E$26),"yyyy-mm-dd"),"")&amp;". ")&amp;IF(LEN(IF(LEN(INDEX('Checks'!$P$4:$P$503,_calc!$E$26))=0,"",INDEX('Checks'!$P$4:$P$503,_calc!$E$26)))=0,"",IF(LEN(INDEX('Checks'!$P$4:$P$503,_calc!$E$26))=0,"",INDEX('Checks'!$P$4:$P$503,_calc!$E$26)))))</f>
        <v/>
      </c>
      <c r="G24" s="47">
        <f>IF(_calc!$E$26="","",IF(LEN(INDEX('Checks'!$N$4:$N$503,_calc!$E$26))=0,"",INDEX('Checks'!$N$4:$N$503,_calc!$E$26)))</f>
        <v/>
      </c>
      <c r="K24" s="47">
        <f>IF(_calc!$E$26="","",IF(LEN(INDEX('Checks'!$M$4:$M$503,_calc!$E$26))=0,"",INDEX('Checks'!$M$4:$M$503,_calc!$E$26)))</f>
        <v/>
      </c>
    </row>
    <row r="25">
      <c r="A25" s="47">
        <f>IF(_calc!$E$27="","",IF(LEN(INDEX('Checks'!$B$4:$B$503,_calc!$E$27))=0,"",INDEX('Checks'!$B$4:$B$503,_calc!$E$27))&amp;" – "&amp;IF(LEN(INDEX('Checks'!$A$4:$A$503,_calc!$E$27))=0,"",INDEX('Checks'!$A$4:$A$503,_calc!$E$27)))</f>
        <v/>
      </c>
      <c r="B25" s="47">
        <f>IF(_calc!$E$27="","",IF(ISNUMBER(INDEX('Checks'!$D$4:$D$503,_calc!$E$27)),TEXT(INDEX('Checks'!$D$4:$D$503,_calc!$E$27),"yyyy-mm-dd"),""))</f>
        <v/>
      </c>
      <c r="C25" s="47">
        <f>IF(_calc!$E$27="","",IF(LEN(INDEX('Checks'!$B$4:$B$503,_calc!$E$27))=0,"",INDEX('Checks'!$B$4:$B$503,_calc!$E$27)))</f>
        <v/>
      </c>
      <c r="D25" s="47">
        <f>IF(_calc!$E$27="","",IF(ISNUMBER(INDEX('Checks'!$C$4:$C$503,_calc!$E$27)),TEXT(INDEX('Checks'!$C$4:$C$503,_calc!$E$27),"yyyy-mm-dd"),""))</f>
        <v/>
      </c>
      <c r="E25" s="47">
        <f>IF(_calc!$E$27="","",IF(LEN(INDEX('Checks'!$L$4:$L$503,_calc!$E$27))=0,"",INDEX('Checks'!$L$4:$L$503,_calc!$E$27)))</f>
        <v/>
      </c>
      <c r="F25" s="47">
        <f>IF(_calc!$E$27="","",TRIM(IF(LEN(IF(LEN(INDEX('Checks'!$I$4:$I$503,_calc!$E$27))=0,"",INDEX('Checks'!$I$4:$I$503,_calc!$E$27)))=0,"","Contractor: "&amp;IF(LEN(INDEX('Checks'!$I$4:$I$503,_calc!$E$27))=0,"",INDEX('Checks'!$I$4:$I$503,_calc!$E$27))&amp;". ")&amp;IF(LEN(IF(LEN(INDEX('Checks'!$J$4:$J$503,_calc!$E$27))=0,"",INDEX('Checks'!$J$4:$J$503,_calc!$E$27)))=0,"","Ref: "&amp;IF(LEN(INDEX('Checks'!$J$4:$J$503,_calc!$E$27))=0,"",INDEX('Checks'!$J$4:$J$503,_calc!$E$27))&amp;". ")&amp;IF(LEN(IF(ISNUMBER(INDEX('Checks'!$K$4:$K$503,_calc!$E$27)),TEXT(INDEX('Checks'!$K$4:$K$503,_calc!$E$27),"yyyy-mm-dd"),""))=0,"","Copy to tenant: "&amp;IF(ISNUMBER(INDEX('Checks'!$K$4:$K$503,_calc!$E$27)),TEXT(INDEX('Checks'!$K$4:$K$503,_calc!$E$27),"yyyy-mm-dd"),"")&amp;". ")&amp;IF(LEN(IF(LEN(INDEX('Checks'!$P$4:$P$503,_calc!$E$27))=0,"",INDEX('Checks'!$P$4:$P$503,_calc!$E$27)))=0,"",IF(LEN(INDEX('Checks'!$P$4:$P$503,_calc!$E$27))=0,"",INDEX('Checks'!$P$4:$P$503,_calc!$E$27)))))</f>
        <v/>
      </c>
      <c r="G25" s="47">
        <f>IF(_calc!$E$27="","",IF(LEN(INDEX('Checks'!$N$4:$N$503,_calc!$E$27))=0,"",INDEX('Checks'!$N$4:$N$503,_calc!$E$27)))</f>
        <v/>
      </c>
      <c r="K25" s="47">
        <f>IF(_calc!$E$27="","",IF(LEN(INDEX('Checks'!$M$4:$M$503,_calc!$E$27))=0,"",INDEX('Checks'!$M$4:$M$503,_calc!$E$27)))</f>
        <v/>
      </c>
    </row>
    <row r="26">
      <c r="A26" s="47">
        <f>IF(_calc!$E$28="","",IF(LEN(INDEX('Checks'!$B$4:$B$503,_calc!$E$28))=0,"",INDEX('Checks'!$B$4:$B$503,_calc!$E$28))&amp;" – "&amp;IF(LEN(INDEX('Checks'!$A$4:$A$503,_calc!$E$28))=0,"",INDEX('Checks'!$A$4:$A$503,_calc!$E$28)))</f>
        <v/>
      </c>
      <c r="B26" s="47">
        <f>IF(_calc!$E$28="","",IF(ISNUMBER(INDEX('Checks'!$D$4:$D$503,_calc!$E$28)),TEXT(INDEX('Checks'!$D$4:$D$503,_calc!$E$28),"yyyy-mm-dd"),""))</f>
        <v/>
      </c>
      <c r="C26" s="47">
        <f>IF(_calc!$E$28="","",IF(LEN(INDEX('Checks'!$B$4:$B$503,_calc!$E$28))=0,"",INDEX('Checks'!$B$4:$B$503,_calc!$E$28)))</f>
        <v/>
      </c>
      <c r="D26" s="47">
        <f>IF(_calc!$E$28="","",IF(ISNUMBER(INDEX('Checks'!$C$4:$C$503,_calc!$E$28)),TEXT(INDEX('Checks'!$C$4:$C$503,_calc!$E$28),"yyyy-mm-dd"),""))</f>
        <v/>
      </c>
      <c r="E26" s="47">
        <f>IF(_calc!$E$28="","",IF(LEN(INDEX('Checks'!$L$4:$L$503,_calc!$E$28))=0,"",INDEX('Checks'!$L$4:$L$503,_calc!$E$28)))</f>
        <v/>
      </c>
      <c r="F26" s="47">
        <f>IF(_calc!$E$28="","",TRIM(IF(LEN(IF(LEN(INDEX('Checks'!$I$4:$I$503,_calc!$E$28))=0,"",INDEX('Checks'!$I$4:$I$503,_calc!$E$28)))=0,"","Contractor: "&amp;IF(LEN(INDEX('Checks'!$I$4:$I$503,_calc!$E$28))=0,"",INDEX('Checks'!$I$4:$I$503,_calc!$E$28))&amp;". ")&amp;IF(LEN(IF(LEN(INDEX('Checks'!$J$4:$J$503,_calc!$E$28))=0,"",INDEX('Checks'!$J$4:$J$503,_calc!$E$28)))=0,"","Ref: "&amp;IF(LEN(INDEX('Checks'!$J$4:$J$503,_calc!$E$28))=0,"",INDEX('Checks'!$J$4:$J$503,_calc!$E$28))&amp;". ")&amp;IF(LEN(IF(ISNUMBER(INDEX('Checks'!$K$4:$K$503,_calc!$E$28)),TEXT(INDEX('Checks'!$K$4:$K$503,_calc!$E$28),"yyyy-mm-dd"),""))=0,"","Copy to tenant: "&amp;IF(ISNUMBER(INDEX('Checks'!$K$4:$K$503,_calc!$E$28)),TEXT(INDEX('Checks'!$K$4:$K$503,_calc!$E$28),"yyyy-mm-dd"),"")&amp;". ")&amp;IF(LEN(IF(LEN(INDEX('Checks'!$P$4:$P$503,_calc!$E$28))=0,"",INDEX('Checks'!$P$4:$P$503,_calc!$E$28)))=0,"",IF(LEN(INDEX('Checks'!$P$4:$P$503,_calc!$E$28))=0,"",INDEX('Checks'!$P$4:$P$503,_calc!$E$28)))))</f>
        <v/>
      </c>
      <c r="G26" s="47">
        <f>IF(_calc!$E$28="","",IF(LEN(INDEX('Checks'!$N$4:$N$503,_calc!$E$28))=0,"",INDEX('Checks'!$N$4:$N$503,_calc!$E$28)))</f>
        <v/>
      </c>
      <c r="K26" s="47">
        <f>IF(_calc!$E$28="","",IF(LEN(INDEX('Checks'!$M$4:$M$503,_calc!$E$28))=0,"",INDEX('Checks'!$M$4:$M$503,_calc!$E$28)))</f>
        <v/>
      </c>
    </row>
    <row r="27">
      <c r="A27" s="47">
        <f>IF(_calc!$E$29="","",IF(LEN(INDEX('Checks'!$B$4:$B$503,_calc!$E$29))=0,"",INDEX('Checks'!$B$4:$B$503,_calc!$E$29))&amp;" – "&amp;IF(LEN(INDEX('Checks'!$A$4:$A$503,_calc!$E$29))=0,"",INDEX('Checks'!$A$4:$A$503,_calc!$E$29)))</f>
        <v/>
      </c>
      <c r="B27" s="47">
        <f>IF(_calc!$E$29="","",IF(ISNUMBER(INDEX('Checks'!$D$4:$D$503,_calc!$E$29)),TEXT(INDEX('Checks'!$D$4:$D$503,_calc!$E$29),"yyyy-mm-dd"),""))</f>
        <v/>
      </c>
      <c r="C27" s="47">
        <f>IF(_calc!$E$29="","",IF(LEN(INDEX('Checks'!$B$4:$B$503,_calc!$E$29))=0,"",INDEX('Checks'!$B$4:$B$503,_calc!$E$29)))</f>
        <v/>
      </c>
      <c r="D27" s="47">
        <f>IF(_calc!$E$29="","",IF(ISNUMBER(INDEX('Checks'!$C$4:$C$503,_calc!$E$29)),TEXT(INDEX('Checks'!$C$4:$C$503,_calc!$E$29),"yyyy-mm-dd"),""))</f>
        <v/>
      </c>
      <c r="E27" s="47">
        <f>IF(_calc!$E$29="","",IF(LEN(INDEX('Checks'!$L$4:$L$503,_calc!$E$29))=0,"",INDEX('Checks'!$L$4:$L$503,_calc!$E$29)))</f>
        <v/>
      </c>
      <c r="F27" s="47">
        <f>IF(_calc!$E$29="","",TRIM(IF(LEN(IF(LEN(INDEX('Checks'!$I$4:$I$503,_calc!$E$29))=0,"",INDEX('Checks'!$I$4:$I$503,_calc!$E$29)))=0,"","Contractor: "&amp;IF(LEN(INDEX('Checks'!$I$4:$I$503,_calc!$E$29))=0,"",INDEX('Checks'!$I$4:$I$503,_calc!$E$29))&amp;". ")&amp;IF(LEN(IF(LEN(INDEX('Checks'!$J$4:$J$503,_calc!$E$29))=0,"",INDEX('Checks'!$J$4:$J$503,_calc!$E$29)))=0,"","Ref: "&amp;IF(LEN(INDEX('Checks'!$J$4:$J$503,_calc!$E$29))=0,"",INDEX('Checks'!$J$4:$J$503,_calc!$E$29))&amp;". ")&amp;IF(LEN(IF(ISNUMBER(INDEX('Checks'!$K$4:$K$503,_calc!$E$29)),TEXT(INDEX('Checks'!$K$4:$K$503,_calc!$E$29),"yyyy-mm-dd"),""))=0,"","Copy to tenant: "&amp;IF(ISNUMBER(INDEX('Checks'!$K$4:$K$503,_calc!$E$29)),TEXT(INDEX('Checks'!$K$4:$K$503,_calc!$E$29),"yyyy-mm-dd"),"")&amp;". ")&amp;IF(LEN(IF(LEN(INDEX('Checks'!$P$4:$P$503,_calc!$E$29))=0,"",INDEX('Checks'!$P$4:$P$503,_calc!$E$29)))=0,"",IF(LEN(INDEX('Checks'!$P$4:$P$503,_calc!$E$29))=0,"",INDEX('Checks'!$P$4:$P$503,_calc!$E$29)))))</f>
        <v/>
      </c>
      <c r="G27" s="47">
        <f>IF(_calc!$E$29="","",IF(LEN(INDEX('Checks'!$N$4:$N$503,_calc!$E$29))=0,"",INDEX('Checks'!$N$4:$N$503,_calc!$E$29)))</f>
        <v/>
      </c>
      <c r="K27" s="47">
        <f>IF(_calc!$E$29="","",IF(LEN(INDEX('Checks'!$M$4:$M$503,_calc!$E$29))=0,"",INDEX('Checks'!$M$4:$M$503,_calc!$E$29)))</f>
        <v/>
      </c>
    </row>
    <row r="28">
      <c r="A28" s="47">
        <f>IF(_calc!$E$30="","",IF(LEN(INDEX('Checks'!$B$4:$B$503,_calc!$E$30))=0,"",INDEX('Checks'!$B$4:$B$503,_calc!$E$30))&amp;" – "&amp;IF(LEN(INDEX('Checks'!$A$4:$A$503,_calc!$E$30))=0,"",INDEX('Checks'!$A$4:$A$503,_calc!$E$30)))</f>
        <v/>
      </c>
      <c r="B28" s="47">
        <f>IF(_calc!$E$30="","",IF(ISNUMBER(INDEX('Checks'!$D$4:$D$503,_calc!$E$30)),TEXT(INDEX('Checks'!$D$4:$D$503,_calc!$E$30),"yyyy-mm-dd"),""))</f>
        <v/>
      </c>
      <c r="C28" s="47">
        <f>IF(_calc!$E$30="","",IF(LEN(INDEX('Checks'!$B$4:$B$503,_calc!$E$30))=0,"",INDEX('Checks'!$B$4:$B$503,_calc!$E$30)))</f>
        <v/>
      </c>
      <c r="D28" s="47">
        <f>IF(_calc!$E$30="","",IF(ISNUMBER(INDEX('Checks'!$C$4:$C$503,_calc!$E$30)),TEXT(INDEX('Checks'!$C$4:$C$503,_calc!$E$30),"yyyy-mm-dd"),""))</f>
        <v/>
      </c>
      <c r="E28" s="47">
        <f>IF(_calc!$E$30="","",IF(LEN(INDEX('Checks'!$L$4:$L$503,_calc!$E$30))=0,"",INDEX('Checks'!$L$4:$L$503,_calc!$E$30)))</f>
        <v/>
      </c>
      <c r="F28" s="47">
        <f>IF(_calc!$E$30="","",TRIM(IF(LEN(IF(LEN(INDEX('Checks'!$I$4:$I$503,_calc!$E$30))=0,"",INDEX('Checks'!$I$4:$I$503,_calc!$E$30)))=0,"","Contractor: "&amp;IF(LEN(INDEX('Checks'!$I$4:$I$503,_calc!$E$30))=0,"",INDEX('Checks'!$I$4:$I$503,_calc!$E$30))&amp;". ")&amp;IF(LEN(IF(LEN(INDEX('Checks'!$J$4:$J$503,_calc!$E$30))=0,"",INDEX('Checks'!$J$4:$J$503,_calc!$E$30)))=0,"","Ref: "&amp;IF(LEN(INDEX('Checks'!$J$4:$J$503,_calc!$E$30))=0,"",INDEX('Checks'!$J$4:$J$503,_calc!$E$30))&amp;". ")&amp;IF(LEN(IF(ISNUMBER(INDEX('Checks'!$K$4:$K$503,_calc!$E$30)),TEXT(INDEX('Checks'!$K$4:$K$503,_calc!$E$30),"yyyy-mm-dd"),""))=0,"","Copy to tenant: "&amp;IF(ISNUMBER(INDEX('Checks'!$K$4:$K$503,_calc!$E$30)),TEXT(INDEX('Checks'!$K$4:$K$503,_calc!$E$30),"yyyy-mm-dd"),"")&amp;". ")&amp;IF(LEN(IF(LEN(INDEX('Checks'!$P$4:$P$503,_calc!$E$30))=0,"",INDEX('Checks'!$P$4:$P$503,_calc!$E$30)))=0,"",IF(LEN(INDEX('Checks'!$P$4:$P$503,_calc!$E$30))=0,"",INDEX('Checks'!$P$4:$P$503,_calc!$E$30)))))</f>
        <v/>
      </c>
      <c r="G28" s="47">
        <f>IF(_calc!$E$30="","",IF(LEN(INDEX('Checks'!$N$4:$N$503,_calc!$E$30))=0,"",INDEX('Checks'!$N$4:$N$503,_calc!$E$30)))</f>
        <v/>
      </c>
      <c r="K28" s="47">
        <f>IF(_calc!$E$30="","",IF(LEN(INDEX('Checks'!$M$4:$M$503,_calc!$E$30))=0,"",INDEX('Checks'!$M$4:$M$503,_calc!$E$30)))</f>
        <v/>
      </c>
    </row>
    <row r="29">
      <c r="A29" s="47">
        <f>IF(_calc!$E$31="","",IF(LEN(INDEX('Checks'!$B$4:$B$503,_calc!$E$31))=0,"",INDEX('Checks'!$B$4:$B$503,_calc!$E$31))&amp;" – "&amp;IF(LEN(INDEX('Checks'!$A$4:$A$503,_calc!$E$31))=0,"",INDEX('Checks'!$A$4:$A$503,_calc!$E$31)))</f>
        <v/>
      </c>
      <c r="B29" s="47">
        <f>IF(_calc!$E$31="","",IF(ISNUMBER(INDEX('Checks'!$D$4:$D$503,_calc!$E$31)),TEXT(INDEX('Checks'!$D$4:$D$503,_calc!$E$31),"yyyy-mm-dd"),""))</f>
        <v/>
      </c>
      <c r="C29" s="47">
        <f>IF(_calc!$E$31="","",IF(LEN(INDEX('Checks'!$B$4:$B$503,_calc!$E$31))=0,"",INDEX('Checks'!$B$4:$B$503,_calc!$E$31)))</f>
        <v/>
      </c>
      <c r="D29" s="47">
        <f>IF(_calc!$E$31="","",IF(ISNUMBER(INDEX('Checks'!$C$4:$C$503,_calc!$E$31)),TEXT(INDEX('Checks'!$C$4:$C$503,_calc!$E$31),"yyyy-mm-dd"),""))</f>
        <v/>
      </c>
      <c r="E29" s="47">
        <f>IF(_calc!$E$31="","",IF(LEN(INDEX('Checks'!$L$4:$L$503,_calc!$E$31))=0,"",INDEX('Checks'!$L$4:$L$503,_calc!$E$31)))</f>
        <v/>
      </c>
      <c r="F29" s="47">
        <f>IF(_calc!$E$31="","",TRIM(IF(LEN(IF(LEN(INDEX('Checks'!$I$4:$I$503,_calc!$E$31))=0,"",INDEX('Checks'!$I$4:$I$503,_calc!$E$31)))=0,"","Contractor: "&amp;IF(LEN(INDEX('Checks'!$I$4:$I$503,_calc!$E$31))=0,"",INDEX('Checks'!$I$4:$I$503,_calc!$E$31))&amp;". ")&amp;IF(LEN(IF(LEN(INDEX('Checks'!$J$4:$J$503,_calc!$E$31))=0,"",INDEX('Checks'!$J$4:$J$503,_calc!$E$31)))=0,"","Ref: "&amp;IF(LEN(INDEX('Checks'!$J$4:$J$503,_calc!$E$31))=0,"",INDEX('Checks'!$J$4:$J$503,_calc!$E$31))&amp;". ")&amp;IF(LEN(IF(ISNUMBER(INDEX('Checks'!$K$4:$K$503,_calc!$E$31)),TEXT(INDEX('Checks'!$K$4:$K$503,_calc!$E$31),"yyyy-mm-dd"),""))=0,"","Copy to tenant: "&amp;IF(ISNUMBER(INDEX('Checks'!$K$4:$K$503,_calc!$E$31)),TEXT(INDEX('Checks'!$K$4:$K$503,_calc!$E$31),"yyyy-mm-dd"),"")&amp;". ")&amp;IF(LEN(IF(LEN(INDEX('Checks'!$P$4:$P$503,_calc!$E$31))=0,"",INDEX('Checks'!$P$4:$P$503,_calc!$E$31)))=0,"",IF(LEN(INDEX('Checks'!$P$4:$P$503,_calc!$E$31))=0,"",INDEX('Checks'!$P$4:$P$503,_calc!$E$31)))))</f>
        <v/>
      </c>
      <c r="G29" s="47">
        <f>IF(_calc!$E$31="","",IF(LEN(INDEX('Checks'!$N$4:$N$503,_calc!$E$31))=0,"",INDEX('Checks'!$N$4:$N$503,_calc!$E$31)))</f>
        <v/>
      </c>
      <c r="K29" s="47">
        <f>IF(_calc!$E$31="","",IF(LEN(INDEX('Checks'!$M$4:$M$503,_calc!$E$31))=0,"",INDEX('Checks'!$M$4:$M$503,_calc!$E$31)))</f>
        <v/>
      </c>
    </row>
    <row r="30">
      <c r="A30" s="47">
        <f>IF(_calc!$E$32="","",IF(LEN(INDEX('Checks'!$B$4:$B$503,_calc!$E$32))=0,"",INDEX('Checks'!$B$4:$B$503,_calc!$E$32))&amp;" – "&amp;IF(LEN(INDEX('Checks'!$A$4:$A$503,_calc!$E$32))=0,"",INDEX('Checks'!$A$4:$A$503,_calc!$E$32)))</f>
        <v/>
      </c>
      <c r="B30" s="47">
        <f>IF(_calc!$E$32="","",IF(ISNUMBER(INDEX('Checks'!$D$4:$D$503,_calc!$E$32)),TEXT(INDEX('Checks'!$D$4:$D$503,_calc!$E$32),"yyyy-mm-dd"),""))</f>
        <v/>
      </c>
      <c r="C30" s="47">
        <f>IF(_calc!$E$32="","",IF(LEN(INDEX('Checks'!$B$4:$B$503,_calc!$E$32))=0,"",INDEX('Checks'!$B$4:$B$503,_calc!$E$32)))</f>
        <v/>
      </c>
      <c r="D30" s="47">
        <f>IF(_calc!$E$32="","",IF(ISNUMBER(INDEX('Checks'!$C$4:$C$503,_calc!$E$32)),TEXT(INDEX('Checks'!$C$4:$C$503,_calc!$E$32),"yyyy-mm-dd"),""))</f>
        <v/>
      </c>
      <c r="E30" s="47">
        <f>IF(_calc!$E$32="","",IF(LEN(INDEX('Checks'!$L$4:$L$503,_calc!$E$32))=0,"",INDEX('Checks'!$L$4:$L$503,_calc!$E$32)))</f>
        <v/>
      </c>
      <c r="F30" s="47">
        <f>IF(_calc!$E$32="","",TRIM(IF(LEN(IF(LEN(INDEX('Checks'!$I$4:$I$503,_calc!$E$32))=0,"",INDEX('Checks'!$I$4:$I$503,_calc!$E$32)))=0,"","Contractor: "&amp;IF(LEN(INDEX('Checks'!$I$4:$I$503,_calc!$E$32))=0,"",INDEX('Checks'!$I$4:$I$503,_calc!$E$32))&amp;". ")&amp;IF(LEN(IF(LEN(INDEX('Checks'!$J$4:$J$503,_calc!$E$32))=0,"",INDEX('Checks'!$J$4:$J$503,_calc!$E$32)))=0,"","Ref: "&amp;IF(LEN(INDEX('Checks'!$J$4:$J$503,_calc!$E$32))=0,"",INDEX('Checks'!$J$4:$J$503,_calc!$E$32))&amp;". ")&amp;IF(LEN(IF(ISNUMBER(INDEX('Checks'!$K$4:$K$503,_calc!$E$32)),TEXT(INDEX('Checks'!$K$4:$K$503,_calc!$E$32),"yyyy-mm-dd"),""))=0,"","Copy to tenant: "&amp;IF(ISNUMBER(INDEX('Checks'!$K$4:$K$503,_calc!$E$32)),TEXT(INDEX('Checks'!$K$4:$K$503,_calc!$E$32),"yyyy-mm-dd"),"")&amp;". ")&amp;IF(LEN(IF(LEN(INDEX('Checks'!$P$4:$P$503,_calc!$E$32))=0,"",INDEX('Checks'!$P$4:$P$503,_calc!$E$32)))=0,"",IF(LEN(INDEX('Checks'!$P$4:$P$503,_calc!$E$32))=0,"",INDEX('Checks'!$P$4:$P$503,_calc!$E$32)))))</f>
        <v/>
      </c>
      <c r="G30" s="47">
        <f>IF(_calc!$E$32="","",IF(LEN(INDEX('Checks'!$N$4:$N$503,_calc!$E$32))=0,"",INDEX('Checks'!$N$4:$N$503,_calc!$E$32)))</f>
        <v/>
      </c>
      <c r="K30" s="47">
        <f>IF(_calc!$E$32="","",IF(LEN(INDEX('Checks'!$M$4:$M$503,_calc!$E$32))=0,"",INDEX('Checks'!$M$4:$M$503,_calc!$E$32)))</f>
        <v/>
      </c>
    </row>
    <row r="31">
      <c r="A31" s="47">
        <f>IF(_calc!$E$33="","",IF(LEN(INDEX('Checks'!$B$4:$B$503,_calc!$E$33))=0,"",INDEX('Checks'!$B$4:$B$503,_calc!$E$33))&amp;" – "&amp;IF(LEN(INDEX('Checks'!$A$4:$A$503,_calc!$E$33))=0,"",INDEX('Checks'!$A$4:$A$503,_calc!$E$33)))</f>
        <v/>
      </c>
      <c r="B31" s="47">
        <f>IF(_calc!$E$33="","",IF(ISNUMBER(INDEX('Checks'!$D$4:$D$503,_calc!$E$33)),TEXT(INDEX('Checks'!$D$4:$D$503,_calc!$E$33),"yyyy-mm-dd"),""))</f>
        <v/>
      </c>
      <c r="C31" s="47">
        <f>IF(_calc!$E$33="","",IF(LEN(INDEX('Checks'!$B$4:$B$503,_calc!$E$33))=0,"",INDEX('Checks'!$B$4:$B$503,_calc!$E$33)))</f>
        <v/>
      </c>
      <c r="D31" s="47">
        <f>IF(_calc!$E$33="","",IF(ISNUMBER(INDEX('Checks'!$C$4:$C$503,_calc!$E$33)),TEXT(INDEX('Checks'!$C$4:$C$503,_calc!$E$33),"yyyy-mm-dd"),""))</f>
        <v/>
      </c>
      <c r="E31" s="47">
        <f>IF(_calc!$E$33="","",IF(LEN(INDEX('Checks'!$L$4:$L$503,_calc!$E$33))=0,"",INDEX('Checks'!$L$4:$L$503,_calc!$E$33)))</f>
        <v/>
      </c>
      <c r="F31" s="47">
        <f>IF(_calc!$E$33="","",TRIM(IF(LEN(IF(LEN(INDEX('Checks'!$I$4:$I$503,_calc!$E$33))=0,"",INDEX('Checks'!$I$4:$I$503,_calc!$E$33)))=0,"","Contractor: "&amp;IF(LEN(INDEX('Checks'!$I$4:$I$503,_calc!$E$33))=0,"",INDEX('Checks'!$I$4:$I$503,_calc!$E$33))&amp;". ")&amp;IF(LEN(IF(LEN(INDEX('Checks'!$J$4:$J$503,_calc!$E$33))=0,"",INDEX('Checks'!$J$4:$J$503,_calc!$E$33)))=0,"","Ref: "&amp;IF(LEN(INDEX('Checks'!$J$4:$J$503,_calc!$E$33))=0,"",INDEX('Checks'!$J$4:$J$503,_calc!$E$33))&amp;". ")&amp;IF(LEN(IF(ISNUMBER(INDEX('Checks'!$K$4:$K$503,_calc!$E$33)),TEXT(INDEX('Checks'!$K$4:$K$503,_calc!$E$33),"yyyy-mm-dd"),""))=0,"","Copy to tenant: "&amp;IF(ISNUMBER(INDEX('Checks'!$K$4:$K$503,_calc!$E$33)),TEXT(INDEX('Checks'!$K$4:$K$503,_calc!$E$33),"yyyy-mm-dd"),"")&amp;". ")&amp;IF(LEN(IF(LEN(INDEX('Checks'!$P$4:$P$503,_calc!$E$33))=0,"",INDEX('Checks'!$P$4:$P$503,_calc!$E$33)))=0,"",IF(LEN(INDEX('Checks'!$P$4:$P$503,_calc!$E$33))=0,"",INDEX('Checks'!$P$4:$P$503,_calc!$E$33)))))</f>
        <v/>
      </c>
      <c r="G31" s="47">
        <f>IF(_calc!$E$33="","",IF(LEN(INDEX('Checks'!$N$4:$N$503,_calc!$E$33))=0,"",INDEX('Checks'!$N$4:$N$503,_calc!$E$33)))</f>
        <v/>
      </c>
      <c r="K31" s="47">
        <f>IF(_calc!$E$33="","",IF(LEN(INDEX('Checks'!$M$4:$M$503,_calc!$E$33))=0,"",INDEX('Checks'!$M$4:$M$503,_calc!$E$33)))</f>
        <v/>
      </c>
    </row>
    <row r="32">
      <c r="A32" s="47">
        <f>IF(_calc!$E$34="","",IF(LEN(INDEX('Checks'!$B$4:$B$503,_calc!$E$34))=0,"",INDEX('Checks'!$B$4:$B$503,_calc!$E$34))&amp;" – "&amp;IF(LEN(INDEX('Checks'!$A$4:$A$503,_calc!$E$34))=0,"",INDEX('Checks'!$A$4:$A$503,_calc!$E$34)))</f>
        <v/>
      </c>
      <c r="B32" s="47">
        <f>IF(_calc!$E$34="","",IF(ISNUMBER(INDEX('Checks'!$D$4:$D$503,_calc!$E$34)),TEXT(INDEX('Checks'!$D$4:$D$503,_calc!$E$34),"yyyy-mm-dd"),""))</f>
        <v/>
      </c>
      <c r="C32" s="47">
        <f>IF(_calc!$E$34="","",IF(LEN(INDEX('Checks'!$B$4:$B$503,_calc!$E$34))=0,"",INDEX('Checks'!$B$4:$B$503,_calc!$E$34)))</f>
        <v/>
      </c>
      <c r="D32" s="47">
        <f>IF(_calc!$E$34="","",IF(ISNUMBER(INDEX('Checks'!$C$4:$C$503,_calc!$E$34)),TEXT(INDEX('Checks'!$C$4:$C$503,_calc!$E$34),"yyyy-mm-dd"),""))</f>
        <v/>
      </c>
      <c r="E32" s="47">
        <f>IF(_calc!$E$34="","",IF(LEN(INDEX('Checks'!$L$4:$L$503,_calc!$E$34))=0,"",INDEX('Checks'!$L$4:$L$503,_calc!$E$34)))</f>
        <v/>
      </c>
      <c r="F32" s="47">
        <f>IF(_calc!$E$34="","",TRIM(IF(LEN(IF(LEN(INDEX('Checks'!$I$4:$I$503,_calc!$E$34))=0,"",INDEX('Checks'!$I$4:$I$503,_calc!$E$34)))=0,"","Contractor: "&amp;IF(LEN(INDEX('Checks'!$I$4:$I$503,_calc!$E$34))=0,"",INDEX('Checks'!$I$4:$I$503,_calc!$E$34))&amp;". ")&amp;IF(LEN(IF(LEN(INDEX('Checks'!$J$4:$J$503,_calc!$E$34))=0,"",INDEX('Checks'!$J$4:$J$503,_calc!$E$34)))=0,"","Ref: "&amp;IF(LEN(INDEX('Checks'!$J$4:$J$503,_calc!$E$34))=0,"",INDEX('Checks'!$J$4:$J$503,_calc!$E$34))&amp;". ")&amp;IF(LEN(IF(ISNUMBER(INDEX('Checks'!$K$4:$K$503,_calc!$E$34)),TEXT(INDEX('Checks'!$K$4:$K$503,_calc!$E$34),"yyyy-mm-dd"),""))=0,"","Copy to tenant: "&amp;IF(ISNUMBER(INDEX('Checks'!$K$4:$K$503,_calc!$E$34)),TEXT(INDEX('Checks'!$K$4:$K$503,_calc!$E$34),"yyyy-mm-dd"),"")&amp;". ")&amp;IF(LEN(IF(LEN(INDEX('Checks'!$P$4:$P$503,_calc!$E$34))=0,"",INDEX('Checks'!$P$4:$P$503,_calc!$E$34)))=0,"",IF(LEN(INDEX('Checks'!$P$4:$P$503,_calc!$E$34))=0,"",INDEX('Checks'!$P$4:$P$503,_calc!$E$34)))))</f>
        <v/>
      </c>
      <c r="G32" s="47">
        <f>IF(_calc!$E$34="","",IF(LEN(INDEX('Checks'!$N$4:$N$503,_calc!$E$34))=0,"",INDEX('Checks'!$N$4:$N$503,_calc!$E$34)))</f>
        <v/>
      </c>
      <c r="K32" s="47">
        <f>IF(_calc!$E$34="","",IF(LEN(INDEX('Checks'!$M$4:$M$503,_calc!$E$34))=0,"",INDEX('Checks'!$M$4:$M$503,_calc!$E$34)))</f>
        <v/>
      </c>
    </row>
    <row r="33">
      <c r="A33" s="47">
        <f>IF(_calc!$E$35="","",IF(LEN(INDEX('Checks'!$B$4:$B$503,_calc!$E$35))=0,"",INDEX('Checks'!$B$4:$B$503,_calc!$E$35))&amp;" – "&amp;IF(LEN(INDEX('Checks'!$A$4:$A$503,_calc!$E$35))=0,"",INDEX('Checks'!$A$4:$A$503,_calc!$E$35)))</f>
        <v/>
      </c>
      <c r="B33" s="47">
        <f>IF(_calc!$E$35="","",IF(ISNUMBER(INDEX('Checks'!$D$4:$D$503,_calc!$E$35)),TEXT(INDEX('Checks'!$D$4:$D$503,_calc!$E$35),"yyyy-mm-dd"),""))</f>
        <v/>
      </c>
      <c r="C33" s="47">
        <f>IF(_calc!$E$35="","",IF(LEN(INDEX('Checks'!$B$4:$B$503,_calc!$E$35))=0,"",INDEX('Checks'!$B$4:$B$503,_calc!$E$35)))</f>
        <v/>
      </c>
      <c r="D33" s="47">
        <f>IF(_calc!$E$35="","",IF(ISNUMBER(INDEX('Checks'!$C$4:$C$503,_calc!$E$35)),TEXT(INDEX('Checks'!$C$4:$C$503,_calc!$E$35),"yyyy-mm-dd"),""))</f>
        <v/>
      </c>
      <c r="E33" s="47">
        <f>IF(_calc!$E$35="","",IF(LEN(INDEX('Checks'!$L$4:$L$503,_calc!$E$35))=0,"",INDEX('Checks'!$L$4:$L$503,_calc!$E$35)))</f>
        <v/>
      </c>
      <c r="F33" s="47">
        <f>IF(_calc!$E$35="","",TRIM(IF(LEN(IF(LEN(INDEX('Checks'!$I$4:$I$503,_calc!$E$35))=0,"",INDEX('Checks'!$I$4:$I$503,_calc!$E$35)))=0,"","Contractor: "&amp;IF(LEN(INDEX('Checks'!$I$4:$I$503,_calc!$E$35))=0,"",INDEX('Checks'!$I$4:$I$503,_calc!$E$35))&amp;". ")&amp;IF(LEN(IF(LEN(INDEX('Checks'!$J$4:$J$503,_calc!$E$35))=0,"",INDEX('Checks'!$J$4:$J$503,_calc!$E$35)))=0,"","Ref: "&amp;IF(LEN(INDEX('Checks'!$J$4:$J$503,_calc!$E$35))=0,"",INDEX('Checks'!$J$4:$J$503,_calc!$E$35))&amp;". ")&amp;IF(LEN(IF(ISNUMBER(INDEX('Checks'!$K$4:$K$503,_calc!$E$35)),TEXT(INDEX('Checks'!$K$4:$K$503,_calc!$E$35),"yyyy-mm-dd"),""))=0,"","Copy to tenant: "&amp;IF(ISNUMBER(INDEX('Checks'!$K$4:$K$503,_calc!$E$35)),TEXT(INDEX('Checks'!$K$4:$K$503,_calc!$E$35),"yyyy-mm-dd"),"")&amp;". ")&amp;IF(LEN(IF(LEN(INDEX('Checks'!$P$4:$P$503,_calc!$E$35))=0,"",INDEX('Checks'!$P$4:$P$503,_calc!$E$35)))=0,"",IF(LEN(INDEX('Checks'!$P$4:$P$503,_calc!$E$35))=0,"",INDEX('Checks'!$P$4:$P$503,_calc!$E$35)))))</f>
        <v/>
      </c>
      <c r="G33" s="47">
        <f>IF(_calc!$E$35="","",IF(LEN(INDEX('Checks'!$N$4:$N$503,_calc!$E$35))=0,"",INDEX('Checks'!$N$4:$N$503,_calc!$E$35)))</f>
        <v/>
      </c>
      <c r="K33" s="47">
        <f>IF(_calc!$E$35="","",IF(LEN(INDEX('Checks'!$M$4:$M$503,_calc!$E$35))=0,"",INDEX('Checks'!$M$4:$M$503,_calc!$E$35)))</f>
        <v/>
      </c>
    </row>
    <row r="34">
      <c r="A34" s="47">
        <f>IF(_calc!$E$36="","",IF(LEN(INDEX('Checks'!$B$4:$B$503,_calc!$E$36))=0,"",INDEX('Checks'!$B$4:$B$503,_calc!$E$36))&amp;" – "&amp;IF(LEN(INDEX('Checks'!$A$4:$A$503,_calc!$E$36))=0,"",INDEX('Checks'!$A$4:$A$503,_calc!$E$36)))</f>
        <v/>
      </c>
      <c r="B34" s="47">
        <f>IF(_calc!$E$36="","",IF(ISNUMBER(INDEX('Checks'!$D$4:$D$503,_calc!$E$36)),TEXT(INDEX('Checks'!$D$4:$D$503,_calc!$E$36),"yyyy-mm-dd"),""))</f>
        <v/>
      </c>
      <c r="C34" s="47">
        <f>IF(_calc!$E$36="","",IF(LEN(INDEX('Checks'!$B$4:$B$503,_calc!$E$36))=0,"",INDEX('Checks'!$B$4:$B$503,_calc!$E$36)))</f>
        <v/>
      </c>
      <c r="D34" s="47">
        <f>IF(_calc!$E$36="","",IF(ISNUMBER(INDEX('Checks'!$C$4:$C$503,_calc!$E$36)),TEXT(INDEX('Checks'!$C$4:$C$503,_calc!$E$36),"yyyy-mm-dd"),""))</f>
        <v/>
      </c>
      <c r="E34" s="47">
        <f>IF(_calc!$E$36="","",IF(LEN(INDEX('Checks'!$L$4:$L$503,_calc!$E$36))=0,"",INDEX('Checks'!$L$4:$L$503,_calc!$E$36)))</f>
        <v/>
      </c>
      <c r="F34" s="47">
        <f>IF(_calc!$E$36="","",TRIM(IF(LEN(IF(LEN(INDEX('Checks'!$I$4:$I$503,_calc!$E$36))=0,"",INDEX('Checks'!$I$4:$I$503,_calc!$E$36)))=0,"","Contractor: "&amp;IF(LEN(INDEX('Checks'!$I$4:$I$503,_calc!$E$36))=0,"",INDEX('Checks'!$I$4:$I$503,_calc!$E$36))&amp;". ")&amp;IF(LEN(IF(LEN(INDEX('Checks'!$J$4:$J$503,_calc!$E$36))=0,"",INDEX('Checks'!$J$4:$J$503,_calc!$E$36)))=0,"","Ref: "&amp;IF(LEN(INDEX('Checks'!$J$4:$J$503,_calc!$E$36))=0,"",INDEX('Checks'!$J$4:$J$503,_calc!$E$36))&amp;". ")&amp;IF(LEN(IF(ISNUMBER(INDEX('Checks'!$K$4:$K$503,_calc!$E$36)),TEXT(INDEX('Checks'!$K$4:$K$503,_calc!$E$36),"yyyy-mm-dd"),""))=0,"","Copy to tenant: "&amp;IF(ISNUMBER(INDEX('Checks'!$K$4:$K$503,_calc!$E$36)),TEXT(INDEX('Checks'!$K$4:$K$503,_calc!$E$36),"yyyy-mm-dd"),"")&amp;". ")&amp;IF(LEN(IF(LEN(INDEX('Checks'!$P$4:$P$503,_calc!$E$36))=0,"",INDEX('Checks'!$P$4:$P$503,_calc!$E$36)))=0,"",IF(LEN(INDEX('Checks'!$P$4:$P$503,_calc!$E$36))=0,"",INDEX('Checks'!$P$4:$P$503,_calc!$E$36)))))</f>
        <v/>
      </c>
      <c r="G34" s="47">
        <f>IF(_calc!$E$36="","",IF(LEN(INDEX('Checks'!$N$4:$N$503,_calc!$E$36))=0,"",INDEX('Checks'!$N$4:$N$503,_calc!$E$36)))</f>
        <v/>
      </c>
      <c r="K34" s="47">
        <f>IF(_calc!$E$36="","",IF(LEN(INDEX('Checks'!$M$4:$M$503,_calc!$E$36))=0,"",INDEX('Checks'!$M$4:$M$503,_calc!$E$36)))</f>
        <v/>
      </c>
    </row>
    <row r="35">
      <c r="A35" s="47">
        <f>IF(_calc!$E$37="","",IF(LEN(INDEX('Checks'!$B$4:$B$503,_calc!$E$37))=0,"",INDEX('Checks'!$B$4:$B$503,_calc!$E$37))&amp;" – "&amp;IF(LEN(INDEX('Checks'!$A$4:$A$503,_calc!$E$37))=0,"",INDEX('Checks'!$A$4:$A$503,_calc!$E$37)))</f>
        <v/>
      </c>
      <c r="B35" s="47">
        <f>IF(_calc!$E$37="","",IF(ISNUMBER(INDEX('Checks'!$D$4:$D$503,_calc!$E$37)),TEXT(INDEX('Checks'!$D$4:$D$503,_calc!$E$37),"yyyy-mm-dd"),""))</f>
        <v/>
      </c>
      <c r="C35" s="47">
        <f>IF(_calc!$E$37="","",IF(LEN(INDEX('Checks'!$B$4:$B$503,_calc!$E$37))=0,"",INDEX('Checks'!$B$4:$B$503,_calc!$E$37)))</f>
        <v/>
      </c>
      <c r="D35" s="47">
        <f>IF(_calc!$E$37="","",IF(ISNUMBER(INDEX('Checks'!$C$4:$C$503,_calc!$E$37)),TEXT(INDEX('Checks'!$C$4:$C$503,_calc!$E$37),"yyyy-mm-dd"),""))</f>
        <v/>
      </c>
      <c r="E35" s="47">
        <f>IF(_calc!$E$37="","",IF(LEN(INDEX('Checks'!$L$4:$L$503,_calc!$E$37))=0,"",INDEX('Checks'!$L$4:$L$503,_calc!$E$37)))</f>
        <v/>
      </c>
      <c r="F35" s="47">
        <f>IF(_calc!$E$37="","",TRIM(IF(LEN(IF(LEN(INDEX('Checks'!$I$4:$I$503,_calc!$E$37))=0,"",INDEX('Checks'!$I$4:$I$503,_calc!$E$37)))=0,"","Contractor: "&amp;IF(LEN(INDEX('Checks'!$I$4:$I$503,_calc!$E$37))=0,"",INDEX('Checks'!$I$4:$I$503,_calc!$E$37))&amp;". ")&amp;IF(LEN(IF(LEN(INDEX('Checks'!$J$4:$J$503,_calc!$E$37))=0,"",INDEX('Checks'!$J$4:$J$503,_calc!$E$37)))=0,"","Ref: "&amp;IF(LEN(INDEX('Checks'!$J$4:$J$503,_calc!$E$37))=0,"",INDEX('Checks'!$J$4:$J$503,_calc!$E$37))&amp;". ")&amp;IF(LEN(IF(ISNUMBER(INDEX('Checks'!$K$4:$K$503,_calc!$E$37)),TEXT(INDEX('Checks'!$K$4:$K$503,_calc!$E$37),"yyyy-mm-dd"),""))=0,"","Copy to tenant: "&amp;IF(ISNUMBER(INDEX('Checks'!$K$4:$K$503,_calc!$E$37)),TEXT(INDEX('Checks'!$K$4:$K$503,_calc!$E$37),"yyyy-mm-dd"),"")&amp;". ")&amp;IF(LEN(IF(LEN(INDEX('Checks'!$P$4:$P$503,_calc!$E$37))=0,"",INDEX('Checks'!$P$4:$P$503,_calc!$E$37)))=0,"",IF(LEN(INDEX('Checks'!$P$4:$P$503,_calc!$E$37))=0,"",INDEX('Checks'!$P$4:$P$503,_calc!$E$37)))))</f>
        <v/>
      </c>
      <c r="G35" s="47">
        <f>IF(_calc!$E$37="","",IF(LEN(INDEX('Checks'!$N$4:$N$503,_calc!$E$37))=0,"",INDEX('Checks'!$N$4:$N$503,_calc!$E$37)))</f>
        <v/>
      </c>
      <c r="K35" s="47">
        <f>IF(_calc!$E$37="","",IF(LEN(INDEX('Checks'!$M$4:$M$503,_calc!$E$37))=0,"",INDEX('Checks'!$M$4:$M$503,_calc!$E$37)))</f>
        <v/>
      </c>
    </row>
    <row r="36">
      <c r="A36" s="47">
        <f>IF(_calc!$E$38="","",IF(LEN(INDEX('Checks'!$B$4:$B$503,_calc!$E$38))=0,"",INDEX('Checks'!$B$4:$B$503,_calc!$E$38))&amp;" – "&amp;IF(LEN(INDEX('Checks'!$A$4:$A$503,_calc!$E$38))=0,"",INDEX('Checks'!$A$4:$A$503,_calc!$E$38)))</f>
        <v/>
      </c>
      <c r="B36" s="47">
        <f>IF(_calc!$E$38="","",IF(ISNUMBER(INDEX('Checks'!$D$4:$D$503,_calc!$E$38)),TEXT(INDEX('Checks'!$D$4:$D$503,_calc!$E$38),"yyyy-mm-dd"),""))</f>
        <v/>
      </c>
      <c r="C36" s="47">
        <f>IF(_calc!$E$38="","",IF(LEN(INDEX('Checks'!$B$4:$B$503,_calc!$E$38))=0,"",INDEX('Checks'!$B$4:$B$503,_calc!$E$38)))</f>
        <v/>
      </c>
      <c r="D36" s="47">
        <f>IF(_calc!$E$38="","",IF(ISNUMBER(INDEX('Checks'!$C$4:$C$503,_calc!$E$38)),TEXT(INDEX('Checks'!$C$4:$C$503,_calc!$E$38),"yyyy-mm-dd"),""))</f>
        <v/>
      </c>
      <c r="E36" s="47">
        <f>IF(_calc!$E$38="","",IF(LEN(INDEX('Checks'!$L$4:$L$503,_calc!$E$38))=0,"",INDEX('Checks'!$L$4:$L$503,_calc!$E$38)))</f>
        <v/>
      </c>
      <c r="F36" s="47">
        <f>IF(_calc!$E$38="","",TRIM(IF(LEN(IF(LEN(INDEX('Checks'!$I$4:$I$503,_calc!$E$38))=0,"",INDEX('Checks'!$I$4:$I$503,_calc!$E$38)))=0,"","Contractor: "&amp;IF(LEN(INDEX('Checks'!$I$4:$I$503,_calc!$E$38))=0,"",INDEX('Checks'!$I$4:$I$503,_calc!$E$38))&amp;". ")&amp;IF(LEN(IF(LEN(INDEX('Checks'!$J$4:$J$503,_calc!$E$38))=0,"",INDEX('Checks'!$J$4:$J$503,_calc!$E$38)))=0,"","Ref: "&amp;IF(LEN(INDEX('Checks'!$J$4:$J$503,_calc!$E$38))=0,"",INDEX('Checks'!$J$4:$J$503,_calc!$E$38))&amp;". ")&amp;IF(LEN(IF(ISNUMBER(INDEX('Checks'!$K$4:$K$503,_calc!$E$38)),TEXT(INDEX('Checks'!$K$4:$K$503,_calc!$E$38),"yyyy-mm-dd"),""))=0,"","Copy to tenant: "&amp;IF(ISNUMBER(INDEX('Checks'!$K$4:$K$503,_calc!$E$38)),TEXT(INDEX('Checks'!$K$4:$K$503,_calc!$E$38),"yyyy-mm-dd"),"")&amp;". ")&amp;IF(LEN(IF(LEN(INDEX('Checks'!$P$4:$P$503,_calc!$E$38))=0,"",INDEX('Checks'!$P$4:$P$503,_calc!$E$38)))=0,"",IF(LEN(INDEX('Checks'!$P$4:$P$503,_calc!$E$38))=0,"",INDEX('Checks'!$P$4:$P$503,_calc!$E$38)))))</f>
        <v/>
      </c>
      <c r="G36" s="47">
        <f>IF(_calc!$E$38="","",IF(LEN(INDEX('Checks'!$N$4:$N$503,_calc!$E$38))=0,"",INDEX('Checks'!$N$4:$N$503,_calc!$E$38)))</f>
        <v/>
      </c>
      <c r="K36" s="47">
        <f>IF(_calc!$E$38="","",IF(LEN(INDEX('Checks'!$M$4:$M$503,_calc!$E$38))=0,"",INDEX('Checks'!$M$4:$M$503,_calc!$E$38)))</f>
        <v/>
      </c>
    </row>
    <row r="37">
      <c r="A37" s="47">
        <f>IF(_calc!$E$39="","",IF(LEN(INDEX('Checks'!$B$4:$B$503,_calc!$E$39))=0,"",INDEX('Checks'!$B$4:$B$503,_calc!$E$39))&amp;" – "&amp;IF(LEN(INDEX('Checks'!$A$4:$A$503,_calc!$E$39))=0,"",INDEX('Checks'!$A$4:$A$503,_calc!$E$39)))</f>
        <v/>
      </c>
      <c r="B37" s="47">
        <f>IF(_calc!$E$39="","",IF(ISNUMBER(INDEX('Checks'!$D$4:$D$503,_calc!$E$39)),TEXT(INDEX('Checks'!$D$4:$D$503,_calc!$E$39),"yyyy-mm-dd"),""))</f>
        <v/>
      </c>
      <c r="C37" s="47">
        <f>IF(_calc!$E$39="","",IF(LEN(INDEX('Checks'!$B$4:$B$503,_calc!$E$39))=0,"",INDEX('Checks'!$B$4:$B$503,_calc!$E$39)))</f>
        <v/>
      </c>
      <c r="D37" s="47">
        <f>IF(_calc!$E$39="","",IF(ISNUMBER(INDEX('Checks'!$C$4:$C$503,_calc!$E$39)),TEXT(INDEX('Checks'!$C$4:$C$503,_calc!$E$39),"yyyy-mm-dd"),""))</f>
        <v/>
      </c>
      <c r="E37" s="47">
        <f>IF(_calc!$E$39="","",IF(LEN(INDEX('Checks'!$L$4:$L$503,_calc!$E$39))=0,"",INDEX('Checks'!$L$4:$L$503,_calc!$E$39)))</f>
        <v/>
      </c>
      <c r="F37" s="47">
        <f>IF(_calc!$E$39="","",TRIM(IF(LEN(IF(LEN(INDEX('Checks'!$I$4:$I$503,_calc!$E$39))=0,"",INDEX('Checks'!$I$4:$I$503,_calc!$E$39)))=0,"","Contractor: "&amp;IF(LEN(INDEX('Checks'!$I$4:$I$503,_calc!$E$39))=0,"",INDEX('Checks'!$I$4:$I$503,_calc!$E$39))&amp;". ")&amp;IF(LEN(IF(LEN(INDEX('Checks'!$J$4:$J$503,_calc!$E$39))=0,"",INDEX('Checks'!$J$4:$J$503,_calc!$E$39)))=0,"","Ref: "&amp;IF(LEN(INDEX('Checks'!$J$4:$J$503,_calc!$E$39))=0,"",INDEX('Checks'!$J$4:$J$503,_calc!$E$39))&amp;". ")&amp;IF(LEN(IF(ISNUMBER(INDEX('Checks'!$K$4:$K$503,_calc!$E$39)),TEXT(INDEX('Checks'!$K$4:$K$503,_calc!$E$39),"yyyy-mm-dd"),""))=0,"","Copy to tenant: "&amp;IF(ISNUMBER(INDEX('Checks'!$K$4:$K$503,_calc!$E$39)),TEXT(INDEX('Checks'!$K$4:$K$503,_calc!$E$39),"yyyy-mm-dd"),"")&amp;". ")&amp;IF(LEN(IF(LEN(INDEX('Checks'!$P$4:$P$503,_calc!$E$39))=0,"",INDEX('Checks'!$P$4:$P$503,_calc!$E$39)))=0,"",IF(LEN(INDEX('Checks'!$P$4:$P$503,_calc!$E$39))=0,"",INDEX('Checks'!$P$4:$P$503,_calc!$E$39)))))</f>
        <v/>
      </c>
      <c r="G37" s="47">
        <f>IF(_calc!$E$39="","",IF(LEN(INDEX('Checks'!$N$4:$N$503,_calc!$E$39))=0,"",INDEX('Checks'!$N$4:$N$503,_calc!$E$39)))</f>
        <v/>
      </c>
      <c r="K37" s="47">
        <f>IF(_calc!$E$39="","",IF(LEN(INDEX('Checks'!$M$4:$M$503,_calc!$E$39))=0,"",INDEX('Checks'!$M$4:$M$503,_calc!$E$39)))</f>
        <v/>
      </c>
    </row>
    <row r="38">
      <c r="A38" s="47">
        <f>IF(_calc!$E$40="","",IF(LEN(INDEX('Checks'!$B$4:$B$503,_calc!$E$40))=0,"",INDEX('Checks'!$B$4:$B$503,_calc!$E$40))&amp;" – "&amp;IF(LEN(INDEX('Checks'!$A$4:$A$503,_calc!$E$40))=0,"",INDEX('Checks'!$A$4:$A$503,_calc!$E$40)))</f>
        <v/>
      </c>
      <c r="B38" s="47">
        <f>IF(_calc!$E$40="","",IF(ISNUMBER(INDEX('Checks'!$D$4:$D$503,_calc!$E$40)),TEXT(INDEX('Checks'!$D$4:$D$503,_calc!$E$40),"yyyy-mm-dd"),""))</f>
        <v/>
      </c>
      <c r="C38" s="47">
        <f>IF(_calc!$E$40="","",IF(LEN(INDEX('Checks'!$B$4:$B$503,_calc!$E$40))=0,"",INDEX('Checks'!$B$4:$B$503,_calc!$E$40)))</f>
        <v/>
      </c>
      <c r="D38" s="47">
        <f>IF(_calc!$E$40="","",IF(ISNUMBER(INDEX('Checks'!$C$4:$C$503,_calc!$E$40)),TEXT(INDEX('Checks'!$C$4:$C$503,_calc!$E$40),"yyyy-mm-dd"),""))</f>
        <v/>
      </c>
      <c r="E38" s="47">
        <f>IF(_calc!$E$40="","",IF(LEN(INDEX('Checks'!$L$4:$L$503,_calc!$E$40))=0,"",INDEX('Checks'!$L$4:$L$503,_calc!$E$40)))</f>
        <v/>
      </c>
      <c r="F38" s="47">
        <f>IF(_calc!$E$40="","",TRIM(IF(LEN(IF(LEN(INDEX('Checks'!$I$4:$I$503,_calc!$E$40))=0,"",INDEX('Checks'!$I$4:$I$503,_calc!$E$40)))=0,"","Contractor: "&amp;IF(LEN(INDEX('Checks'!$I$4:$I$503,_calc!$E$40))=0,"",INDEX('Checks'!$I$4:$I$503,_calc!$E$40))&amp;". ")&amp;IF(LEN(IF(LEN(INDEX('Checks'!$J$4:$J$503,_calc!$E$40))=0,"",INDEX('Checks'!$J$4:$J$503,_calc!$E$40)))=0,"","Ref: "&amp;IF(LEN(INDEX('Checks'!$J$4:$J$503,_calc!$E$40))=0,"",INDEX('Checks'!$J$4:$J$503,_calc!$E$40))&amp;". ")&amp;IF(LEN(IF(ISNUMBER(INDEX('Checks'!$K$4:$K$503,_calc!$E$40)),TEXT(INDEX('Checks'!$K$4:$K$503,_calc!$E$40),"yyyy-mm-dd"),""))=0,"","Copy to tenant: "&amp;IF(ISNUMBER(INDEX('Checks'!$K$4:$K$503,_calc!$E$40)),TEXT(INDEX('Checks'!$K$4:$K$503,_calc!$E$40),"yyyy-mm-dd"),"")&amp;". ")&amp;IF(LEN(IF(LEN(INDEX('Checks'!$P$4:$P$503,_calc!$E$40))=0,"",INDEX('Checks'!$P$4:$P$503,_calc!$E$40)))=0,"",IF(LEN(INDEX('Checks'!$P$4:$P$503,_calc!$E$40))=0,"",INDEX('Checks'!$P$4:$P$503,_calc!$E$40)))))</f>
        <v/>
      </c>
      <c r="G38" s="47">
        <f>IF(_calc!$E$40="","",IF(LEN(INDEX('Checks'!$N$4:$N$503,_calc!$E$40))=0,"",INDEX('Checks'!$N$4:$N$503,_calc!$E$40)))</f>
        <v/>
      </c>
      <c r="K38" s="47">
        <f>IF(_calc!$E$40="","",IF(LEN(INDEX('Checks'!$M$4:$M$503,_calc!$E$40))=0,"",INDEX('Checks'!$M$4:$M$503,_calc!$E$40)))</f>
        <v/>
      </c>
    </row>
    <row r="39">
      <c r="A39" s="47">
        <f>IF(_calc!$E$41="","",IF(LEN(INDEX('Checks'!$B$4:$B$503,_calc!$E$41))=0,"",INDEX('Checks'!$B$4:$B$503,_calc!$E$41))&amp;" – "&amp;IF(LEN(INDEX('Checks'!$A$4:$A$503,_calc!$E$41))=0,"",INDEX('Checks'!$A$4:$A$503,_calc!$E$41)))</f>
        <v/>
      </c>
      <c r="B39" s="47">
        <f>IF(_calc!$E$41="","",IF(ISNUMBER(INDEX('Checks'!$D$4:$D$503,_calc!$E$41)),TEXT(INDEX('Checks'!$D$4:$D$503,_calc!$E$41),"yyyy-mm-dd"),""))</f>
        <v/>
      </c>
      <c r="C39" s="47">
        <f>IF(_calc!$E$41="","",IF(LEN(INDEX('Checks'!$B$4:$B$503,_calc!$E$41))=0,"",INDEX('Checks'!$B$4:$B$503,_calc!$E$41)))</f>
        <v/>
      </c>
      <c r="D39" s="47">
        <f>IF(_calc!$E$41="","",IF(ISNUMBER(INDEX('Checks'!$C$4:$C$503,_calc!$E$41)),TEXT(INDEX('Checks'!$C$4:$C$503,_calc!$E$41),"yyyy-mm-dd"),""))</f>
        <v/>
      </c>
      <c r="E39" s="47">
        <f>IF(_calc!$E$41="","",IF(LEN(INDEX('Checks'!$L$4:$L$503,_calc!$E$41))=0,"",INDEX('Checks'!$L$4:$L$503,_calc!$E$41)))</f>
        <v/>
      </c>
      <c r="F39" s="47">
        <f>IF(_calc!$E$41="","",TRIM(IF(LEN(IF(LEN(INDEX('Checks'!$I$4:$I$503,_calc!$E$41))=0,"",INDEX('Checks'!$I$4:$I$503,_calc!$E$41)))=0,"","Contractor: "&amp;IF(LEN(INDEX('Checks'!$I$4:$I$503,_calc!$E$41))=0,"",INDEX('Checks'!$I$4:$I$503,_calc!$E$41))&amp;". ")&amp;IF(LEN(IF(LEN(INDEX('Checks'!$J$4:$J$503,_calc!$E$41))=0,"",INDEX('Checks'!$J$4:$J$503,_calc!$E$41)))=0,"","Ref: "&amp;IF(LEN(INDEX('Checks'!$J$4:$J$503,_calc!$E$41))=0,"",INDEX('Checks'!$J$4:$J$503,_calc!$E$41))&amp;". ")&amp;IF(LEN(IF(ISNUMBER(INDEX('Checks'!$K$4:$K$503,_calc!$E$41)),TEXT(INDEX('Checks'!$K$4:$K$503,_calc!$E$41),"yyyy-mm-dd"),""))=0,"","Copy to tenant: "&amp;IF(ISNUMBER(INDEX('Checks'!$K$4:$K$503,_calc!$E$41)),TEXT(INDEX('Checks'!$K$4:$K$503,_calc!$E$41),"yyyy-mm-dd"),"")&amp;". ")&amp;IF(LEN(IF(LEN(INDEX('Checks'!$P$4:$P$503,_calc!$E$41))=0,"",INDEX('Checks'!$P$4:$P$503,_calc!$E$41)))=0,"",IF(LEN(INDEX('Checks'!$P$4:$P$503,_calc!$E$41))=0,"",INDEX('Checks'!$P$4:$P$503,_calc!$E$41)))))</f>
        <v/>
      </c>
      <c r="G39" s="47">
        <f>IF(_calc!$E$41="","",IF(LEN(INDEX('Checks'!$N$4:$N$503,_calc!$E$41))=0,"",INDEX('Checks'!$N$4:$N$503,_calc!$E$41)))</f>
        <v/>
      </c>
      <c r="K39" s="47">
        <f>IF(_calc!$E$41="","",IF(LEN(INDEX('Checks'!$M$4:$M$503,_calc!$E$41))=0,"",INDEX('Checks'!$M$4:$M$503,_calc!$E$41)))</f>
        <v/>
      </c>
    </row>
    <row r="40">
      <c r="A40" s="47">
        <f>IF(_calc!$E$42="","",IF(LEN(INDEX('Checks'!$B$4:$B$503,_calc!$E$42))=0,"",INDEX('Checks'!$B$4:$B$503,_calc!$E$42))&amp;" – "&amp;IF(LEN(INDEX('Checks'!$A$4:$A$503,_calc!$E$42))=0,"",INDEX('Checks'!$A$4:$A$503,_calc!$E$42)))</f>
        <v/>
      </c>
      <c r="B40" s="47">
        <f>IF(_calc!$E$42="","",IF(ISNUMBER(INDEX('Checks'!$D$4:$D$503,_calc!$E$42)),TEXT(INDEX('Checks'!$D$4:$D$503,_calc!$E$42),"yyyy-mm-dd"),""))</f>
        <v/>
      </c>
      <c r="C40" s="47">
        <f>IF(_calc!$E$42="","",IF(LEN(INDEX('Checks'!$B$4:$B$503,_calc!$E$42))=0,"",INDEX('Checks'!$B$4:$B$503,_calc!$E$42)))</f>
        <v/>
      </c>
      <c r="D40" s="47">
        <f>IF(_calc!$E$42="","",IF(ISNUMBER(INDEX('Checks'!$C$4:$C$503,_calc!$E$42)),TEXT(INDEX('Checks'!$C$4:$C$503,_calc!$E$42),"yyyy-mm-dd"),""))</f>
        <v/>
      </c>
      <c r="E40" s="47">
        <f>IF(_calc!$E$42="","",IF(LEN(INDEX('Checks'!$L$4:$L$503,_calc!$E$42))=0,"",INDEX('Checks'!$L$4:$L$503,_calc!$E$42)))</f>
        <v/>
      </c>
      <c r="F40" s="47">
        <f>IF(_calc!$E$42="","",TRIM(IF(LEN(IF(LEN(INDEX('Checks'!$I$4:$I$503,_calc!$E$42))=0,"",INDEX('Checks'!$I$4:$I$503,_calc!$E$42)))=0,"","Contractor: "&amp;IF(LEN(INDEX('Checks'!$I$4:$I$503,_calc!$E$42))=0,"",INDEX('Checks'!$I$4:$I$503,_calc!$E$42))&amp;". ")&amp;IF(LEN(IF(LEN(INDEX('Checks'!$J$4:$J$503,_calc!$E$42))=0,"",INDEX('Checks'!$J$4:$J$503,_calc!$E$42)))=0,"","Ref: "&amp;IF(LEN(INDEX('Checks'!$J$4:$J$503,_calc!$E$42))=0,"",INDEX('Checks'!$J$4:$J$503,_calc!$E$42))&amp;". ")&amp;IF(LEN(IF(ISNUMBER(INDEX('Checks'!$K$4:$K$503,_calc!$E$42)),TEXT(INDEX('Checks'!$K$4:$K$503,_calc!$E$42),"yyyy-mm-dd"),""))=0,"","Copy to tenant: "&amp;IF(ISNUMBER(INDEX('Checks'!$K$4:$K$503,_calc!$E$42)),TEXT(INDEX('Checks'!$K$4:$K$503,_calc!$E$42),"yyyy-mm-dd"),"")&amp;". ")&amp;IF(LEN(IF(LEN(INDEX('Checks'!$P$4:$P$503,_calc!$E$42))=0,"",INDEX('Checks'!$P$4:$P$503,_calc!$E$42)))=0,"",IF(LEN(INDEX('Checks'!$P$4:$P$503,_calc!$E$42))=0,"",INDEX('Checks'!$P$4:$P$503,_calc!$E$42)))))</f>
        <v/>
      </c>
      <c r="G40" s="47">
        <f>IF(_calc!$E$42="","",IF(LEN(INDEX('Checks'!$N$4:$N$503,_calc!$E$42))=0,"",INDEX('Checks'!$N$4:$N$503,_calc!$E$42)))</f>
        <v/>
      </c>
      <c r="K40" s="47">
        <f>IF(_calc!$E$42="","",IF(LEN(INDEX('Checks'!$M$4:$M$503,_calc!$E$42))=0,"",INDEX('Checks'!$M$4:$M$503,_calc!$E$42)))</f>
        <v/>
      </c>
    </row>
    <row r="41">
      <c r="A41" s="47">
        <f>IF(_calc!$E$43="","",IF(LEN(INDEX('Checks'!$B$4:$B$503,_calc!$E$43))=0,"",INDEX('Checks'!$B$4:$B$503,_calc!$E$43))&amp;" – "&amp;IF(LEN(INDEX('Checks'!$A$4:$A$503,_calc!$E$43))=0,"",INDEX('Checks'!$A$4:$A$503,_calc!$E$43)))</f>
        <v/>
      </c>
      <c r="B41" s="47">
        <f>IF(_calc!$E$43="","",IF(ISNUMBER(INDEX('Checks'!$D$4:$D$503,_calc!$E$43)),TEXT(INDEX('Checks'!$D$4:$D$503,_calc!$E$43),"yyyy-mm-dd"),""))</f>
        <v/>
      </c>
      <c r="C41" s="47">
        <f>IF(_calc!$E$43="","",IF(LEN(INDEX('Checks'!$B$4:$B$503,_calc!$E$43))=0,"",INDEX('Checks'!$B$4:$B$503,_calc!$E$43)))</f>
        <v/>
      </c>
      <c r="D41" s="47">
        <f>IF(_calc!$E$43="","",IF(ISNUMBER(INDEX('Checks'!$C$4:$C$503,_calc!$E$43)),TEXT(INDEX('Checks'!$C$4:$C$503,_calc!$E$43),"yyyy-mm-dd"),""))</f>
        <v/>
      </c>
      <c r="E41" s="47">
        <f>IF(_calc!$E$43="","",IF(LEN(INDEX('Checks'!$L$4:$L$503,_calc!$E$43))=0,"",INDEX('Checks'!$L$4:$L$503,_calc!$E$43)))</f>
        <v/>
      </c>
      <c r="F41" s="47">
        <f>IF(_calc!$E$43="","",TRIM(IF(LEN(IF(LEN(INDEX('Checks'!$I$4:$I$503,_calc!$E$43))=0,"",INDEX('Checks'!$I$4:$I$503,_calc!$E$43)))=0,"","Contractor: "&amp;IF(LEN(INDEX('Checks'!$I$4:$I$503,_calc!$E$43))=0,"",INDEX('Checks'!$I$4:$I$503,_calc!$E$43))&amp;". ")&amp;IF(LEN(IF(LEN(INDEX('Checks'!$J$4:$J$503,_calc!$E$43))=0,"",INDEX('Checks'!$J$4:$J$503,_calc!$E$43)))=0,"","Ref: "&amp;IF(LEN(INDEX('Checks'!$J$4:$J$503,_calc!$E$43))=0,"",INDEX('Checks'!$J$4:$J$503,_calc!$E$43))&amp;". ")&amp;IF(LEN(IF(ISNUMBER(INDEX('Checks'!$K$4:$K$503,_calc!$E$43)),TEXT(INDEX('Checks'!$K$4:$K$503,_calc!$E$43),"yyyy-mm-dd"),""))=0,"","Copy to tenant: "&amp;IF(ISNUMBER(INDEX('Checks'!$K$4:$K$503,_calc!$E$43)),TEXT(INDEX('Checks'!$K$4:$K$503,_calc!$E$43),"yyyy-mm-dd"),"")&amp;". ")&amp;IF(LEN(IF(LEN(INDEX('Checks'!$P$4:$P$503,_calc!$E$43))=0,"",INDEX('Checks'!$P$4:$P$503,_calc!$E$43)))=0,"",IF(LEN(INDEX('Checks'!$P$4:$P$503,_calc!$E$43))=0,"",INDEX('Checks'!$P$4:$P$503,_calc!$E$43)))))</f>
        <v/>
      </c>
      <c r="G41" s="47">
        <f>IF(_calc!$E$43="","",IF(LEN(INDEX('Checks'!$N$4:$N$503,_calc!$E$43))=0,"",INDEX('Checks'!$N$4:$N$503,_calc!$E$43)))</f>
        <v/>
      </c>
      <c r="K41" s="47">
        <f>IF(_calc!$E$43="","",IF(LEN(INDEX('Checks'!$M$4:$M$503,_calc!$E$43))=0,"",INDEX('Checks'!$M$4:$M$503,_calc!$E$43)))</f>
        <v/>
      </c>
    </row>
    <row r="42">
      <c r="A42" s="47">
        <f>IF(_calc!$E$44="","",IF(LEN(INDEX('Checks'!$B$4:$B$503,_calc!$E$44))=0,"",INDEX('Checks'!$B$4:$B$503,_calc!$E$44))&amp;" – "&amp;IF(LEN(INDEX('Checks'!$A$4:$A$503,_calc!$E$44))=0,"",INDEX('Checks'!$A$4:$A$503,_calc!$E$44)))</f>
        <v/>
      </c>
      <c r="B42" s="47">
        <f>IF(_calc!$E$44="","",IF(ISNUMBER(INDEX('Checks'!$D$4:$D$503,_calc!$E$44)),TEXT(INDEX('Checks'!$D$4:$D$503,_calc!$E$44),"yyyy-mm-dd"),""))</f>
        <v/>
      </c>
      <c r="C42" s="47">
        <f>IF(_calc!$E$44="","",IF(LEN(INDEX('Checks'!$B$4:$B$503,_calc!$E$44))=0,"",INDEX('Checks'!$B$4:$B$503,_calc!$E$44)))</f>
        <v/>
      </c>
      <c r="D42" s="47">
        <f>IF(_calc!$E$44="","",IF(ISNUMBER(INDEX('Checks'!$C$4:$C$503,_calc!$E$44)),TEXT(INDEX('Checks'!$C$4:$C$503,_calc!$E$44),"yyyy-mm-dd"),""))</f>
        <v/>
      </c>
      <c r="E42" s="47">
        <f>IF(_calc!$E$44="","",IF(LEN(INDEX('Checks'!$L$4:$L$503,_calc!$E$44))=0,"",INDEX('Checks'!$L$4:$L$503,_calc!$E$44)))</f>
        <v/>
      </c>
      <c r="F42" s="47">
        <f>IF(_calc!$E$44="","",TRIM(IF(LEN(IF(LEN(INDEX('Checks'!$I$4:$I$503,_calc!$E$44))=0,"",INDEX('Checks'!$I$4:$I$503,_calc!$E$44)))=0,"","Contractor: "&amp;IF(LEN(INDEX('Checks'!$I$4:$I$503,_calc!$E$44))=0,"",INDEX('Checks'!$I$4:$I$503,_calc!$E$44))&amp;". ")&amp;IF(LEN(IF(LEN(INDEX('Checks'!$J$4:$J$503,_calc!$E$44))=0,"",INDEX('Checks'!$J$4:$J$503,_calc!$E$44)))=0,"","Ref: "&amp;IF(LEN(INDEX('Checks'!$J$4:$J$503,_calc!$E$44))=0,"",INDEX('Checks'!$J$4:$J$503,_calc!$E$44))&amp;". ")&amp;IF(LEN(IF(ISNUMBER(INDEX('Checks'!$K$4:$K$503,_calc!$E$44)),TEXT(INDEX('Checks'!$K$4:$K$503,_calc!$E$44),"yyyy-mm-dd"),""))=0,"","Copy to tenant: "&amp;IF(ISNUMBER(INDEX('Checks'!$K$4:$K$503,_calc!$E$44)),TEXT(INDEX('Checks'!$K$4:$K$503,_calc!$E$44),"yyyy-mm-dd"),"")&amp;". ")&amp;IF(LEN(IF(LEN(INDEX('Checks'!$P$4:$P$503,_calc!$E$44))=0,"",INDEX('Checks'!$P$4:$P$503,_calc!$E$44)))=0,"",IF(LEN(INDEX('Checks'!$P$4:$P$503,_calc!$E$44))=0,"",INDEX('Checks'!$P$4:$P$503,_calc!$E$44)))))</f>
        <v/>
      </c>
      <c r="G42" s="47">
        <f>IF(_calc!$E$44="","",IF(LEN(INDEX('Checks'!$N$4:$N$503,_calc!$E$44))=0,"",INDEX('Checks'!$N$4:$N$503,_calc!$E$44)))</f>
        <v/>
      </c>
      <c r="K42" s="47">
        <f>IF(_calc!$E$44="","",IF(LEN(INDEX('Checks'!$M$4:$M$503,_calc!$E$44))=0,"",INDEX('Checks'!$M$4:$M$503,_calc!$E$44)))</f>
        <v/>
      </c>
    </row>
    <row r="43">
      <c r="A43" s="47">
        <f>IF(_calc!$E$45="","",IF(LEN(INDEX('Checks'!$B$4:$B$503,_calc!$E$45))=0,"",INDEX('Checks'!$B$4:$B$503,_calc!$E$45))&amp;" – "&amp;IF(LEN(INDEX('Checks'!$A$4:$A$503,_calc!$E$45))=0,"",INDEX('Checks'!$A$4:$A$503,_calc!$E$45)))</f>
        <v/>
      </c>
      <c r="B43" s="47">
        <f>IF(_calc!$E$45="","",IF(ISNUMBER(INDEX('Checks'!$D$4:$D$503,_calc!$E$45)),TEXT(INDEX('Checks'!$D$4:$D$503,_calc!$E$45),"yyyy-mm-dd"),""))</f>
        <v/>
      </c>
      <c r="C43" s="47">
        <f>IF(_calc!$E$45="","",IF(LEN(INDEX('Checks'!$B$4:$B$503,_calc!$E$45))=0,"",INDEX('Checks'!$B$4:$B$503,_calc!$E$45)))</f>
        <v/>
      </c>
      <c r="D43" s="47">
        <f>IF(_calc!$E$45="","",IF(ISNUMBER(INDEX('Checks'!$C$4:$C$503,_calc!$E$45)),TEXT(INDEX('Checks'!$C$4:$C$503,_calc!$E$45),"yyyy-mm-dd"),""))</f>
        <v/>
      </c>
      <c r="E43" s="47">
        <f>IF(_calc!$E$45="","",IF(LEN(INDEX('Checks'!$L$4:$L$503,_calc!$E$45))=0,"",INDEX('Checks'!$L$4:$L$503,_calc!$E$45)))</f>
        <v/>
      </c>
      <c r="F43" s="47">
        <f>IF(_calc!$E$45="","",TRIM(IF(LEN(IF(LEN(INDEX('Checks'!$I$4:$I$503,_calc!$E$45))=0,"",INDEX('Checks'!$I$4:$I$503,_calc!$E$45)))=0,"","Contractor: "&amp;IF(LEN(INDEX('Checks'!$I$4:$I$503,_calc!$E$45))=0,"",INDEX('Checks'!$I$4:$I$503,_calc!$E$45))&amp;". ")&amp;IF(LEN(IF(LEN(INDEX('Checks'!$J$4:$J$503,_calc!$E$45))=0,"",INDEX('Checks'!$J$4:$J$503,_calc!$E$45)))=0,"","Ref: "&amp;IF(LEN(INDEX('Checks'!$J$4:$J$503,_calc!$E$45))=0,"",INDEX('Checks'!$J$4:$J$503,_calc!$E$45))&amp;". ")&amp;IF(LEN(IF(ISNUMBER(INDEX('Checks'!$K$4:$K$503,_calc!$E$45)),TEXT(INDEX('Checks'!$K$4:$K$503,_calc!$E$45),"yyyy-mm-dd"),""))=0,"","Copy to tenant: "&amp;IF(ISNUMBER(INDEX('Checks'!$K$4:$K$503,_calc!$E$45)),TEXT(INDEX('Checks'!$K$4:$K$503,_calc!$E$45),"yyyy-mm-dd"),"")&amp;". ")&amp;IF(LEN(IF(LEN(INDEX('Checks'!$P$4:$P$503,_calc!$E$45))=0,"",INDEX('Checks'!$P$4:$P$503,_calc!$E$45)))=0,"",IF(LEN(INDEX('Checks'!$P$4:$P$503,_calc!$E$45))=0,"",INDEX('Checks'!$P$4:$P$503,_calc!$E$45)))))</f>
        <v/>
      </c>
      <c r="G43" s="47">
        <f>IF(_calc!$E$45="","",IF(LEN(INDEX('Checks'!$N$4:$N$503,_calc!$E$45))=0,"",INDEX('Checks'!$N$4:$N$503,_calc!$E$45)))</f>
        <v/>
      </c>
      <c r="K43" s="47">
        <f>IF(_calc!$E$45="","",IF(LEN(INDEX('Checks'!$M$4:$M$503,_calc!$E$45))=0,"",INDEX('Checks'!$M$4:$M$503,_calc!$E$45)))</f>
        <v/>
      </c>
    </row>
    <row r="44">
      <c r="A44" s="47">
        <f>IF(_calc!$E$46="","",IF(LEN(INDEX('Checks'!$B$4:$B$503,_calc!$E$46))=0,"",INDEX('Checks'!$B$4:$B$503,_calc!$E$46))&amp;" – "&amp;IF(LEN(INDEX('Checks'!$A$4:$A$503,_calc!$E$46))=0,"",INDEX('Checks'!$A$4:$A$503,_calc!$E$46)))</f>
        <v/>
      </c>
      <c r="B44" s="47">
        <f>IF(_calc!$E$46="","",IF(ISNUMBER(INDEX('Checks'!$D$4:$D$503,_calc!$E$46)),TEXT(INDEX('Checks'!$D$4:$D$503,_calc!$E$46),"yyyy-mm-dd"),""))</f>
        <v/>
      </c>
      <c r="C44" s="47">
        <f>IF(_calc!$E$46="","",IF(LEN(INDEX('Checks'!$B$4:$B$503,_calc!$E$46))=0,"",INDEX('Checks'!$B$4:$B$503,_calc!$E$46)))</f>
        <v/>
      </c>
      <c r="D44" s="47">
        <f>IF(_calc!$E$46="","",IF(ISNUMBER(INDEX('Checks'!$C$4:$C$503,_calc!$E$46)),TEXT(INDEX('Checks'!$C$4:$C$503,_calc!$E$46),"yyyy-mm-dd"),""))</f>
        <v/>
      </c>
      <c r="E44" s="47">
        <f>IF(_calc!$E$46="","",IF(LEN(INDEX('Checks'!$L$4:$L$503,_calc!$E$46))=0,"",INDEX('Checks'!$L$4:$L$503,_calc!$E$46)))</f>
        <v/>
      </c>
      <c r="F44" s="47">
        <f>IF(_calc!$E$46="","",TRIM(IF(LEN(IF(LEN(INDEX('Checks'!$I$4:$I$503,_calc!$E$46))=0,"",INDEX('Checks'!$I$4:$I$503,_calc!$E$46)))=0,"","Contractor: "&amp;IF(LEN(INDEX('Checks'!$I$4:$I$503,_calc!$E$46))=0,"",INDEX('Checks'!$I$4:$I$503,_calc!$E$46))&amp;". ")&amp;IF(LEN(IF(LEN(INDEX('Checks'!$J$4:$J$503,_calc!$E$46))=0,"",INDEX('Checks'!$J$4:$J$503,_calc!$E$46)))=0,"","Ref: "&amp;IF(LEN(INDEX('Checks'!$J$4:$J$503,_calc!$E$46))=0,"",INDEX('Checks'!$J$4:$J$503,_calc!$E$46))&amp;". ")&amp;IF(LEN(IF(ISNUMBER(INDEX('Checks'!$K$4:$K$503,_calc!$E$46)),TEXT(INDEX('Checks'!$K$4:$K$503,_calc!$E$46),"yyyy-mm-dd"),""))=0,"","Copy to tenant: "&amp;IF(ISNUMBER(INDEX('Checks'!$K$4:$K$503,_calc!$E$46)),TEXT(INDEX('Checks'!$K$4:$K$503,_calc!$E$46),"yyyy-mm-dd"),"")&amp;". ")&amp;IF(LEN(IF(LEN(INDEX('Checks'!$P$4:$P$503,_calc!$E$46))=0,"",INDEX('Checks'!$P$4:$P$503,_calc!$E$46)))=0,"",IF(LEN(INDEX('Checks'!$P$4:$P$503,_calc!$E$46))=0,"",INDEX('Checks'!$P$4:$P$503,_calc!$E$46)))))</f>
        <v/>
      </c>
      <c r="G44" s="47">
        <f>IF(_calc!$E$46="","",IF(LEN(INDEX('Checks'!$N$4:$N$503,_calc!$E$46))=0,"",INDEX('Checks'!$N$4:$N$503,_calc!$E$46)))</f>
        <v/>
      </c>
      <c r="K44" s="47">
        <f>IF(_calc!$E$46="","",IF(LEN(INDEX('Checks'!$M$4:$M$503,_calc!$E$46))=0,"",INDEX('Checks'!$M$4:$M$503,_calc!$E$46)))</f>
        <v/>
      </c>
    </row>
    <row r="45">
      <c r="A45" s="47">
        <f>IF(_calc!$E$47="","",IF(LEN(INDEX('Checks'!$B$4:$B$503,_calc!$E$47))=0,"",INDEX('Checks'!$B$4:$B$503,_calc!$E$47))&amp;" – "&amp;IF(LEN(INDEX('Checks'!$A$4:$A$503,_calc!$E$47))=0,"",INDEX('Checks'!$A$4:$A$503,_calc!$E$47)))</f>
        <v/>
      </c>
      <c r="B45" s="47">
        <f>IF(_calc!$E$47="","",IF(ISNUMBER(INDEX('Checks'!$D$4:$D$503,_calc!$E$47)),TEXT(INDEX('Checks'!$D$4:$D$503,_calc!$E$47),"yyyy-mm-dd"),""))</f>
        <v/>
      </c>
      <c r="C45" s="47">
        <f>IF(_calc!$E$47="","",IF(LEN(INDEX('Checks'!$B$4:$B$503,_calc!$E$47))=0,"",INDEX('Checks'!$B$4:$B$503,_calc!$E$47)))</f>
        <v/>
      </c>
      <c r="D45" s="47">
        <f>IF(_calc!$E$47="","",IF(ISNUMBER(INDEX('Checks'!$C$4:$C$503,_calc!$E$47)),TEXT(INDEX('Checks'!$C$4:$C$503,_calc!$E$47),"yyyy-mm-dd"),""))</f>
        <v/>
      </c>
      <c r="E45" s="47">
        <f>IF(_calc!$E$47="","",IF(LEN(INDEX('Checks'!$L$4:$L$503,_calc!$E$47))=0,"",INDEX('Checks'!$L$4:$L$503,_calc!$E$47)))</f>
        <v/>
      </c>
      <c r="F45" s="47">
        <f>IF(_calc!$E$47="","",TRIM(IF(LEN(IF(LEN(INDEX('Checks'!$I$4:$I$503,_calc!$E$47))=0,"",INDEX('Checks'!$I$4:$I$503,_calc!$E$47)))=0,"","Contractor: "&amp;IF(LEN(INDEX('Checks'!$I$4:$I$503,_calc!$E$47))=0,"",INDEX('Checks'!$I$4:$I$503,_calc!$E$47))&amp;". ")&amp;IF(LEN(IF(LEN(INDEX('Checks'!$J$4:$J$503,_calc!$E$47))=0,"",INDEX('Checks'!$J$4:$J$503,_calc!$E$47)))=0,"","Ref: "&amp;IF(LEN(INDEX('Checks'!$J$4:$J$503,_calc!$E$47))=0,"",INDEX('Checks'!$J$4:$J$503,_calc!$E$47))&amp;". ")&amp;IF(LEN(IF(ISNUMBER(INDEX('Checks'!$K$4:$K$503,_calc!$E$47)),TEXT(INDEX('Checks'!$K$4:$K$503,_calc!$E$47),"yyyy-mm-dd"),""))=0,"","Copy to tenant: "&amp;IF(ISNUMBER(INDEX('Checks'!$K$4:$K$503,_calc!$E$47)),TEXT(INDEX('Checks'!$K$4:$K$503,_calc!$E$47),"yyyy-mm-dd"),"")&amp;". ")&amp;IF(LEN(IF(LEN(INDEX('Checks'!$P$4:$P$503,_calc!$E$47))=0,"",INDEX('Checks'!$P$4:$P$503,_calc!$E$47)))=0,"",IF(LEN(INDEX('Checks'!$P$4:$P$503,_calc!$E$47))=0,"",INDEX('Checks'!$P$4:$P$503,_calc!$E$47)))))</f>
        <v/>
      </c>
      <c r="G45" s="47">
        <f>IF(_calc!$E$47="","",IF(LEN(INDEX('Checks'!$N$4:$N$503,_calc!$E$47))=0,"",INDEX('Checks'!$N$4:$N$503,_calc!$E$47)))</f>
        <v/>
      </c>
      <c r="K45" s="47">
        <f>IF(_calc!$E$47="","",IF(LEN(INDEX('Checks'!$M$4:$M$503,_calc!$E$47))=0,"",INDEX('Checks'!$M$4:$M$503,_calc!$E$47)))</f>
        <v/>
      </c>
    </row>
    <row r="46">
      <c r="A46" s="47">
        <f>IF(_calc!$E$48="","",IF(LEN(INDEX('Checks'!$B$4:$B$503,_calc!$E$48))=0,"",INDEX('Checks'!$B$4:$B$503,_calc!$E$48))&amp;" – "&amp;IF(LEN(INDEX('Checks'!$A$4:$A$503,_calc!$E$48))=0,"",INDEX('Checks'!$A$4:$A$503,_calc!$E$48)))</f>
        <v/>
      </c>
      <c r="B46" s="47">
        <f>IF(_calc!$E$48="","",IF(ISNUMBER(INDEX('Checks'!$D$4:$D$503,_calc!$E$48)),TEXT(INDEX('Checks'!$D$4:$D$503,_calc!$E$48),"yyyy-mm-dd"),""))</f>
        <v/>
      </c>
      <c r="C46" s="47">
        <f>IF(_calc!$E$48="","",IF(LEN(INDEX('Checks'!$B$4:$B$503,_calc!$E$48))=0,"",INDEX('Checks'!$B$4:$B$503,_calc!$E$48)))</f>
        <v/>
      </c>
      <c r="D46" s="47">
        <f>IF(_calc!$E$48="","",IF(ISNUMBER(INDEX('Checks'!$C$4:$C$503,_calc!$E$48)),TEXT(INDEX('Checks'!$C$4:$C$503,_calc!$E$48),"yyyy-mm-dd"),""))</f>
        <v/>
      </c>
      <c r="E46" s="47">
        <f>IF(_calc!$E$48="","",IF(LEN(INDEX('Checks'!$L$4:$L$503,_calc!$E$48))=0,"",INDEX('Checks'!$L$4:$L$503,_calc!$E$48)))</f>
        <v/>
      </c>
      <c r="F46" s="47">
        <f>IF(_calc!$E$48="","",TRIM(IF(LEN(IF(LEN(INDEX('Checks'!$I$4:$I$503,_calc!$E$48))=0,"",INDEX('Checks'!$I$4:$I$503,_calc!$E$48)))=0,"","Contractor: "&amp;IF(LEN(INDEX('Checks'!$I$4:$I$503,_calc!$E$48))=0,"",INDEX('Checks'!$I$4:$I$503,_calc!$E$48))&amp;". ")&amp;IF(LEN(IF(LEN(INDEX('Checks'!$J$4:$J$503,_calc!$E$48))=0,"",INDEX('Checks'!$J$4:$J$503,_calc!$E$48)))=0,"","Ref: "&amp;IF(LEN(INDEX('Checks'!$J$4:$J$503,_calc!$E$48))=0,"",INDEX('Checks'!$J$4:$J$503,_calc!$E$48))&amp;". ")&amp;IF(LEN(IF(ISNUMBER(INDEX('Checks'!$K$4:$K$503,_calc!$E$48)),TEXT(INDEX('Checks'!$K$4:$K$503,_calc!$E$48),"yyyy-mm-dd"),""))=0,"","Copy to tenant: "&amp;IF(ISNUMBER(INDEX('Checks'!$K$4:$K$503,_calc!$E$48)),TEXT(INDEX('Checks'!$K$4:$K$503,_calc!$E$48),"yyyy-mm-dd"),"")&amp;". ")&amp;IF(LEN(IF(LEN(INDEX('Checks'!$P$4:$P$503,_calc!$E$48))=0,"",INDEX('Checks'!$P$4:$P$503,_calc!$E$48)))=0,"",IF(LEN(INDEX('Checks'!$P$4:$P$503,_calc!$E$48))=0,"",INDEX('Checks'!$P$4:$P$503,_calc!$E$48)))))</f>
        <v/>
      </c>
      <c r="G46" s="47">
        <f>IF(_calc!$E$48="","",IF(LEN(INDEX('Checks'!$N$4:$N$503,_calc!$E$48))=0,"",INDEX('Checks'!$N$4:$N$503,_calc!$E$48)))</f>
        <v/>
      </c>
      <c r="K46" s="47">
        <f>IF(_calc!$E$48="","",IF(LEN(INDEX('Checks'!$M$4:$M$503,_calc!$E$48))=0,"",INDEX('Checks'!$M$4:$M$503,_calc!$E$48)))</f>
        <v/>
      </c>
    </row>
    <row r="47">
      <c r="A47" s="47">
        <f>IF(_calc!$E$49="","",IF(LEN(INDEX('Checks'!$B$4:$B$503,_calc!$E$49))=0,"",INDEX('Checks'!$B$4:$B$503,_calc!$E$49))&amp;" – "&amp;IF(LEN(INDEX('Checks'!$A$4:$A$503,_calc!$E$49))=0,"",INDEX('Checks'!$A$4:$A$503,_calc!$E$49)))</f>
        <v/>
      </c>
      <c r="B47" s="47">
        <f>IF(_calc!$E$49="","",IF(ISNUMBER(INDEX('Checks'!$D$4:$D$503,_calc!$E$49)),TEXT(INDEX('Checks'!$D$4:$D$503,_calc!$E$49),"yyyy-mm-dd"),""))</f>
        <v/>
      </c>
      <c r="C47" s="47">
        <f>IF(_calc!$E$49="","",IF(LEN(INDEX('Checks'!$B$4:$B$503,_calc!$E$49))=0,"",INDEX('Checks'!$B$4:$B$503,_calc!$E$49)))</f>
        <v/>
      </c>
      <c r="D47" s="47">
        <f>IF(_calc!$E$49="","",IF(ISNUMBER(INDEX('Checks'!$C$4:$C$503,_calc!$E$49)),TEXT(INDEX('Checks'!$C$4:$C$503,_calc!$E$49),"yyyy-mm-dd"),""))</f>
        <v/>
      </c>
      <c r="E47" s="47">
        <f>IF(_calc!$E$49="","",IF(LEN(INDEX('Checks'!$L$4:$L$503,_calc!$E$49))=0,"",INDEX('Checks'!$L$4:$L$503,_calc!$E$49)))</f>
        <v/>
      </c>
      <c r="F47" s="47">
        <f>IF(_calc!$E$49="","",TRIM(IF(LEN(IF(LEN(INDEX('Checks'!$I$4:$I$503,_calc!$E$49))=0,"",INDEX('Checks'!$I$4:$I$503,_calc!$E$49)))=0,"","Contractor: "&amp;IF(LEN(INDEX('Checks'!$I$4:$I$503,_calc!$E$49))=0,"",INDEX('Checks'!$I$4:$I$503,_calc!$E$49))&amp;". ")&amp;IF(LEN(IF(LEN(INDEX('Checks'!$J$4:$J$503,_calc!$E$49))=0,"",INDEX('Checks'!$J$4:$J$503,_calc!$E$49)))=0,"","Ref: "&amp;IF(LEN(INDEX('Checks'!$J$4:$J$503,_calc!$E$49))=0,"",INDEX('Checks'!$J$4:$J$503,_calc!$E$49))&amp;". ")&amp;IF(LEN(IF(ISNUMBER(INDEX('Checks'!$K$4:$K$503,_calc!$E$49)),TEXT(INDEX('Checks'!$K$4:$K$503,_calc!$E$49),"yyyy-mm-dd"),""))=0,"","Copy to tenant: "&amp;IF(ISNUMBER(INDEX('Checks'!$K$4:$K$503,_calc!$E$49)),TEXT(INDEX('Checks'!$K$4:$K$503,_calc!$E$49),"yyyy-mm-dd"),"")&amp;". ")&amp;IF(LEN(IF(LEN(INDEX('Checks'!$P$4:$P$503,_calc!$E$49))=0,"",INDEX('Checks'!$P$4:$P$503,_calc!$E$49)))=0,"",IF(LEN(INDEX('Checks'!$P$4:$P$503,_calc!$E$49))=0,"",INDEX('Checks'!$P$4:$P$503,_calc!$E$49)))))</f>
        <v/>
      </c>
      <c r="G47" s="47">
        <f>IF(_calc!$E$49="","",IF(LEN(INDEX('Checks'!$N$4:$N$503,_calc!$E$49))=0,"",INDEX('Checks'!$N$4:$N$503,_calc!$E$49)))</f>
        <v/>
      </c>
      <c r="K47" s="47">
        <f>IF(_calc!$E$49="","",IF(LEN(INDEX('Checks'!$M$4:$M$503,_calc!$E$49))=0,"",INDEX('Checks'!$M$4:$M$503,_calc!$E$49)))</f>
        <v/>
      </c>
    </row>
    <row r="48">
      <c r="A48" s="47">
        <f>IF(_calc!$E$50="","",IF(LEN(INDEX('Checks'!$B$4:$B$503,_calc!$E$50))=0,"",INDEX('Checks'!$B$4:$B$503,_calc!$E$50))&amp;" – "&amp;IF(LEN(INDEX('Checks'!$A$4:$A$503,_calc!$E$50))=0,"",INDEX('Checks'!$A$4:$A$503,_calc!$E$50)))</f>
        <v/>
      </c>
      <c r="B48" s="47">
        <f>IF(_calc!$E$50="","",IF(ISNUMBER(INDEX('Checks'!$D$4:$D$503,_calc!$E$50)),TEXT(INDEX('Checks'!$D$4:$D$503,_calc!$E$50),"yyyy-mm-dd"),""))</f>
        <v/>
      </c>
      <c r="C48" s="47">
        <f>IF(_calc!$E$50="","",IF(LEN(INDEX('Checks'!$B$4:$B$503,_calc!$E$50))=0,"",INDEX('Checks'!$B$4:$B$503,_calc!$E$50)))</f>
        <v/>
      </c>
      <c r="D48" s="47">
        <f>IF(_calc!$E$50="","",IF(ISNUMBER(INDEX('Checks'!$C$4:$C$503,_calc!$E$50)),TEXT(INDEX('Checks'!$C$4:$C$503,_calc!$E$50),"yyyy-mm-dd"),""))</f>
        <v/>
      </c>
      <c r="E48" s="47">
        <f>IF(_calc!$E$50="","",IF(LEN(INDEX('Checks'!$L$4:$L$503,_calc!$E$50))=0,"",INDEX('Checks'!$L$4:$L$503,_calc!$E$50)))</f>
        <v/>
      </c>
      <c r="F48" s="47">
        <f>IF(_calc!$E$50="","",TRIM(IF(LEN(IF(LEN(INDEX('Checks'!$I$4:$I$503,_calc!$E$50))=0,"",INDEX('Checks'!$I$4:$I$503,_calc!$E$50)))=0,"","Contractor: "&amp;IF(LEN(INDEX('Checks'!$I$4:$I$503,_calc!$E$50))=0,"",INDEX('Checks'!$I$4:$I$503,_calc!$E$50))&amp;". ")&amp;IF(LEN(IF(LEN(INDEX('Checks'!$J$4:$J$503,_calc!$E$50))=0,"",INDEX('Checks'!$J$4:$J$503,_calc!$E$50)))=0,"","Ref: "&amp;IF(LEN(INDEX('Checks'!$J$4:$J$503,_calc!$E$50))=0,"",INDEX('Checks'!$J$4:$J$503,_calc!$E$50))&amp;". ")&amp;IF(LEN(IF(ISNUMBER(INDEX('Checks'!$K$4:$K$503,_calc!$E$50)),TEXT(INDEX('Checks'!$K$4:$K$503,_calc!$E$50),"yyyy-mm-dd"),""))=0,"","Copy to tenant: "&amp;IF(ISNUMBER(INDEX('Checks'!$K$4:$K$503,_calc!$E$50)),TEXT(INDEX('Checks'!$K$4:$K$503,_calc!$E$50),"yyyy-mm-dd"),"")&amp;". ")&amp;IF(LEN(IF(LEN(INDEX('Checks'!$P$4:$P$503,_calc!$E$50))=0,"",INDEX('Checks'!$P$4:$P$503,_calc!$E$50)))=0,"",IF(LEN(INDEX('Checks'!$P$4:$P$503,_calc!$E$50))=0,"",INDEX('Checks'!$P$4:$P$503,_calc!$E$50)))))</f>
        <v/>
      </c>
      <c r="G48" s="47">
        <f>IF(_calc!$E$50="","",IF(LEN(INDEX('Checks'!$N$4:$N$503,_calc!$E$50))=0,"",INDEX('Checks'!$N$4:$N$503,_calc!$E$50)))</f>
        <v/>
      </c>
      <c r="K48" s="47">
        <f>IF(_calc!$E$50="","",IF(LEN(INDEX('Checks'!$M$4:$M$503,_calc!$E$50))=0,"",INDEX('Checks'!$M$4:$M$503,_calc!$E$50)))</f>
        <v/>
      </c>
    </row>
    <row r="49">
      <c r="A49" s="47">
        <f>IF(_calc!$E$51="","",IF(LEN(INDEX('Checks'!$B$4:$B$503,_calc!$E$51))=0,"",INDEX('Checks'!$B$4:$B$503,_calc!$E$51))&amp;" – "&amp;IF(LEN(INDEX('Checks'!$A$4:$A$503,_calc!$E$51))=0,"",INDEX('Checks'!$A$4:$A$503,_calc!$E$51)))</f>
        <v/>
      </c>
      <c r="B49" s="47">
        <f>IF(_calc!$E$51="","",IF(ISNUMBER(INDEX('Checks'!$D$4:$D$503,_calc!$E$51)),TEXT(INDEX('Checks'!$D$4:$D$503,_calc!$E$51),"yyyy-mm-dd"),""))</f>
        <v/>
      </c>
      <c r="C49" s="47">
        <f>IF(_calc!$E$51="","",IF(LEN(INDEX('Checks'!$B$4:$B$503,_calc!$E$51))=0,"",INDEX('Checks'!$B$4:$B$503,_calc!$E$51)))</f>
        <v/>
      </c>
      <c r="D49" s="47">
        <f>IF(_calc!$E$51="","",IF(ISNUMBER(INDEX('Checks'!$C$4:$C$503,_calc!$E$51)),TEXT(INDEX('Checks'!$C$4:$C$503,_calc!$E$51),"yyyy-mm-dd"),""))</f>
        <v/>
      </c>
      <c r="E49" s="47">
        <f>IF(_calc!$E$51="","",IF(LEN(INDEX('Checks'!$L$4:$L$503,_calc!$E$51))=0,"",INDEX('Checks'!$L$4:$L$503,_calc!$E$51)))</f>
        <v/>
      </c>
      <c r="F49" s="47">
        <f>IF(_calc!$E$51="","",TRIM(IF(LEN(IF(LEN(INDEX('Checks'!$I$4:$I$503,_calc!$E$51))=0,"",INDEX('Checks'!$I$4:$I$503,_calc!$E$51)))=0,"","Contractor: "&amp;IF(LEN(INDEX('Checks'!$I$4:$I$503,_calc!$E$51))=0,"",INDEX('Checks'!$I$4:$I$503,_calc!$E$51))&amp;". ")&amp;IF(LEN(IF(LEN(INDEX('Checks'!$J$4:$J$503,_calc!$E$51))=0,"",INDEX('Checks'!$J$4:$J$503,_calc!$E$51)))=0,"","Ref: "&amp;IF(LEN(INDEX('Checks'!$J$4:$J$503,_calc!$E$51))=0,"",INDEX('Checks'!$J$4:$J$503,_calc!$E$51))&amp;". ")&amp;IF(LEN(IF(ISNUMBER(INDEX('Checks'!$K$4:$K$503,_calc!$E$51)),TEXT(INDEX('Checks'!$K$4:$K$503,_calc!$E$51),"yyyy-mm-dd"),""))=0,"","Copy to tenant: "&amp;IF(ISNUMBER(INDEX('Checks'!$K$4:$K$503,_calc!$E$51)),TEXT(INDEX('Checks'!$K$4:$K$503,_calc!$E$51),"yyyy-mm-dd"),"")&amp;". ")&amp;IF(LEN(IF(LEN(INDEX('Checks'!$P$4:$P$503,_calc!$E$51))=0,"",INDEX('Checks'!$P$4:$P$503,_calc!$E$51)))=0,"",IF(LEN(INDEX('Checks'!$P$4:$P$503,_calc!$E$51))=0,"",INDEX('Checks'!$P$4:$P$503,_calc!$E$51)))))</f>
        <v/>
      </c>
      <c r="G49" s="47">
        <f>IF(_calc!$E$51="","",IF(LEN(INDEX('Checks'!$N$4:$N$503,_calc!$E$51))=0,"",INDEX('Checks'!$N$4:$N$503,_calc!$E$51)))</f>
        <v/>
      </c>
      <c r="K49" s="47">
        <f>IF(_calc!$E$51="","",IF(LEN(INDEX('Checks'!$M$4:$M$503,_calc!$E$51))=0,"",INDEX('Checks'!$M$4:$M$503,_calc!$E$51)))</f>
        <v/>
      </c>
    </row>
    <row r="50">
      <c r="A50" s="47">
        <f>IF(_calc!$E$52="","",IF(LEN(INDEX('Checks'!$B$4:$B$503,_calc!$E$52))=0,"",INDEX('Checks'!$B$4:$B$503,_calc!$E$52))&amp;" – "&amp;IF(LEN(INDEX('Checks'!$A$4:$A$503,_calc!$E$52))=0,"",INDEX('Checks'!$A$4:$A$503,_calc!$E$52)))</f>
        <v/>
      </c>
      <c r="B50" s="47">
        <f>IF(_calc!$E$52="","",IF(ISNUMBER(INDEX('Checks'!$D$4:$D$503,_calc!$E$52)),TEXT(INDEX('Checks'!$D$4:$D$503,_calc!$E$52),"yyyy-mm-dd"),""))</f>
        <v/>
      </c>
      <c r="C50" s="47">
        <f>IF(_calc!$E$52="","",IF(LEN(INDEX('Checks'!$B$4:$B$503,_calc!$E$52))=0,"",INDEX('Checks'!$B$4:$B$503,_calc!$E$52)))</f>
        <v/>
      </c>
      <c r="D50" s="47">
        <f>IF(_calc!$E$52="","",IF(ISNUMBER(INDEX('Checks'!$C$4:$C$503,_calc!$E$52)),TEXT(INDEX('Checks'!$C$4:$C$503,_calc!$E$52),"yyyy-mm-dd"),""))</f>
        <v/>
      </c>
      <c r="E50" s="47">
        <f>IF(_calc!$E$52="","",IF(LEN(INDEX('Checks'!$L$4:$L$503,_calc!$E$52))=0,"",INDEX('Checks'!$L$4:$L$503,_calc!$E$52)))</f>
        <v/>
      </c>
      <c r="F50" s="47">
        <f>IF(_calc!$E$52="","",TRIM(IF(LEN(IF(LEN(INDEX('Checks'!$I$4:$I$503,_calc!$E$52))=0,"",INDEX('Checks'!$I$4:$I$503,_calc!$E$52)))=0,"","Contractor: "&amp;IF(LEN(INDEX('Checks'!$I$4:$I$503,_calc!$E$52))=0,"",INDEX('Checks'!$I$4:$I$503,_calc!$E$52))&amp;". ")&amp;IF(LEN(IF(LEN(INDEX('Checks'!$J$4:$J$503,_calc!$E$52))=0,"",INDEX('Checks'!$J$4:$J$503,_calc!$E$52)))=0,"","Ref: "&amp;IF(LEN(INDEX('Checks'!$J$4:$J$503,_calc!$E$52))=0,"",INDEX('Checks'!$J$4:$J$503,_calc!$E$52))&amp;". ")&amp;IF(LEN(IF(ISNUMBER(INDEX('Checks'!$K$4:$K$503,_calc!$E$52)),TEXT(INDEX('Checks'!$K$4:$K$503,_calc!$E$52),"yyyy-mm-dd"),""))=0,"","Copy to tenant: "&amp;IF(ISNUMBER(INDEX('Checks'!$K$4:$K$503,_calc!$E$52)),TEXT(INDEX('Checks'!$K$4:$K$503,_calc!$E$52),"yyyy-mm-dd"),"")&amp;". ")&amp;IF(LEN(IF(LEN(INDEX('Checks'!$P$4:$P$503,_calc!$E$52))=0,"",INDEX('Checks'!$P$4:$P$503,_calc!$E$52)))=0,"",IF(LEN(INDEX('Checks'!$P$4:$P$503,_calc!$E$52))=0,"",INDEX('Checks'!$P$4:$P$503,_calc!$E$52)))))</f>
        <v/>
      </c>
      <c r="G50" s="47">
        <f>IF(_calc!$E$52="","",IF(LEN(INDEX('Checks'!$N$4:$N$503,_calc!$E$52))=0,"",INDEX('Checks'!$N$4:$N$503,_calc!$E$52)))</f>
        <v/>
      </c>
      <c r="K50" s="47">
        <f>IF(_calc!$E$52="","",IF(LEN(INDEX('Checks'!$M$4:$M$503,_calc!$E$52))=0,"",INDEX('Checks'!$M$4:$M$503,_calc!$E$52)))</f>
        <v/>
      </c>
    </row>
    <row r="51">
      <c r="A51" s="47">
        <f>IF(_calc!$E$53="","",IF(LEN(INDEX('Checks'!$B$4:$B$503,_calc!$E$53))=0,"",INDEX('Checks'!$B$4:$B$503,_calc!$E$53))&amp;" – "&amp;IF(LEN(INDEX('Checks'!$A$4:$A$503,_calc!$E$53))=0,"",INDEX('Checks'!$A$4:$A$503,_calc!$E$53)))</f>
        <v/>
      </c>
      <c r="B51" s="47">
        <f>IF(_calc!$E$53="","",IF(ISNUMBER(INDEX('Checks'!$D$4:$D$503,_calc!$E$53)),TEXT(INDEX('Checks'!$D$4:$D$503,_calc!$E$53),"yyyy-mm-dd"),""))</f>
        <v/>
      </c>
      <c r="C51" s="47">
        <f>IF(_calc!$E$53="","",IF(LEN(INDEX('Checks'!$B$4:$B$503,_calc!$E$53))=0,"",INDEX('Checks'!$B$4:$B$503,_calc!$E$53)))</f>
        <v/>
      </c>
      <c r="D51" s="47">
        <f>IF(_calc!$E$53="","",IF(ISNUMBER(INDEX('Checks'!$C$4:$C$503,_calc!$E$53)),TEXT(INDEX('Checks'!$C$4:$C$503,_calc!$E$53),"yyyy-mm-dd"),""))</f>
        <v/>
      </c>
      <c r="E51" s="47">
        <f>IF(_calc!$E$53="","",IF(LEN(INDEX('Checks'!$L$4:$L$503,_calc!$E$53))=0,"",INDEX('Checks'!$L$4:$L$503,_calc!$E$53)))</f>
        <v/>
      </c>
      <c r="F51" s="47">
        <f>IF(_calc!$E$53="","",TRIM(IF(LEN(IF(LEN(INDEX('Checks'!$I$4:$I$503,_calc!$E$53))=0,"",INDEX('Checks'!$I$4:$I$503,_calc!$E$53)))=0,"","Contractor: "&amp;IF(LEN(INDEX('Checks'!$I$4:$I$503,_calc!$E$53))=0,"",INDEX('Checks'!$I$4:$I$503,_calc!$E$53))&amp;". ")&amp;IF(LEN(IF(LEN(INDEX('Checks'!$J$4:$J$503,_calc!$E$53))=0,"",INDEX('Checks'!$J$4:$J$503,_calc!$E$53)))=0,"","Ref: "&amp;IF(LEN(INDEX('Checks'!$J$4:$J$503,_calc!$E$53))=0,"",INDEX('Checks'!$J$4:$J$503,_calc!$E$53))&amp;". ")&amp;IF(LEN(IF(ISNUMBER(INDEX('Checks'!$K$4:$K$503,_calc!$E$53)),TEXT(INDEX('Checks'!$K$4:$K$503,_calc!$E$53),"yyyy-mm-dd"),""))=0,"","Copy to tenant: "&amp;IF(ISNUMBER(INDEX('Checks'!$K$4:$K$503,_calc!$E$53)),TEXT(INDEX('Checks'!$K$4:$K$503,_calc!$E$53),"yyyy-mm-dd"),"")&amp;". ")&amp;IF(LEN(IF(LEN(INDEX('Checks'!$P$4:$P$503,_calc!$E$53))=0,"",INDEX('Checks'!$P$4:$P$503,_calc!$E$53)))=0,"",IF(LEN(INDEX('Checks'!$P$4:$P$503,_calc!$E$53))=0,"",INDEX('Checks'!$P$4:$P$503,_calc!$E$53)))))</f>
        <v/>
      </c>
      <c r="G51" s="47">
        <f>IF(_calc!$E$53="","",IF(LEN(INDEX('Checks'!$N$4:$N$503,_calc!$E$53))=0,"",INDEX('Checks'!$N$4:$N$503,_calc!$E$53)))</f>
        <v/>
      </c>
      <c r="K51" s="47">
        <f>IF(_calc!$E$53="","",IF(LEN(INDEX('Checks'!$M$4:$M$503,_calc!$E$53))=0,"",INDEX('Checks'!$M$4:$M$503,_calc!$E$53)))</f>
        <v/>
      </c>
    </row>
    <row r="52">
      <c r="A52" s="47">
        <f>IF(_calc!$E$54="","",IF(LEN(INDEX('Checks'!$B$4:$B$503,_calc!$E$54))=0,"",INDEX('Checks'!$B$4:$B$503,_calc!$E$54))&amp;" – "&amp;IF(LEN(INDEX('Checks'!$A$4:$A$503,_calc!$E$54))=0,"",INDEX('Checks'!$A$4:$A$503,_calc!$E$54)))</f>
        <v/>
      </c>
      <c r="B52" s="47">
        <f>IF(_calc!$E$54="","",IF(ISNUMBER(INDEX('Checks'!$D$4:$D$503,_calc!$E$54)),TEXT(INDEX('Checks'!$D$4:$D$503,_calc!$E$54),"yyyy-mm-dd"),""))</f>
        <v/>
      </c>
      <c r="C52" s="47">
        <f>IF(_calc!$E$54="","",IF(LEN(INDEX('Checks'!$B$4:$B$503,_calc!$E$54))=0,"",INDEX('Checks'!$B$4:$B$503,_calc!$E$54)))</f>
        <v/>
      </c>
      <c r="D52" s="47">
        <f>IF(_calc!$E$54="","",IF(ISNUMBER(INDEX('Checks'!$C$4:$C$503,_calc!$E$54)),TEXT(INDEX('Checks'!$C$4:$C$503,_calc!$E$54),"yyyy-mm-dd"),""))</f>
        <v/>
      </c>
      <c r="E52" s="47">
        <f>IF(_calc!$E$54="","",IF(LEN(INDEX('Checks'!$L$4:$L$503,_calc!$E$54))=0,"",INDEX('Checks'!$L$4:$L$503,_calc!$E$54)))</f>
        <v/>
      </c>
      <c r="F52" s="47">
        <f>IF(_calc!$E$54="","",TRIM(IF(LEN(IF(LEN(INDEX('Checks'!$I$4:$I$503,_calc!$E$54))=0,"",INDEX('Checks'!$I$4:$I$503,_calc!$E$54)))=0,"","Contractor: "&amp;IF(LEN(INDEX('Checks'!$I$4:$I$503,_calc!$E$54))=0,"",INDEX('Checks'!$I$4:$I$503,_calc!$E$54))&amp;". ")&amp;IF(LEN(IF(LEN(INDEX('Checks'!$J$4:$J$503,_calc!$E$54))=0,"",INDEX('Checks'!$J$4:$J$503,_calc!$E$54)))=0,"","Ref: "&amp;IF(LEN(INDEX('Checks'!$J$4:$J$503,_calc!$E$54))=0,"",INDEX('Checks'!$J$4:$J$503,_calc!$E$54))&amp;". ")&amp;IF(LEN(IF(ISNUMBER(INDEX('Checks'!$K$4:$K$503,_calc!$E$54)),TEXT(INDEX('Checks'!$K$4:$K$503,_calc!$E$54),"yyyy-mm-dd"),""))=0,"","Copy to tenant: "&amp;IF(ISNUMBER(INDEX('Checks'!$K$4:$K$503,_calc!$E$54)),TEXT(INDEX('Checks'!$K$4:$K$503,_calc!$E$54),"yyyy-mm-dd"),"")&amp;". ")&amp;IF(LEN(IF(LEN(INDEX('Checks'!$P$4:$P$503,_calc!$E$54))=0,"",INDEX('Checks'!$P$4:$P$503,_calc!$E$54)))=0,"",IF(LEN(INDEX('Checks'!$P$4:$P$503,_calc!$E$54))=0,"",INDEX('Checks'!$P$4:$P$503,_calc!$E$54)))))</f>
        <v/>
      </c>
      <c r="G52" s="47">
        <f>IF(_calc!$E$54="","",IF(LEN(INDEX('Checks'!$N$4:$N$503,_calc!$E$54))=0,"",INDEX('Checks'!$N$4:$N$503,_calc!$E$54)))</f>
        <v/>
      </c>
      <c r="K52" s="47">
        <f>IF(_calc!$E$54="","",IF(LEN(INDEX('Checks'!$M$4:$M$503,_calc!$E$54))=0,"",INDEX('Checks'!$M$4:$M$503,_calc!$E$54)))</f>
        <v/>
      </c>
    </row>
    <row r="53">
      <c r="A53" s="47">
        <f>IF(_calc!$E$55="","",IF(LEN(INDEX('Checks'!$B$4:$B$503,_calc!$E$55))=0,"",INDEX('Checks'!$B$4:$B$503,_calc!$E$55))&amp;" – "&amp;IF(LEN(INDEX('Checks'!$A$4:$A$503,_calc!$E$55))=0,"",INDEX('Checks'!$A$4:$A$503,_calc!$E$55)))</f>
        <v/>
      </c>
      <c r="B53" s="47">
        <f>IF(_calc!$E$55="","",IF(ISNUMBER(INDEX('Checks'!$D$4:$D$503,_calc!$E$55)),TEXT(INDEX('Checks'!$D$4:$D$503,_calc!$E$55),"yyyy-mm-dd"),""))</f>
        <v/>
      </c>
      <c r="C53" s="47">
        <f>IF(_calc!$E$55="","",IF(LEN(INDEX('Checks'!$B$4:$B$503,_calc!$E$55))=0,"",INDEX('Checks'!$B$4:$B$503,_calc!$E$55)))</f>
        <v/>
      </c>
      <c r="D53" s="47">
        <f>IF(_calc!$E$55="","",IF(ISNUMBER(INDEX('Checks'!$C$4:$C$503,_calc!$E$55)),TEXT(INDEX('Checks'!$C$4:$C$503,_calc!$E$55),"yyyy-mm-dd"),""))</f>
        <v/>
      </c>
      <c r="E53" s="47">
        <f>IF(_calc!$E$55="","",IF(LEN(INDEX('Checks'!$L$4:$L$503,_calc!$E$55))=0,"",INDEX('Checks'!$L$4:$L$503,_calc!$E$55)))</f>
        <v/>
      </c>
      <c r="F53" s="47">
        <f>IF(_calc!$E$55="","",TRIM(IF(LEN(IF(LEN(INDEX('Checks'!$I$4:$I$503,_calc!$E$55))=0,"",INDEX('Checks'!$I$4:$I$503,_calc!$E$55)))=0,"","Contractor: "&amp;IF(LEN(INDEX('Checks'!$I$4:$I$503,_calc!$E$55))=0,"",INDEX('Checks'!$I$4:$I$503,_calc!$E$55))&amp;". ")&amp;IF(LEN(IF(LEN(INDEX('Checks'!$J$4:$J$503,_calc!$E$55))=0,"",INDEX('Checks'!$J$4:$J$503,_calc!$E$55)))=0,"","Ref: "&amp;IF(LEN(INDEX('Checks'!$J$4:$J$503,_calc!$E$55))=0,"",INDEX('Checks'!$J$4:$J$503,_calc!$E$55))&amp;". ")&amp;IF(LEN(IF(ISNUMBER(INDEX('Checks'!$K$4:$K$503,_calc!$E$55)),TEXT(INDEX('Checks'!$K$4:$K$503,_calc!$E$55),"yyyy-mm-dd"),""))=0,"","Copy to tenant: "&amp;IF(ISNUMBER(INDEX('Checks'!$K$4:$K$503,_calc!$E$55)),TEXT(INDEX('Checks'!$K$4:$K$503,_calc!$E$55),"yyyy-mm-dd"),"")&amp;". ")&amp;IF(LEN(IF(LEN(INDEX('Checks'!$P$4:$P$503,_calc!$E$55))=0,"",INDEX('Checks'!$P$4:$P$503,_calc!$E$55)))=0,"",IF(LEN(INDEX('Checks'!$P$4:$P$503,_calc!$E$55))=0,"",INDEX('Checks'!$P$4:$P$503,_calc!$E$55)))))</f>
        <v/>
      </c>
      <c r="G53" s="47">
        <f>IF(_calc!$E$55="","",IF(LEN(INDEX('Checks'!$N$4:$N$503,_calc!$E$55))=0,"",INDEX('Checks'!$N$4:$N$503,_calc!$E$55)))</f>
        <v/>
      </c>
      <c r="K53" s="47">
        <f>IF(_calc!$E$55="","",IF(LEN(INDEX('Checks'!$M$4:$M$503,_calc!$E$55))=0,"",INDEX('Checks'!$M$4:$M$503,_calc!$E$55)))</f>
        <v/>
      </c>
    </row>
    <row r="54">
      <c r="A54" s="47">
        <f>IF(_calc!$E$56="","",IF(LEN(INDEX('Checks'!$B$4:$B$503,_calc!$E$56))=0,"",INDEX('Checks'!$B$4:$B$503,_calc!$E$56))&amp;" – "&amp;IF(LEN(INDEX('Checks'!$A$4:$A$503,_calc!$E$56))=0,"",INDEX('Checks'!$A$4:$A$503,_calc!$E$56)))</f>
        <v/>
      </c>
      <c r="B54" s="47">
        <f>IF(_calc!$E$56="","",IF(ISNUMBER(INDEX('Checks'!$D$4:$D$503,_calc!$E$56)),TEXT(INDEX('Checks'!$D$4:$D$503,_calc!$E$56),"yyyy-mm-dd"),""))</f>
        <v/>
      </c>
      <c r="C54" s="47">
        <f>IF(_calc!$E$56="","",IF(LEN(INDEX('Checks'!$B$4:$B$503,_calc!$E$56))=0,"",INDEX('Checks'!$B$4:$B$503,_calc!$E$56)))</f>
        <v/>
      </c>
      <c r="D54" s="47">
        <f>IF(_calc!$E$56="","",IF(ISNUMBER(INDEX('Checks'!$C$4:$C$503,_calc!$E$56)),TEXT(INDEX('Checks'!$C$4:$C$503,_calc!$E$56),"yyyy-mm-dd"),""))</f>
        <v/>
      </c>
      <c r="E54" s="47">
        <f>IF(_calc!$E$56="","",IF(LEN(INDEX('Checks'!$L$4:$L$503,_calc!$E$56))=0,"",INDEX('Checks'!$L$4:$L$503,_calc!$E$56)))</f>
        <v/>
      </c>
      <c r="F54" s="47">
        <f>IF(_calc!$E$56="","",TRIM(IF(LEN(IF(LEN(INDEX('Checks'!$I$4:$I$503,_calc!$E$56))=0,"",INDEX('Checks'!$I$4:$I$503,_calc!$E$56)))=0,"","Contractor: "&amp;IF(LEN(INDEX('Checks'!$I$4:$I$503,_calc!$E$56))=0,"",INDEX('Checks'!$I$4:$I$503,_calc!$E$56))&amp;". ")&amp;IF(LEN(IF(LEN(INDEX('Checks'!$J$4:$J$503,_calc!$E$56))=0,"",INDEX('Checks'!$J$4:$J$503,_calc!$E$56)))=0,"","Ref: "&amp;IF(LEN(INDEX('Checks'!$J$4:$J$503,_calc!$E$56))=0,"",INDEX('Checks'!$J$4:$J$503,_calc!$E$56))&amp;". ")&amp;IF(LEN(IF(ISNUMBER(INDEX('Checks'!$K$4:$K$503,_calc!$E$56)),TEXT(INDEX('Checks'!$K$4:$K$503,_calc!$E$56),"yyyy-mm-dd"),""))=0,"","Copy to tenant: "&amp;IF(ISNUMBER(INDEX('Checks'!$K$4:$K$503,_calc!$E$56)),TEXT(INDEX('Checks'!$K$4:$K$503,_calc!$E$56),"yyyy-mm-dd"),"")&amp;". ")&amp;IF(LEN(IF(LEN(INDEX('Checks'!$P$4:$P$503,_calc!$E$56))=0,"",INDEX('Checks'!$P$4:$P$503,_calc!$E$56)))=0,"",IF(LEN(INDEX('Checks'!$P$4:$P$503,_calc!$E$56))=0,"",INDEX('Checks'!$P$4:$P$503,_calc!$E$56)))))</f>
        <v/>
      </c>
      <c r="G54" s="47">
        <f>IF(_calc!$E$56="","",IF(LEN(INDEX('Checks'!$N$4:$N$503,_calc!$E$56))=0,"",INDEX('Checks'!$N$4:$N$503,_calc!$E$56)))</f>
        <v/>
      </c>
      <c r="K54" s="47">
        <f>IF(_calc!$E$56="","",IF(LEN(INDEX('Checks'!$M$4:$M$503,_calc!$E$56))=0,"",INDEX('Checks'!$M$4:$M$503,_calc!$E$56)))</f>
        <v/>
      </c>
    </row>
    <row r="55">
      <c r="A55" s="47">
        <f>IF(_calc!$E$57="","",IF(LEN(INDEX('Checks'!$B$4:$B$503,_calc!$E$57))=0,"",INDEX('Checks'!$B$4:$B$503,_calc!$E$57))&amp;" – "&amp;IF(LEN(INDEX('Checks'!$A$4:$A$503,_calc!$E$57))=0,"",INDEX('Checks'!$A$4:$A$503,_calc!$E$57)))</f>
        <v/>
      </c>
      <c r="B55" s="47">
        <f>IF(_calc!$E$57="","",IF(ISNUMBER(INDEX('Checks'!$D$4:$D$503,_calc!$E$57)),TEXT(INDEX('Checks'!$D$4:$D$503,_calc!$E$57),"yyyy-mm-dd"),""))</f>
        <v/>
      </c>
      <c r="C55" s="47">
        <f>IF(_calc!$E$57="","",IF(LEN(INDEX('Checks'!$B$4:$B$503,_calc!$E$57))=0,"",INDEX('Checks'!$B$4:$B$503,_calc!$E$57)))</f>
        <v/>
      </c>
      <c r="D55" s="47">
        <f>IF(_calc!$E$57="","",IF(ISNUMBER(INDEX('Checks'!$C$4:$C$503,_calc!$E$57)),TEXT(INDEX('Checks'!$C$4:$C$503,_calc!$E$57),"yyyy-mm-dd"),""))</f>
        <v/>
      </c>
      <c r="E55" s="47">
        <f>IF(_calc!$E$57="","",IF(LEN(INDEX('Checks'!$L$4:$L$503,_calc!$E$57))=0,"",INDEX('Checks'!$L$4:$L$503,_calc!$E$57)))</f>
        <v/>
      </c>
      <c r="F55" s="47">
        <f>IF(_calc!$E$57="","",TRIM(IF(LEN(IF(LEN(INDEX('Checks'!$I$4:$I$503,_calc!$E$57))=0,"",INDEX('Checks'!$I$4:$I$503,_calc!$E$57)))=0,"","Contractor: "&amp;IF(LEN(INDEX('Checks'!$I$4:$I$503,_calc!$E$57))=0,"",INDEX('Checks'!$I$4:$I$503,_calc!$E$57))&amp;". ")&amp;IF(LEN(IF(LEN(INDEX('Checks'!$J$4:$J$503,_calc!$E$57))=0,"",INDEX('Checks'!$J$4:$J$503,_calc!$E$57)))=0,"","Ref: "&amp;IF(LEN(INDEX('Checks'!$J$4:$J$503,_calc!$E$57))=0,"",INDEX('Checks'!$J$4:$J$503,_calc!$E$57))&amp;". ")&amp;IF(LEN(IF(ISNUMBER(INDEX('Checks'!$K$4:$K$503,_calc!$E$57)),TEXT(INDEX('Checks'!$K$4:$K$503,_calc!$E$57),"yyyy-mm-dd"),""))=0,"","Copy to tenant: "&amp;IF(ISNUMBER(INDEX('Checks'!$K$4:$K$503,_calc!$E$57)),TEXT(INDEX('Checks'!$K$4:$K$503,_calc!$E$57),"yyyy-mm-dd"),"")&amp;". ")&amp;IF(LEN(IF(LEN(INDEX('Checks'!$P$4:$P$503,_calc!$E$57))=0,"",INDEX('Checks'!$P$4:$P$503,_calc!$E$57)))=0,"",IF(LEN(INDEX('Checks'!$P$4:$P$503,_calc!$E$57))=0,"",INDEX('Checks'!$P$4:$P$503,_calc!$E$57)))))</f>
        <v/>
      </c>
      <c r="G55" s="47">
        <f>IF(_calc!$E$57="","",IF(LEN(INDEX('Checks'!$N$4:$N$503,_calc!$E$57))=0,"",INDEX('Checks'!$N$4:$N$503,_calc!$E$57)))</f>
        <v/>
      </c>
      <c r="K55" s="47">
        <f>IF(_calc!$E$57="","",IF(LEN(INDEX('Checks'!$M$4:$M$503,_calc!$E$57))=0,"",INDEX('Checks'!$M$4:$M$503,_calc!$E$57)))</f>
        <v/>
      </c>
    </row>
    <row r="56">
      <c r="A56" s="47">
        <f>IF(_calc!$E$58="","",IF(LEN(INDEX('Checks'!$B$4:$B$503,_calc!$E$58))=0,"",INDEX('Checks'!$B$4:$B$503,_calc!$E$58))&amp;" – "&amp;IF(LEN(INDEX('Checks'!$A$4:$A$503,_calc!$E$58))=0,"",INDEX('Checks'!$A$4:$A$503,_calc!$E$58)))</f>
        <v/>
      </c>
      <c r="B56" s="47">
        <f>IF(_calc!$E$58="","",IF(ISNUMBER(INDEX('Checks'!$D$4:$D$503,_calc!$E$58)),TEXT(INDEX('Checks'!$D$4:$D$503,_calc!$E$58),"yyyy-mm-dd"),""))</f>
        <v/>
      </c>
      <c r="C56" s="47">
        <f>IF(_calc!$E$58="","",IF(LEN(INDEX('Checks'!$B$4:$B$503,_calc!$E$58))=0,"",INDEX('Checks'!$B$4:$B$503,_calc!$E$58)))</f>
        <v/>
      </c>
      <c r="D56" s="47">
        <f>IF(_calc!$E$58="","",IF(ISNUMBER(INDEX('Checks'!$C$4:$C$503,_calc!$E$58)),TEXT(INDEX('Checks'!$C$4:$C$503,_calc!$E$58),"yyyy-mm-dd"),""))</f>
        <v/>
      </c>
      <c r="E56" s="47">
        <f>IF(_calc!$E$58="","",IF(LEN(INDEX('Checks'!$L$4:$L$503,_calc!$E$58))=0,"",INDEX('Checks'!$L$4:$L$503,_calc!$E$58)))</f>
        <v/>
      </c>
      <c r="F56" s="47">
        <f>IF(_calc!$E$58="","",TRIM(IF(LEN(IF(LEN(INDEX('Checks'!$I$4:$I$503,_calc!$E$58))=0,"",INDEX('Checks'!$I$4:$I$503,_calc!$E$58)))=0,"","Contractor: "&amp;IF(LEN(INDEX('Checks'!$I$4:$I$503,_calc!$E$58))=0,"",INDEX('Checks'!$I$4:$I$503,_calc!$E$58))&amp;". ")&amp;IF(LEN(IF(LEN(INDEX('Checks'!$J$4:$J$503,_calc!$E$58))=0,"",INDEX('Checks'!$J$4:$J$503,_calc!$E$58)))=0,"","Ref: "&amp;IF(LEN(INDEX('Checks'!$J$4:$J$503,_calc!$E$58))=0,"",INDEX('Checks'!$J$4:$J$503,_calc!$E$58))&amp;". ")&amp;IF(LEN(IF(ISNUMBER(INDEX('Checks'!$K$4:$K$503,_calc!$E$58)),TEXT(INDEX('Checks'!$K$4:$K$503,_calc!$E$58),"yyyy-mm-dd"),""))=0,"","Copy to tenant: "&amp;IF(ISNUMBER(INDEX('Checks'!$K$4:$K$503,_calc!$E$58)),TEXT(INDEX('Checks'!$K$4:$K$503,_calc!$E$58),"yyyy-mm-dd"),"")&amp;". ")&amp;IF(LEN(IF(LEN(INDEX('Checks'!$P$4:$P$503,_calc!$E$58))=0,"",INDEX('Checks'!$P$4:$P$503,_calc!$E$58)))=0,"",IF(LEN(INDEX('Checks'!$P$4:$P$503,_calc!$E$58))=0,"",INDEX('Checks'!$P$4:$P$503,_calc!$E$58)))))</f>
        <v/>
      </c>
      <c r="G56" s="47">
        <f>IF(_calc!$E$58="","",IF(LEN(INDEX('Checks'!$N$4:$N$503,_calc!$E$58))=0,"",INDEX('Checks'!$N$4:$N$503,_calc!$E$58)))</f>
        <v/>
      </c>
      <c r="K56" s="47">
        <f>IF(_calc!$E$58="","",IF(LEN(INDEX('Checks'!$M$4:$M$503,_calc!$E$58))=0,"",INDEX('Checks'!$M$4:$M$503,_calc!$E$58)))</f>
        <v/>
      </c>
    </row>
    <row r="57">
      <c r="A57" s="47">
        <f>IF(_calc!$E$59="","",IF(LEN(INDEX('Checks'!$B$4:$B$503,_calc!$E$59))=0,"",INDEX('Checks'!$B$4:$B$503,_calc!$E$59))&amp;" – "&amp;IF(LEN(INDEX('Checks'!$A$4:$A$503,_calc!$E$59))=0,"",INDEX('Checks'!$A$4:$A$503,_calc!$E$59)))</f>
        <v/>
      </c>
      <c r="B57" s="47">
        <f>IF(_calc!$E$59="","",IF(ISNUMBER(INDEX('Checks'!$D$4:$D$503,_calc!$E$59)),TEXT(INDEX('Checks'!$D$4:$D$503,_calc!$E$59),"yyyy-mm-dd"),""))</f>
        <v/>
      </c>
      <c r="C57" s="47">
        <f>IF(_calc!$E$59="","",IF(LEN(INDEX('Checks'!$B$4:$B$503,_calc!$E$59))=0,"",INDEX('Checks'!$B$4:$B$503,_calc!$E$59)))</f>
        <v/>
      </c>
      <c r="D57" s="47">
        <f>IF(_calc!$E$59="","",IF(ISNUMBER(INDEX('Checks'!$C$4:$C$503,_calc!$E$59)),TEXT(INDEX('Checks'!$C$4:$C$503,_calc!$E$59),"yyyy-mm-dd"),""))</f>
        <v/>
      </c>
      <c r="E57" s="47">
        <f>IF(_calc!$E$59="","",IF(LEN(INDEX('Checks'!$L$4:$L$503,_calc!$E$59))=0,"",INDEX('Checks'!$L$4:$L$503,_calc!$E$59)))</f>
        <v/>
      </c>
      <c r="F57" s="47">
        <f>IF(_calc!$E$59="","",TRIM(IF(LEN(IF(LEN(INDEX('Checks'!$I$4:$I$503,_calc!$E$59))=0,"",INDEX('Checks'!$I$4:$I$503,_calc!$E$59)))=0,"","Contractor: "&amp;IF(LEN(INDEX('Checks'!$I$4:$I$503,_calc!$E$59))=0,"",INDEX('Checks'!$I$4:$I$503,_calc!$E$59))&amp;". ")&amp;IF(LEN(IF(LEN(INDEX('Checks'!$J$4:$J$503,_calc!$E$59))=0,"",INDEX('Checks'!$J$4:$J$503,_calc!$E$59)))=0,"","Ref: "&amp;IF(LEN(INDEX('Checks'!$J$4:$J$503,_calc!$E$59))=0,"",INDEX('Checks'!$J$4:$J$503,_calc!$E$59))&amp;". ")&amp;IF(LEN(IF(ISNUMBER(INDEX('Checks'!$K$4:$K$503,_calc!$E$59)),TEXT(INDEX('Checks'!$K$4:$K$503,_calc!$E$59),"yyyy-mm-dd"),""))=0,"","Copy to tenant: "&amp;IF(ISNUMBER(INDEX('Checks'!$K$4:$K$503,_calc!$E$59)),TEXT(INDEX('Checks'!$K$4:$K$503,_calc!$E$59),"yyyy-mm-dd"),"")&amp;". ")&amp;IF(LEN(IF(LEN(INDEX('Checks'!$P$4:$P$503,_calc!$E$59))=0,"",INDEX('Checks'!$P$4:$P$503,_calc!$E$59)))=0,"",IF(LEN(INDEX('Checks'!$P$4:$P$503,_calc!$E$59))=0,"",INDEX('Checks'!$P$4:$P$503,_calc!$E$59)))))</f>
        <v/>
      </c>
      <c r="G57" s="47">
        <f>IF(_calc!$E$59="","",IF(LEN(INDEX('Checks'!$N$4:$N$503,_calc!$E$59))=0,"",INDEX('Checks'!$N$4:$N$503,_calc!$E$59)))</f>
        <v/>
      </c>
      <c r="K57" s="47">
        <f>IF(_calc!$E$59="","",IF(LEN(INDEX('Checks'!$M$4:$M$503,_calc!$E$59))=0,"",INDEX('Checks'!$M$4:$M$503,_calc!$E$59)))</f>
        <v/>
      </c>
    </row>
    <row r="58">
      <c r="A58" s="47">
        <f>IF(_calc!$E$60="","",IF(LEN(INDEX('Checks'!$B$4:$B$503,_calc!$E$60))=0,"",INDEX('Checks'!$B$4:$B$503,_calc!$E$60))&amp;" – "&amp;IF(LEN(INDEX('Checks'!$A$4:$A$503,_calc!$E$60))=0,"",INDEX('Checks'!$A$4:$A$503,_calc!$E$60)))</f>
        <v/>
      </c>
      <c r="B58" s="47">
        <f>IF(_calc!$E$60="","",IF(ISNUMBER(INDEX('Checks'!$D$4:$D$503,_calc!$E$60)),TEXT(INDEX('Checks'!$D$4:$D$503,_calc!$E$60),"yyyy-mm-dd"),""))</f>
        <v/>
      </c>
      <c r="C58" s="47">
        <f>IF(_calc!$E$60="","",IF(LEN(INDEX('Checks'!$B$4:$B$503,_calc!$E$60))=0,"",INDEX('Checks'!$B$4:$B$503,_calc!$E$60)))</f>
        <v/>
      </c>
      <c r="D58" s="47">
        <f>IF(_calc!$E$60="","",IF(ISNUMBER(INDEX('Checks'!$C$4:$C$503,_calc!$E$60)),TEXT(INDEX('Checks'!$C$4:$C$503,_calc!$E$60),"yyyy-mm-dd"),""))</f>
        <v/>
      </c>
      <c r="E58" s="47">
        <f>IF(_calc!$E$60="","",IF(LEN(INDEX('Checks'!$L$4:$L$503,_calc!$E$60))=0,"",INDEX('Checks'!$L$4:$L$503,_calc!$E$60)))</f>
        <v/>
      </c>
      <c r="F58" s="47">
        <f>IF(_calc!$E$60="","",TRIM(IF(LEN(IF(LEN(INDEX('Checks'!$I$4:$I$503,_calc!$E$60))=0,"",INDEX('Checks'!$I$4:$I$503,_calc!$E$60)))=0,"","Contractor: "&amp;IF(LEN(INDEX('Checks'!$I$4:$I$503,_calc!$E$60))=0,"",INDEX('Checks'!$I$4:$I$503,_calc!$E$60))&amp;". ")&amp;IF(LEN(IF(LEN(INDEX('Checks'!$J$4:$J$503,_calc!$E$60))=0,"",INDEX('Checks'!$J$4:$J$503,_calc!$E$60)))=0,"","Ref: "&amp;IF(LEN(INDEX('Checks'!$J$4:$J$503,_calc!$E$60))=0,"",INDEX('Checks'!$J$4:$J$503,_calc!$E$60))&amp;". ")&amp;IF(LEN(IF(ISNUMBER(INDEX('Checks'!$K$4:$K$503,_calc!$E$60)),TEXT(INDEX('Checks'!$K$4:$K$503,_calc!$E$60),"yyyy-mm-dd"),""))=0,"","Copy to tenant: "&amp;IF(ISNUMBER(INDEX('Checks'!$K$4:$K$503,_calc!$E$60)),TEXT(INDEX('Checks'!$K$4:$K$503,_calc!$E$60),"yyyy-mm-dd"),"")&amp;". ")&amp;IF(LEN(IF(LEN(INDEX('Checks'!$P$4:$P$503,_calc!$E$60))=0,"",INDEX('Checks'!$P$4:$P$503,_calc!$E$60)))=0,"",IF(LEN(INDEX('Checks'!$P$4:$P$503,_calc!$E$60))=0,"",INDEX('Checks'!$P$4:$P$503,_calc!$E$60)))))</f>
        <v/>
      </c>
      <c r="G58" s="47">
        <f>IF(_calc!$E$60="","",IF(LEN(INDEX('Checks'!$N$4:$N$503,_calc!$E$60))=0,"",INDEX('Checks'!$N$4:$N$503,_calc!$E$60)))</f>
        <v/>
      </c>
      <c r="K58" s="47">
        <f>IF(_calc!$E$60="","",IF(LEN(INDEX('Checks'!$M$4:$M$503,_calc!$E$60))=0,"",INDEX('Checks'!$M$4:$M$503,_calc!$E$60)))</f>
        <v/>
      </c>
    </row>
    <row r="59">
      <c r="A59" s="47">
        <f>IF(_calc!$E$61="","",IF(LEN(INDEX('Checks'!$B$4:$B$503,_calc!$E$61))=0,"",INDEX('Checks'!$B$4:$B$503,_calc!$E$61))&amp;" – "&amp;IF(LEN(INDEX('Checks'!$A$4:$A$503,_calc!$E$61))=0,"",INDEX('Checks'!$A$4:$A$503,_calc!$E$61)))</f>
        <v/>
      </c>
      <c r="B59" s="47">
        <f>IF(_calc!$E$61="","",IF(ISNUMBER(INDEX('Checks'!$D$4:$D$503,_calc!$E$61)),TEXT(INDEX('Checks'!$D$4:$D$503,_calc!$E$61),"yyyy-mm-dd"),""))</f>
        <v/>
      </c>
      <c r="C59" s="47">
        <f>IF(_calc!$E$61="","",IF(LEN(INDEX('Checks'!$B$4:$B$503,_calc!$E$61))=0,"",INDEX('Checks'!$B$4:$B$503,_calc!$E$61)))</f>
        <v/>
      </c>
      <c r="D59" s="47">
        <f>IF(_calc!$E$61="","",IF(ISNUMBER(INDEX('Checks'!$C$4:$C$503,_calc!$E$61)),TEXT(INDEX('Checks'!$C$4:$C$503,_calc!$E$61),"yyyy-mm-dd"),""))</f>
        <v/>
      </c>
      <c r="E59" s="47">
        <f>IF(_calc!$E$61="","",IF(LEN(INDEX('Checks'!$L$4:$L$503,_calc!$E$61))=0,"",INDEX('Checks'!$L$4:$L$503,_calc!$E$61)))</f>
        <v/>
      </c>
      <c r="F59" s="47">
        <f>IF(_calc!$E$61="","",TRIM(IF(LEN(IF(LEN(INDEX('Checks'!$I$4:$I$503,_calc!$E$61))=0,"",INDEX('Checks'!$I$4:$I$503,_calc!$E$61)))=0,"","Contractor: "&amp;IF(LEN(INDEX('Checks'!$I$4:$I$503,_calc!$E$61))=0,"",INDEX('Checks'!$I$4:$I$503,_calc!$E$61))&amp;". ")&amp;IF(LEN(IF(LEN(INDEX('Checks'!$J$4:$J$503,_calc!$E$61))=0,"",INDEX('Checks'!$J$4:$J$503,_calc!$E$61)))=0,"","Ref: "&amp;IF(LEN(INDEX('Checks'!$J$4:$J$503,_calc!$E$61))=0,"",INDEX('Checks'!$J$4:$J$503,_calc!$E$61))&amp;". ")&amp;IF(LEN(IF(ISNUMBER(INDEX('Checks'!$K$4:$K$503,_calc!$E$61)),TEXT(INDEX('Checks'!$K$4:$K$503,_calc!$E$61),"yyyy-mm-dd"),""))=0,"","Copy to tenant: "&amp;IF(ISNUMBER(INDEX('Checks'!$K$4:$K$503,_calc!$E$61)),TEXT(INDEX('Checks'!$K$4:$K$503,_calc!$E$61),"yyyy-mm-dd"),"")&amp;". ")&amp;IF(LEN(IF(LEN(INDEX('Checks'!$P$4:$P$503,_calc!$E$61))=0,"",INDEX('Checks'!$P$4:$P$503,_calc!$E$61)))=0,"",IF(LEN(INDEX('Checks'!$P$4:$P$503,_calc!$E$61))=0,"",INDEX('Checks'!$P$4:$P$503,_calc!$E$61)))))</f>
        <v/>
      </c>
      <c r="G59" s="47">
        <f>IF(_calc!$E$61="","",IF(LEN(INDEX('Checks'!$N$4:$N$503,_calc!$E$61))=0,"",INDEX('Checks'!$N$4:$N$503,_calc!$E$61)))</f>
        <v/>
      </c>
      <c r="K59" s="47">
        <f>IF(_calc!$E$61="","",IF(LEN(INDEX('Checks'!$M$4:$M$503,_calc!$E$61))=0,"",INDEX('Checks'!$M$4:$M$503,_calc!$E$61)))</f>
        <v/>
      </c>
    </row>
    <row r="60">
      <c r="A60" s="47">
        <f>IF(_calc!$E$62="","",IF(LEN(INDEX('Checks'!$B$4:$B$503,_calc!$E$62))=0,"",INDEX('Checks'!$B$4:$B$503,_calc!$E$62))&amp;" – "&amp;IF(LEN(INDEX('Checks'!$A$4:$A$503,_calc!$E$62))=0,"",INDEX('Checks'!$A$4:$A$503,_calc!$E$62)))</f>
        <v/>
      </c>
      <c r="B60" s="47">
        <f>IF(_calc!$E$62="","",IF(ISNUMBER(INDEX('Checks'!$D$4:$D$503,_calc!$E$62)),TEXT(INDEX('Checks'!$D$4:$D$503,_calc!$E$62),"yyyy-mm-dd"),""))</f>
        <v/>
      </c>
      <c r="C60" s="47">
        <f>IF(_calc!$E$62="","",IF(LEN(INDEX('Checks'!$B$4:$B$503,_calc!$E$62))=0,"",INDEX('Checks'!$B$4:$B$503,_calc!$E$62)))</f>
        <v/>
      </c>
      <c r="D60" s="47">
        <f>IF(_calc!$E$62="","",IF(ISNUMBER(INDEX('Checks'!$C$4:$C$503,_calc!$E$62)),TEXT(INDEX('Checks'!$C$4:$C$503,_calc!$E$62),"yyyy-mm-dd"),""))</f>
        <v/>
      </c>
      <c r="E60" s="47">
        <f>IF(_calc!$E$62="","",IF(LEN(INDEX('Checks'!$L$4:$L$503,_calc!$E$62))=0,"",INDEX('Checks'!$L$4:$L$503,_calc!$E$62)))</f>
        <v/>
      </c>
      <c r="F60" s="47">
        <f>IF(_calc!$E$62="","",TRIM(IF(LEN(IF(LEN(INDEX('Checks'!$I$4:$I$503,_calc!$E$62))=0,"",INDEX('Checks'!$I$4:$I$503,_calc!$E$62)))=0,"","Contractor: "&amp;IF(LEN(INDEX('Checks'!$I$4:$I$503,_calc!$E$62))=0,"",INDEX('Checks'!$I$4:$I$503,_calc!$E$62))&amp;". ")&amp;IF(LEN(IF(LEN(INDEX('Checks'!$J$4:$J$503,_calc!$E$62))=0,"",INDEX('Checks'!$J$4:$J$503,_calc!$E$62)))=0,"","Ref: "&amp;IF(LEN(INDEX('Checks'!$J$4:$J$503,_calc!$E$62))=0,"",INDEX('Checks'!$J$4:$J$503,_calc!$E$62))&amp;". ")&amp;IF(LEN(IF(ISNUMBER(INDEX('Checks'!$K$4:$K$503,_calc!$E$62)),TEXT(INDEX('Checks'!$K$4:$K$503,_calc!$E$62),"yyyy-mm-dd"),""))=0,"","Copy to tenant: "&amp;IF(ISNUMBER(INDEX('Checks'!$K$4:$K$503,_calc!$E$62)),TEXT(INDEX('Checks'!$K$4:$K$503,_calc!$E$62),"yyyy-mm-dd"),"")&amp;". ")&amp;IF(LEN(IF(LEN(INDEX('Checks'!$P$4:$P$503,_calc!$E$62))=0,"",INDEX('Checks'!$P$4:$P$503,_calc!$E$62)))=0,"",IF(LEN(INDEX('Checks'!$P$4:$P$503,_calc!$E$62))=0,"",INDEX('Checks'!$P$4:$P$503,_calc!$E$62)))))</f>
        <v/>
      </c>
      <c r="G60" s="47">
        <f>IF(_calc!$E$62="","",IF(LEN(INDEX('Checks'!$N$4:$N$503,_calc!$E$62))=0,"",INDEX('Checks'!$N$4:$N$503,_calc!$E$62)))</f>
        <v/>
      </c>
      <c r="K60" s="47">
        <f>IF(_calc!$E$62="","",IF(LEN(INDEX('Checks'!$M$4:$M$503,_calc!$E$62))=0,"",INDEX('Checks'!$M$4:$M$503,_calc!$E$62)))</f>
        <v/>
      </c>
    </row>
    <row r="61">
      <c r="A61" s="47">
        <f>IF(_calc!$E$63="","",IF(LEN(INDEX('Checks'!$B$4:$B$503,_calc!$E$63))=0,"",INDEX('Checks'!$B$4:$B$503,_calc!$E$63))&amp;" – "&amp;IF(LEN(INDEX('Checks'!$A$4:$A$503,_calc!$E$63))=0,"",INDEX('Checks'!$A$4:$A$503,_calc!$E$63)))</f>
        <v/>
      </c>
      <c r="B61" s="47">
        <f>IF(_calc!$E$63="","",IF(ISNUMBER(INDEX('Checks'!$D$4:$D$503,_calc!$E$63)),TEXT(INDEX('Checks'!$D$4:$D$503,_calc!$E$63),"yyyy-mm-dd"),""))</f>
        <v/>
      </c>
      <c r="C61" s="47">
        <f>IF(_calc!$E$63="","",IF(LEN(INDEX('Checks'!$B$4:$B$503,_calc!$E$63))=0,"",INDEX('Checks'!$B$4:$B$503,_calc!$E$63)))</f>
        <v/>
      </c>
      <c r="D61" s="47">
        <f>IF(_calc!$E$63="","",IF(ISNUMBER(INDEX('Checks'!$C$4:$C$503,_calc!$E$63)),TEXT(INDEX('Checks'!$C$4:$C$503,_calc!$E$63),"yyyy-mm-dd"),""))</f>
        <v/>
      </c>
      <c r="E61" s="47">
        <f>IF(_calc!$E$63="","",IF(LEN(INDEX('Checks'!$L$4:$L$503,_calc!$E$63))=0,"",INDEX('Checks'!$L$4:$L$503,_calc!$E$63)))</f>
        <v/>
      </c>
      <c r="F61" s="47">
        <f>IF(_calc!$E$63="","",TRIM(IF(LEN(IF(LEN(INDEX('Checks'!$I$4:$I$503,_calc!$E$63))=0,"",INDEX('Checks'!$I$4:$I$503,_calc!$E$63)))=0,"","Contractor: "&amp;IF(LEN(INDEX('Checks'!$I$4:$I$503,_calc!$E$63))=0,"",INDEX('Checks'!$I$4:$I$503,_calc!$E$63))&amp;". ")&amp;IF(LEN(IF(LEN(INDEX('Checks'!$J$4:$J$503,_calc!$E$63))=0,"",INDEX('Checks'!$J$4:$J$503,_calc!$E$63)))=0,"","Ref: "&amp;IF(LEN(INDEX('Checks'!$J$4:$J$503,_calc!$E$63))=0,"",INDEX('Checks'!$J$4:$J$503,_calc!$E$63))&amp;". ")&amp;IF(LEN(IF(ISNUMBER(INDEX('Checks'!$K$4:$K$503,_calc!$E$63)),TEXT(INDEX('Checks'!$K$4:$K$503,_calc!$E$63),"yyyy-mm-dd"),""))=0,"","Copy to tenant: "&amp;IF(ISNUMBER(INDEX('Checks'!$K$4:$K$503,_calc!$E$63)),TEXT(INDEX('Checks'!$K$4:$K$503,_calc!$E$63),"yyyy-mm-dd"),"")&amp;". ")&amp;IF(LEN(IF(LEN(INDEX('Checks'!$P$4:$P$503,_calc!$E$63))=0,"",INDEX('Checks'!$P$4:$P$503,_calc!$E$63)))=0,"",IF(LEN(INDEX('Checks'!$P$4:$P$503,_calc!$E$63))=0,"",INDEX('Checks'!$P$4:$P$503,_calc!$E$63)))))</f>
        <v/>
      </c>
      <c r="G61" s="47">
        <f>IF(_calc!$E$63="","",IF(LEN(INDEX('Checks'!$N$4:$N$503,_calc!$E$63))=0,"",INDEX('Checks'!$N$4:$N$503,_calc!$E$63)))</f>
        <v/>
      </c>
      <c r="K61" s="47">
        <f>IF(_calc!$E$63="","",IF(LEN(INDEX('Checks'!$M$4:$M$503,_calc!$E$63))=0,"",INDEX('Checks'!$M$4:$M$503,_calc!$E$63)))</f>
        <v/>
      </c>
    </row>
    <row r="62">
      <c r="A62" s="47">
        <f>IF(_calc!$E$64="","",IF(LEN(INDEX('Checks'!$B$4:$B$503,_calc!$E$64))=0,"",INDEX('Checks'!$B$4:$B$503,_calc!$E$64))&amp;" – "&amp;IF(LEN(INDEX('Checks'!$A$4:$A$503,_calc!$E$64))=0,"",INDEX('Checks'!$A$4:$A$503,_calc!$E$64)))</f>
        <v/>
      </c>
      <c r="B62" s="47">
        <f>IF(_calc!$E$64="","",IF(ISNUMBER(INDEX('Checks'!$D$4:$D$503,_calc!$E$64)),TEXT(INDEX('Checks'!$D$4:$D$503,_calc!$E$64),"yyyy-mm-dd"),""))</f>
        <v/>
      </c>
      <c r="C62" s="47">
        <f>IF(_calc!$E$64="","",IF(LEN(INDEX('Checks'!$B$4:$B$503,_calc!$E$64))=0,"",INDEX('Checks'!$B$4:$B$503,_calc!$E$64)))</f>
        <v/>
      </c>
      <c r="D62" s="47">
        <f>IF(_calc!$E$64="","",IF(ISNUMBER(INDEX('Checks'!$C$4:$C$503,_calc!$E$64)),TEXT(INDEX('Checks'!$C$4:$C$503,_calc!$E$64),"yyyy-mm-dd"),""))</f>
        <v/>
      </c>
      <c r="E62" s="47">
        <f>IF(_calc!$E$64="","",IF(LEN(INDEX('Checks'!$L$4:$L$503,_calc!$E$64))=0,"",INDEX('Checks'!$L$4:$L$503,_calc!$E$64)))</f>
        <v/>
      </c>
      <c r="F62" s="47">
        <f>IF(_calc!$E$64="","",TRIM(IF(LEN(IF(LEN(INDEX('Checks'!$I$4:$I$503,_calc!$E$64))=0,"",INDEX('Checks'!$I$4:$I$503,_calc!$E$64)))=0,"","Contractor: "&amp;IF(LEN(INDEX('Checks'!$I$4:$I$503,_calc!$E$64))=0,"",INDEX('Checks'!$I$4:$I$503,_calc!$E$64))&amp;". ")&amp;IF(LEN(IF(LEN(INDEX('Checks'!$J$4:$J$503,_calc!$E$64))=0,"",INDEX('Checks'!$J$4:$J$503,_calc!$E$64)))=0,"","Ref: "&amp;IF(LEN(INDEX('Checks'!$J$4:$J$503,_calc!$E$64))=0,"",INDEX('Checks'!$J$4:$J$503,_calc!$E$64))&amp;". ")&amp;IF(LEN(IF(ISNUMBER(INDEX('Checks'!$K$4:$K$503,_calc!$E$64)),TEXT(INDEX('Checks'!$K$4:$K$503,_calc!$E$64),"yyyy-mm-dd"),""))=0,"","Copy to tenant: "&amp;IF(ISNUMBER(INDEX('Checks'!$K$4:$K$503,_calc!$E$64)),TEXT(INDEX('Checks'!$K$4:$K$503,_calc!$E$64),"yyyy-mm-dd"),"")&amp;". ")&amp;IF(LEN(IF(LEN(INDEX('Checks'!$P$4:$P$503,_calc!$E$64))=0,"",INDEX('Checks'!$P$4:$P$503,_calc!$E$64)))=0,"",IF(LEN(INDEX('Checks'!$P$4:$P$503,_calc!$E$64))=0,"",INDEX('Checks'!$P$4:$P$503,_calc!$E$64)))))</f>
        <v/>
      </c>
      <c r="G62" s="47">
        <f>IF(_calc!$E$64="","",IF(LEN(INDEX('Checks'!$N$4:$N$503,_calc!$E$64))=0,"",INDEX('Checks'!$N$4:$N$503,_calc!$E$64)))</f>
        <v/>
      </c>
      <c r="K62" s="47">
        <f>IF(_calc!$E$64="","",IF(LEN(INDEX('Checks'!$M$4:$M$503,_calc!$E$64))=0,"",INDEX('Checks'!$M$4:$M$503,_calc!$E$64)))</f>
        <v/>
      </c>
    </row>
    <row r="63">
      <c r="A63" s="47">
        <f>IF(_calc!$E$65="","",IF(LEN(INDEX('Checks'!$B$4:$B$503,_calc!$E$65))=0,"",INDEX('Checks'!$B$4:$B$503,_calc!$E$65))&amp;" – "&amp;IF(LEN(INDEX('Checks'!$A$4:$A$503,_calc!$E$65))=0,"",INDEX('Checks'!$A$4:$A$503,_calc!$E$65)))</f>
        <v/>
      </c>
      <c r="B63" s="47">
        <f>IF(_calc!$E$65="","",IF(ISNUMBER(INDEX('Checks'!$D$4:$D$503,_calc!$E$65)),TEXT(INDEX('Checks'!$D$4:$D$503,_calc!$E$65),"yyyy-mm-dd"),""))</f>
        <v/>
      </c>
      <c r="C63" s="47">
        <f>IF(_calc!$E$65="","",IF(LEN(INDEX('Checks'!$B$4:$B$503,_calc!$E$65))=0,"",INDEX('Checks'!$B$4:$B$503,_calc!$E$65)))</f>
        <v/>
      </c>
      <c r="D63" s="47">
        <f>IF(_calc!$E$65="","",IF(ISNUMBER(INDEX('Checks'!$C$4:$C$503,_calc!$E$65)),TEXT(INDEX('Checks'!$C$4:$C$503,_calc!$E$65),"yyyy-mm-dd"),""))</f>
        <v/>
      </c>
      <c r="E63" s="47">
        <f>IF(_calc!$E$65="","",IF(LEN(INDEX('Checks'!$L$4:$L$503,_calc!$E$65))=0,"",INDEX('Checks'!$L$4:$L$503,_calc!$E$65)))</f>
        <v/>
      </c>
      <c r="F63" s="47">
        <f>IF(_calc!$E$65="","",TRIM(IF(LEN(IF(LEN(INDEX('Checks'!$I$4:$I$503,_calc!$E$65))=0,"",INDEX('Checks'!$I$4:$I$503,_calc!$E$65)))=0,"","Contractor: "&amp;IF(LEN(INDEX('Checks'!$I$4:$I$503,_calc!$E$65))=0,"",INDEX('Checks'!$I$4:$I$503,_calc!$E$65))&amp;". ")&amp;IF(LEN(IF(LEN(INDEX('Checks'!$J$4:$J$503,_calc!$E$65))=0,"",INDEX('Checks'!$J$4:$J$503,_calc!$E$65)))=0,"","Ref: "&amp;IF(LEN(INDEX('Checks'!$J$4:$J$503,_calc!$E$65))=0,"",INDEX('Checks'!$J$4:$J$503,_calc!$E$65))&amp;". ")&amp;IF(LEN(IF(ISNUMBER(INDEX('Checks'!$K$4:$K$503,_calc!$E$65)),TEXT(INDEX('Checks'!$K$4:$K$503,_calc!$E$65),"yyyy-mm-dd"),""))=0,"","Copy to tenant: "&amp;IF(ISNUMBER(INDEX('Checks'!$K$4:$K$503,_calc!$E$65)),TEXT(INDEX('Checks'!$K$4:$K$503,_calc!$E$65),"yyyy-mm-dd"),"")&amp;". ")&amp;IF(LEN(IF(LEN(INDEX('Checks'!$P$4:$P$503,_calc!$E$65))=0,"",INDEX('Checks'!$P$4:$P$503,_calc!$E$65)))=0,"",IF(LEN(INDEX('Checks'!$P$4:$P$503,_calc!$E$65))=0,"",INDEX('Checks'!$P$4:$P$503,_calc!$E$65)))))</f>
        <v/>
      </c>
      <c r="G63" s="47">
        <f>IF(_calc!$E$65="","",IF(LEN(INDEX('Checks'!$N$4:$N$503,_calc!$E$65))=0,"",INDEX('Checks'!$N$4:$N$503,_calc!$E$65)))</f>
        <v/>
      </c>
      <c r="K63" s="47">
        <f>IF(_calc!$E$65="","",IF(LEN(INDEX('Checks'!$M$4:$M$503,_calc!$E$65))=0,"",INDEX('Checks'!$M$4:$M$503,_calc!$E$65)))</f>
        <v/>
      </c>
    </row>
    <row r="64">
      <c r="A64" s="47">
        <f>IF(_calc!$E$66="","",IF(LEN(INDEX('Checks'!$B$4:$B$503,_calc!$E$66))=0,"",INDEX('Checks'!$B$4:$B$503,_calc!$E$66))&amp;" – "&amp;IF(LEN(INDEX('Checks'!$A$4:$A$503,_calc!$E$66))=0,"",INDEX('Checks'!$A$4:$A$503,_calc!$E$66)))</f>
        <v/>
      </c>
      <c r="B64" s="47">
        <f>IF(_calc!$E$66="","",IF(ISNUMBER(INDEX('Checks'!$D$4:$D$503,_calc!$E$66)),TEXT(INDEX('Checks'!$D$4:$D$503,_calc!$E$66),"yyyy-mm-dd"),""))</f>
        <v/>
      </c>
      <c r="C64" s="47">
        <f>IF(_calc!$E$66="","",IF(LEN(INDEX('Checks'!$B$4:$B$503,_calc!$E$66))=0,"",INDEX('Checks'!$B$4:$B$503,_calc!$E$66)))</f>
        <v/>
      </c>
      <c r="D64" s="47">
        <f>IF(_calc!$E$66="","",IF(ISNUMBER(INDEX('Checks'!$C$4:$C$503,_calc!$E$66)),TEXT(INDEX('Checks'!$C$4:$C$503,_calc!$E$66),"yyyy-mm-dd"),""))</f>
        <v/>
      </c>
      <c r="E64" s="47">
        <f>IF(_calc!$E$66="","",IF(LEN(INDEX('Checks'!$L$4:$L$503,_calc!$E$66))=0,"",INDEX('Checks'!$L$4:$L$503,_calc!$E$66)))</f>
        <v/>
      </c>
      <c r="F64" s="47">
        <f>IF(_calc!$E$66="","",TRIM(IF(LEN(IF(LEN(INDEX('Checks'!$I$4:$I$503,_calc!$E$66))=0,"",INDEX('Checks'!$I$4:$I$503,_calc!$E$66)))=0,"","Contractor: "&amp;IF(LEN(INDEX('Checks'!$I$4:$I$503,_calc!$E$66))=0,"",INDEX('Checks'!$I$4:$I$503,_calc!$E$66))&amp;". ")&amp;IF(LEN(IF(LEN(INDEX('Checks'!$J$4:$J$503,_calc!$E$66))=0,"",INDEX('Checks'!$J$4:$J$503,_calc!$E$66)))=0,"","Ref: "&amp;IF(LEN(INDEX('Checks'!$J$4:$J$503,_calc!$E$66))=0,"",INDEX('Checks'!$J$4:$J$503,_calc!$E$66))&amp;". ")&amp;IF(LEN(IF(ISNUMBER(INDEX('Checks'!$K$4:$K$503,_calc!$E$66)),TEXT(INDEX('Checks'!$K$4:$K$503,_calc!$E$66),"yyyy-mm-dd"),""))=0,"","Copy to tenant: "&amp;IF(ISNUMBER(INDEX('Checks'!$K$4:$K$503,_calc!$E$66)),TEXT(INDEX('Checks'!$K$4:$K$503,_calc!$E$66),"yyyy-mm-dd"),"")&amp;". ")&amp;IF(LEN(IF(LEN(INDEX('Checks'!$P$4:$P$503,_calc!$E$66))=0,"",INDEX('Checks'!$P$4:$P$503,_calc!$E$66)))=0,"",IF(LEN(INDEX('Checks'!$P$4:$P$503,_calc!$E$66))=0,"",INDEX('Checks'!$P$4:$P$503,_calc!$E$66)))))</f>
        <v/>
      </c>
      <c r="G64" s="47">
        <f>IF(_calc!$E$66="","",IF(LEN(INDEX('Checks'!$N$4:$N$503,_calc!$E$66))=0,"",INDEX('Checks'!$N$4:$N$503,_calc!$E$66)))</f>
        <v/>
      </c>
      <c r="K64" s="47">
        <f>IF(_calc!$E$66="","",IF(LEN(INDEX('Checks'!$M$4:$M$503,_calc!$E$66))=0,"",INDEX('Checks'!$M$4:$M$503,_calc!$E$66)))</f>
        <v/>
      </c>
    </row>
    <row r="65">
      <c r="A65" s="47">
        <f>IF(_calc!$E$67="","",IF(LEN(INDEX('Checks'!$B$4:$B$503,_calc!$E$67))=0,"",INDEX('Checks'!$B$4:$B$503,_calc!$E$67))&amp;" – "&amp;IF(LEN(INDEX('Checks'!$A$4:$A$503,_calc!$E$67))=0,"",INDEX('Checks'!$A$4:$A$503,_calc!$E$67)))</f>
        <v/>
      </c>
      <c r="B65" s="47">
        <f>IF(_calc!$E$67="","",IF(ISNUMBER(INDEX('Checks'!$D$4:$D$503,_calc!$E$67)),TEXT(INDEX('Checks'!$D$4:$D$503,_calc!$E$67),"yyyy-mm-dd"),""))</f>
        <v/>
      </c>
      <c r="C65" s="47">
        <f>IF(_calc!$E$67="","",IF(LEN(INDEX('Checks'!$B$4:$B$503,_calc!$E$67))=0,"",INDEX('Checks'!$B$4:$B$503,_calc!$E$67)))</f>
        <v/>
      </c>
      <c r="D65" s="47">
        <f>IF(_calc!$E$67="","",IF(ISNUMBER(INDEX('Checks'!$C$4:$C$503,_calc!$E$67)),TEXT(INDEX('Checks'!$C$4:$C$503,_calc!$E$67),"yyyy-mm-dd"),""))</f>
        <v/>
      </c>
      <c r="E65" s="47">
        <f>IF(_calc!$E$67="","",IF(LEN(INDEX('Checks'!$L$4:$L$503,_calc!$E$67))=0,"",INDEX('Checks'!$L$4:$L$503,_calc!$E$67)))</f>
        <v/>
      </c>
      <c r="F65" s="47">
        <f>IF(_calc!$E$67="","",TRIM(IF(LEN(IF(LEN(INDEX('Checks'!$I$4:$I$503,_calc!$E$67))=0,"",INDEX('Checks'!$I$4:$I$503,_calc!$E$67)))=0,"","Contractor: "&amp;IF(LEN(INDEX('Checks'!$I$4:$I$503,_calc!$E$67))=0,"",INDEX('Checks'!$I$4:$I$503,_calc!$E$67))&amp;". ")&amp;IF(LEN(IF(LEN(INDEX('Checks'!$J$4:$J$503,_calc!$E$67))=0,"",INDEX('Checks'!$J$4:$J$503,_calc!$E$67)))=0,"","Ref: "&amp;IF(LEN(INDEX('Checks'!$J$4:$J$503,_calc!$E$67))=0,"",INDEX('Checks'!$J$4:$J$503,_calc!$E$67))&amp;". ")&amp;IF(LEN(IF(ISNUMBER(INDEX('Checks'!$K$4:$K$503,_calc!$E$67)),TEXT(INDEX('Checks'!$K$4:$K$503,_calc!$E$67),"yyyy-mm-dd"),""))=0,"","Copy to tenant: "&amp;IF(ISNUMBER(INDEX('Checks'!$K$4:$K$503,_calc!$E$67)),TEXT(INDEX('Checks'!$K$4:$K$503,_calc!$E$67),"yyyy-mm-dd"),"")&amp;". ")&amp;IF(LEN(IF(LEN(INDEX('Checks'!$P$4:$P$503,_calc!$E$67))=0,"",INDEX('Checks'!$P$4:$P$503,_calc!$E$67)))=0,"",IF(LEN(INDEX('Checks'!$P$4:$P$503,_calc!$E$67))=0,"",INDEX('Checks'!$P$4:$P$503,_calc!$E$67)))))</f>
        <v/>
      </c>
      <c r="G65" s="47">
        <f>IF(_calc!$E$67="","",IF(LEN(INDEX('Checks'!$N$4:$N$503,_calc!$E$67))=0,"",INDEX('Checks'!$N$4:$N$503,_calc!$E$67)))</f>
        <v/>
      </c>
      <c r="K65" s="47">
        <f>IF(_calc!$E$67="","",IF(LEN(INDEX('Checks'!$M$4:$M$503,_calc!$E$67))=0,"",INDEX('Checks'!$M$4:$M$503,_calc!$E$67)))</f>
        <v/>
      </c>
    </row>
    <row r="66">
      <c r="A66" s="47">
        <f>IF(_calc!$E$68="","",IF(LEN(INDEX('Checks'!$B$4:$B$503,_calc!$E$68))=0,"",INDEX('Checks'!$B$4:$B$503,_calc!$E$68))&amp;" – "&amp;IF(LEN(INDEX('Checks'!$A$4:$A$503,_calc!$E$68))=0,"",INDEX('Checks'!$A$4:$A$503,_calc!$E$68)))</f>
        <v/>
      </c>
      <c r="B66" s="47">
        <f>IF(_calc!$E$68="","",IF(ISNUMBER(INDEX('Checks'!$D$4:$D$503,_calc!$E$68)),TEXT(INDEX('Checks'!$D$4:$D$503,_calc!$E$68),"yyyy-mm-dd"),""))</f>
        <v/>
      </c>
      <c r="C66" s="47">
        <f>IF(_calc!$E$68="","",IF(LEN(INDEX('Checks'!$B$4:$B$503,_calc!$E$68))=0,"",INDEX('Checks'!$B$4:$B$503,_calc!$E$68)))</f>
        <v/>
      </c>
      <c r="D66" s="47">
        <f>IF(_calc!$E$68="","",IF(ISNUMBER(INDEX('Checks'!$C$4:$C$503,_calc!$E$68)),TEXT(INDEX('Checks'!$C$4:$C$503,_calc!$E$68),"yyyy-mm-dd"),""))</f>
        <v/>
      </c>
      <c r="E66" s="47">
        <f>IF(_calc!$E$68="","",IF(LEN(INDEX('Checks'!$L$4:$L$503,_calc!$E$68))=0,"",INDEX('Checks'!$L$4:$L$503,_calc!$E$68)))</f>
        <v/>
      </c>
      <c r="F66" s="47">
        <f>IF(_calc!$E$68="","",TRIM(IF(LEN(IF(LEN(INDEX('Checks'!$I$4:$I$503,_calc!$E$68))=0,"",INDEX('Checks'!$I$4:$I$503,_calc!$E$68)))=0,"","Contractor: "&amp;IF(LEN(INDEX('Checks'!$I$4:$I$503,_calc!$E$68))=0,"",INDEX('Checks'!$I$4:$I$503,_calc!$E$68))&amp;". ")&amp;IF(LEN(IF(LEN(INDEX('Checks'!$J$4:$J$503,_calc!$E$68))=0,"",INDEX('Checks'!$J$4:$J$503,_calc!$E$68)))=0,"","Ref: "&amp;IF(LEN(INDEX('Checks'!$J$4:$J$503,_calc!$E$68))=0,"",INDEX('Checks'!$J$4:$J$503,_calc!$E$68))&amp;". ")&amp;IF(LEN(IF(ISNUMBER(INDEX('Checks'!$K$4:$K$503,_calc!$E$68)),TEXT(INDEX('Checks'!$K$4:$K$503,_calc!$E$68),"yyyy-mm-dd"),""))=0,"","Copy to tenant: "&amp;IF(ISNUMBER(INDEX('Checks'!$K$4:$K$503,_calc!$E$68)),TEXT(INDEX('Checks'!$K$4:$K$503,_calc!$E$68),"yyyy-mm-dd"),"")&amp;". ")&amp;IF(LEN(IF(LEN(INDEX('Checks'!$P$4:$P$503,_calc!$E$68))=0,"",INDEX('Checks'!$P$4:$P$503,_calc!$E$68)))=0,"",IF(LEN(INDEX('Checks'!$P$4:$P$503,_calc!$E$68))=0,"",INDEX('Checks'!$P$4:$P$503,_calc!$E$68)))))</f>
        <v/>
      </c>
      <c r="G66" s="47">
        <f>IF(_calc!$E$68="","",IF(LEN(INDEX('Checks'!$N$4:$N$503,_calc!$E$68))=0,"",INDEX('Checks'!$N$4:$N$503,_calc!$E$68)))</f>
        <v/>
      </c>
      <c r="K66" s="47">
        <f>IF(_calc!$E$68="","",IF(LEN(INDEX('Checks'!$M$4:$M$503,_calc!$E$68))=0,"",INDEX('Checks'!$M$4:$M$503,_calc!$E$68)))</f>
        <v/>
      </c>
    </row>
    <row r="67">
      <c r="A67" s="47">
        <f>IF(_calc!$E$69="","",IF(LEN(INDEX('Checks'!$B$4:$B$503,_calc!$E$69))=0,"",INDEX('Checks'!$B$4:$B$503,_calc!$E$69))&amp;" – "&amp;IF(LEN(INDEX('Checks'!$A$4:$A$503,_calc!$E$69))=0,"",INDEX('Checks'!$A$4:$A$503,_calc!$E$69)))</f>
        <v/>
      </c>
      <c r="B67" s="47">
        <f>IF(_calc!$E$69="","",IF(ISNUMBER(INDEX('Checks'!$D$4:$D$503,_calc!$E$69)),TEXT(INDEX('Checks'!$D$4:$D$503,_calc!$E$69),"yyyy-mm-dd"),""))</f>
        <v/>
      </c>
      <c r="C67" s="47">
        <f>IF(_calc!$E$69="","",IF(LEN(INDEX('Checks'!$B$4:$B$503,_calc!$E$69))=0,"",INDEX('Checks'!$B$4:$B$503,_calc!$E$69)))</f>
        <v/>
      </c>
      <c r="D67" s="47">
        <f>IF(_calc!$E$69="","",IF(ISNUMBER(INDEX('Checks'!$C$4:$C$503,_calc!$E$69)),TEXT(INDEX('Checks'!$C$4:$C$503,_calc!$E$69),"yyyy-mm-dd"),""))</f>
        <v/>
      </c>
      <c r="E67" s="47">
        <f>IF(_calc!$E$69="","",IF(LEN(INDEX('Checks'!$L$4:$L$503,_calc!$E$69))=0,"",INDEX('Checks'!$L$4:$L$503,_calc!$E$69)))</f>
        <v/>
      </c>
      <c r="F67" s="47">
        <f>IF(_calc!$E$69="","",TRIM(IF(LEN(IF(LEN(INDEX('Checks'!$I$4:$I$503,_calc!$E$69))=0,"",INDEX('Checks'!$I$4:$I$503,_calc!$E$69)))=0,"","Contractor: "&amp;IF(LEN(INDEX('Checks'!$I$4:$I$503,_calc!$E$69))=0,"",INDEX('Checks'!$I$4:$I$503,_calc!$E$69))&amp;". ")&amp;IF(LEN(IF(LEN(INDEX('Checks'!$J$4:$J$503,_calc!$E$69))=0,"",INDEX('Checks'!$J$4:$J$503,_calc!$E$69)))=0,"","Ref: "&amp;IF(LEN(INDEX('Checks'!$J$4:$J$503,_calc!$E$69))=0,"",INDEX('Checks'!$J$4:$J$503,_calc!$E$69))&amp;". ")&amp;IF(LEN(IF(ISNUMBER(INDEX('Checks'!$K$4:$K$503,_calc!$E$69)),TEXT(INDEX('Checks'!$K$4:$K$503,_calc!$E$69),"yyyy-mm-dd"),""))=0,"","Copy to tenant: "&amp;IF(ISNUMBER(INDEX('Checks'!$K$4:$K$503,_calc!$E$69)),TEXT(INDEX('Checks'!$K$4:$K$503,_calc!$E$69),"yyyy-mm-dd"),"")&amp;". ")&amp;IF(LEN(IF(LEN(INDEX('Checks'!$P$4:$P$503,_calc!$E$69))=0,"",INDEX('Checks'!$P$4:$P$503,_calc!$E$69)))=0,"",IF(LEN(INDEX('Checks'!$P$4:$P$503,_calc!$E$69))=0,"",INDEX('Checks'!$P$4:$P$503,_calc!$E$69)))))</f>
        <v/>
      </c>
      <c r="G67" s="47">
        <f>IF(_calc!$E$69="","",IF(LEN(INDEX('Checks'!$N$4:$N$503,_calc!$E$69))=0,"",INDEX('Checks'!$N$4:$N$503,_calc!$E$69)))</f>
        <v/>
      </c>
      <c r="K67" s="47">
        <f>IF(_calc!$E$69="","",IF(LEN(INDEX('Checks'!$M$4:$M$503,_calc!$E$69))=0,"",INDEX('Checks'!$M$4:$M$503,_calc!$E$69)))</f>
        <v/>
      </c>
    </row>
    <row r="68">
      <c r="A68" s="47">
        <f>IF(_calc!$E$70="","",IF(LEN(INDEX('Checks'!$B$4:$B$503,_calc!$E$70))=0,"",INDEX('Checks'!$B$4:$B$503,_calc!$E$70))&amp;" – "&amp;IF(LEN(INDEX('Checks'!$A$4:$A$503,_calc!$E$70))=0,"",INDEX('Checks'!$A$4:$A$503,_calc!$E$70)))</f>
        <v/>
      </c>
      <c r="B68" s="47">
        <f>IF(_calc!$E$70="","",IF(ISNUMBER(INDEX('Checks'!$D$4:$D$503,_calc!$E$70)),TEXT(INDEX('Checks'!$D$4:$D$503,_calc!$E$70),"yyyy-mm-dd"),""))</f>
        <v/>
      </c>
      <c r="C68" s="47">
        <f>IF(_calc!$E$70="","",IF(LEN(INDEX('Checks'!$B$4:$B$503,_calc!$E$70))=0,"",INDEX('Checks'!$B$4:$B$503,_calc!$E$70)))</f>
        <v/>
      </c>
      <c r="D68" s="47">
        <f>IF(_calc!$E$70="","",IF(ISNUMBER(INDEX('Checks'!$C$4:$C$503,_calc!$E$70)),TEXT(INDEX('Checks'!$C$4:$C$503,_calc!$E$70),"yyyy-mm-dd"),""))</f>
        <v/>
      </c>
      <c r="E68" s="47">
        <f>IF(_calc!$E$70="","",IF(LEN(INDEX('Checks'!$L$4:$L$503,_calc!$E$70))=0,"",INDEX('Checks'!$L$4:$L$503,_calc!$E$70)))</f>
        <v/>
      </c>
      <c r="F68" s="47">
        <f>IF(_calc!$E$70="","",TRIM(IF(LEN(IF(LEN(INDEX('Checks'!$I$4:$I$503,_calc!$E$70))=0,"",INDEX('Checks'!$I$4:$I$503,_calc!$E$70)))=0,"","Contractor: "&amp;IF(LEN(INDEX('Checks'!$I$4:$I$503,_calc!$E$70))=0,"",INDEX('Checks'!$I$4:$I$503,_calc!$E$70))&amp;". ")&amp;IF(LEN(IF(LEN(INDEX('Checks'!$J$4:$J$503,_calc!$E$70))=0,"",INDEX('Checks'!$J$4:$J$503,_calc!$E$70)))=0,"","Ref: "&amp;IF(LEN(INDEX('Checks'!$J$4:$J$503,_calc!$E$70))=0,"",INDEX('Checks'!$J$4:$J$503,_calc!$E$70))&amp;". ")&amp;IF(LEN(IF(ISNUMBER(INDEX('Checks'!$K$4:$K$503,_calc!$E$70)),TEXT(INDEX('Checks'!$K$4:$K$503,_calc!$E$70),"yyyy-mm-dd"),""))=0,"","Copy to tenant: "&amp;IF(ISNUMBER(INDEX('Checks'!$K$4:$K$503,_calc!$E$70)),TEXT(INDEX('Checks'!$K$4:$K$503,_calc!$E$70),"yyyy-mm-dd"),"")&amp;". ")&amp;IF(LEN(IF(LEN(INDEX('Checks'!$P$4:$P$503,_calc!$E$70))=0,"",INDEX('Checks'!$P$4:$P$503,_calc!$E$70)))=0,"",IF(LEN(INDEX('Checks'!$P$4:$P$503,_calc!$E$70))=0,"",INDEX('Checks'!$P$4:$P$503,_calc!$E$70)))))</f>
        <v/>
      </c>
      <c r="G68" s="47">
        <f>IF(_calc!$E$70="","",IF(LEN(INDEX('Checks'!$N$4:$N$503,_calc!$E$70))=0,"",INDEX('Checks'!$N$4:$N$503,_calc!$E$70)))</f>
        <v/>
      </c>
      <c r="K68" s="47">
        <f>IF(_calc!$E$70="","",IF(LEN(INDEX('Checks'!$M$4:$M$503,_calc!$E$70))=0,"",INDEX('Checks'!$M$4:$M$503,_calc!$E$70)))</f>
        <v/>
      </c>
    </row>
    <row r="69">
      <c r="A69" s="47">
        <f>IF(_calc!$E$71="","",IF(LEN(INDEX('Checks'!$B$4:$B$503,_calc!$E$71))=0,"",INDEX('Checks'!$B$4:$B$503,_calc!$E$71))&amp;" – "&amp;IF(LEN(INDEX('Checks'!$A$4:$A$503,_calc!$E$71))=0,"",INDEX('Checks'!$A$4:$A$503,_calc!$E$71)))</f>
        <v/>
      </c>
      <c r="B69" s="47">
        <f>IF(_calc!$E$71="","",IF(ISNUMBER(INDEX('Checks'!$D$4:$D$503,_calc!$E$71)),TEXT(INDEX('Checks'!$D$4:$D$503,_calc!$E$71),"yyyy-mm-dd"),""))</f>
        <v/>
      </c>
      <c r="C69" s="47">
        <f>IF(_calc!$E$71="","",IF(LEN(INDEX('Checks'!$B$4:$B$503,_calc!$E$71))=0,"",INDEX('Checks'!$B$4:$B$503,_calc!$E$71)))</f>
        <v/>
      </c>
      <c r="D69" s="47">
        <f>IF(_calc!$E$71="","",IF(ISNUMBER(INDEX('Checks'!$C$4:$C$503,_calc!$E$71)),TEXT(INDEX('Checks'!$C$4:$C$503,_calc!$E$71),"yyyy-mm-dd"),""))</f>
        <v/>
      </c>
      <c r="E69" s="47">
        <f>IF(_calc!$E$71="","",IF(LEN(INDEX('Checks'!$L$4:$L$503,_calc!$E$71))=0,"",INDEX('Checks'!$L$4:$L$503,_calc!$E$71)))</f>
        <v/>
      </c>
      <c r="F69" s="47">
        <f>IF(_calc!$E$71="","",TRIM(IF(LEN(IF(LEN(INDEX('Checks'!$I$4:$I$503,_calc!$E$71))=0,"",INDEX('Checks'!$I$4:$I$503,_calc!$E$71)))=0,"","Contractor: "&amp;IF(LEN(INDEX('Checks'!$I$4:$I$503,_calc!$E$71))=0,"",INDEX('Checks'!$I$4:$I$503,_calc!$E$71))&amp;". ")&amp;IF(LEN(IF(LEN(INDEX('Checks'!$J$4:$J$503,_calc!$E$71))=0,"",INDEX('Checks'!$J$4:$J$503,_calc!$E$71)))=0,"","Ref: "&amp;IF(LEN(INDEX('Checks'!$J$4:$J$503,_calc!$E$71))=0,"",INDEX('Checks'!$J$4:$J$503,_calc!$E$71))&amp;". ")&amp;IF(LEN(IF(ISNUMBER(INDEX('Checks'!$K$4:$K$503,_calc!$E$71)),TEXT(INDEX('Checks'!$K$4:$K$503,_calc!$E$71),"yyyy-mm-dd"),""))=0,"","Copy to tenant: "&amp;IF(ISNUMBER(INDEX('Checks'!$K$4:$K$503,_calc!$E$71)),TEXT(INDEX('Checks'!$K$4:$K$503,_calc!$E$71),"yyyy-mm-dd"),"")&amp;". ")&amp;IF(LEN(IF(LEN(INDEX('Checks'!$P$4:$P$503,_calc!$E$71))=0,"",INDEX('Checks'!$P$4:$P$503,_calc!$E$71)))=0,"",IF(LEN(INDEX('Checks'!$P$4:$P$503,_calc!$E$71))=0,"",INDEX('Checks'!$P$4:$P$503,_calc!$E$71)))))</f>
        <v/>
      </c>
      <c r="G69" s="47">
        <f>IF(_calc!$E$71="","",IF(LEN(INDEX('Checks'!$N$4:$N$503,_calc!$E$71))=0,"",INDEX('Checks'!$N$4:$N$503,_calc!$E$71)))</f>
        <v/>
      </c>
      <c r="K69" s="47">
        <f>IF(_calc!$E$71="","",IF(LEN(INDEX('Checks'!$M$4:$M$503,_calc!$E$71))=0,"",INDEX('Checks'!$M$4:$M$503,_calc!$E$71)))</f>
        <v/>
      </c>
    </row>
    <row r="70">
      <c r="A70" s="47">
        <f>IF(_calc!$E$72="","",IF(LEN(INDEX('Checks'!$B$4:$B$503,_calc!$E$72))=0,"",INDEX('Checks'!$B$4:$B$503,_calc!$E$72))&amp;" – "&amp;IF(LEN(INDEX('Checks'!$A$4:$A$503,_calc!$E$72))=0,"",INDEX('Checks'!$A$4:$A$503,_calc!$E$72)))</f>
        <v/>
      </c>
      <c r="B70" s="47">
        <f>IF(_calc!$E$72="","",IF(ISNUMBER(INDEX('Checks'!$D$4:$D$503,_calc!$E$72)),TEXT(INDEX('Checks'!$D$4:$D$503,_calc!$E$72),"yyyy-mm-dd"),""))</f>
        <v/>
      </c>
      <c r="C70" s="47">
        <f>IF(_calc!$E$72="","",IF(LEN(INDEX('Checks'!$B$4:$B$503,_calc!$E$72))=0,"",INDEX('Checks'!$B$4:$B$503,_calc!$E$72)))</f>
        <v/>
      </c>
      <c r="D70" s="47">
        <f>IF(_calc!$E$72="","",IF(ISNUMBER(INDEX('Checks'!$C$4:$C$503,_calc!$E$72)),TEXT(INDEX('Checks'!$C$4:$C$503,_calc!$E$72),"yyyy-mm-dd"),""))</f>
        <v/>
      </c>
      <c r="E70" s="47">
        <f>IF(_calc!$E$72="","",IF(LEN(INDEX('Checks'!$L$4:$L$503,_calc!$E$72))=0,"",INDEX('Checks'!$L$4:$L$503,_calc!$E$72)))</f>
        <v/>
      </c>
      <c r="F70" s="47">
        <f>IF(_calc!$E$72="","",TRIM(IF(LEN(IF(LEN(INDEX('Checks'!$I$4:$I$503,_calc!$E$72))=0,"",INDEX('Checks'!$I$4:$I$503,_calc!$E$72)))=0,"","Contractor: "&amp;IF(LEN(INDEX('Checks'!$I$4:$I$503,_calc!$E$72))=0,"",INDEX('Checks'!$I$4:$I$503,_calc!$E$72))&amp;". ")&amp;IF(LEN(IF(LEN(INDEX('Checks'!$J$4:$J$503,_calc!$E$72))=0,"",INDEX('Checks'!$J$4:$J$503,_calc!$E$72)))=0,"","Ref: "&amp;IF(LEN(INDEX('Checks'!$J$4:$J$503,_calc!$E$72))=0,"",INDEX('Checks'!$J$4:$J$503,_calc!$E$72))&amp;". ")&amp;IF(LEN(IF(ISNUMBER(INDEX('Checks'!$K$4:$K$503,_calc!$E$72)),TEXT(INDEX('Checks'!$K$4:$K$503,_calc!$E$72),"yyyy-mm-dd"),""))=0,"","Copy to tenant: "&amp;IF(ISNUMBER(INDEX('Checks'!$K$4:$K$503,_calc!$E$72)),TEXT(INDEX('Checks'!$K$4:$K$503,_calc!$E$72),"yyyy-mm-dd"),"")&amp;". ")&amp;IF(LEN(IF(LEN(INDEX('Checks'!$P$4:$P$503,_calc!$E$72))=0,"",INDEX('Checks'!$P$4:$P$503,_calc!$E$72)))=0,"",IF(LEN(INDEX('Checks'!$P$4:$P$503,_calc!$E$72))=0,"",INDEX('Checks'!$P$4:$P$503,_calc!$E$72)))))</f>
        <v/>
      </c>
      <c r="G70" s="47">
        <f>IF(_calc!$E$72="","",IF(LEN(INDEX('Checks'!$N$4:$N$503,_calc!$E$72))=0,"",INDEX('Checks'!$N$4:$N$503,_calc!$E$72)))</f>
        <v/>
      </c>
      <c r="K70" s="47">
        <f>IF(_calc!$E$72="","",IF(LEN(INDEX('Checks'!$M$4:$M$503,_calc!$E$72))=0,"",INDEX('Checks'!$M$4:$M$503,_calc!$E$72)))</f>
        <v/>
      </c>
    </row>
    <row r="71">
      <c r="A71" s="47">
        <f>IF(_calc!$E$73="","",IF(LEN(INDEX('Checks'!$B$4:$B$503,_calc!$E$73))=0,"",INDEX('Checks'!$B$4:$B$503,_calc!$E$73))&amp;" – "&amp;IF(LEN(INDEX('Checks'!$A$4:$A$503,_calc!$E$73))=0,"",INDEX('Checks'!$A$4:$A$503,_calc!$E$73)))</f>
        <v/>
      </c>
      <c r="B71" s="47">
        <f>IF(_calc!$E$73="","",IF(ISNUMBER(INDEX('Checks'!$D$4:$D$503,_calc!$E$73)),TEXT(INDEX('Checks'!$D$4:$D$503,_calc!$E$73),"yyyy-mm-dd"),""))</f>
        <v/>
      </c>
      <c r="C71" s="47">
        <f>IF(_calc!$E$73="","",IF(LEN(INDEX('Checks'!$B$4:$B$503,_calc!$E$73))=0,"",INDEX('Checks'!$B$4:$B$503,_calc!$E$73)))</f>
        <v/>
      </c>
      <c r="D71" s="47">
        <f>IF(_calc!$E$73="","",IF(ISNUMBER(INDEX('Checks'!$C$4:$C$503,_calc!$E$73)),TEXT(INDEX('Checks'!$C$4:$C$503,_calc!$E$73),"yyyy-mm-dd"),""))</f>
        <v/>
      </c>
      <c r="E71" s="47">
        <f>IF(_calc!$E$73="","",IF(LEN(INDEX('Checks'!$L$4:$L$503,_calc!$E$73))=0,"",INDEX('Checks'!$L$4:$L$503,_calc!$E$73)))</f>
        <v/>
      </c>
      <c r="F71" s="47">
        <f>IF(_calc!$E$73="","",TRIM(IF(LEN(IF(LEN(INDEX('Checks'!$I$4:$I$503,_calc!$E$73))=0,"",INDEX('Checks'!$I$4:$I$503,_calc!$E$73)))=0,"","Contractor: "&amp;IF(LEN(INDEX('Checks'!$I$4:$I$503,_calc!$E$73))=0,"",INDEX('Checks'!$I$4:$I$503,_calc!$E$73))&amp;". ")&amp;IF(LEN(IF(LEN(INDEX('Checks'!$J$4:$J$503,_calc!$E$73))=0,"",INDEX('Checks'!$J$4:$J$503,_calc!$E$73)))=0,"","Ref: "&amp;IF(LEN(INDEX('Checks'!$J$4:$J$503,_calc!$E$73))=0,"",INDEX('Checks'!$J$4:$J$503,_calc!$E$73))&amp;". ")&amp;IF(LEN(IF(ISNUMBER(INDEX('Checks'!$K$4:$K$503,_calc!$E$73)),TEXT(INDEX('Checks'!$K$4:$K$503,_calc!$E$73),"yyyy-mm-dd"),""))=0,"","Copy to tenant: "&amp;IF(ISNUMBER(INDEX('Checks'!$K$4:$K$503,_calc!$E$73)),TEXT(INDEX('Checks'!$K$4:$K$503,_calc!$E$73),"yyyy-mm-dd"),"")&amp;". ")&amp;IF(LEN(IF(LEN(INDEX('Checks'!$P$4:$P$503,_calc!$E$73))=0,"",INDEX('Checks'!$P$4:$P$503,_calc!$E$73)))=0,"",IF(LEN(INDEX('Checks'!$P$4:$P$503,_calc!$E$73))=0,"",INDEX('Checks'!$P$4:$P$503,_calc!$E$73)))))</f>
        <v/>
      </c>
      <c r="G71" s="47">
        <f>IF(_calc!$E$73="","",IF(LEN(INDEX('Checks'!$N$4:$N$503,_calc!$E$73))=0,"",INDEX('Checks'!$N$4:$N$503,_calc!$E$73)))</f>
        <v/>
      </c>
      <c r="K71" s="47">
        <f>IF(_calc!$E$73="","",IF(LEN(INDEX('Checks'!$M$4:$M$503,_calc!$E$73))=0,"",INDEX('Checks'!$M$4:$M$503,_calc!$E$73)))</f>
        <v/>
      </c>
    </row>
    <row r="72">
      <c r="A72" s="47">
        <f>IF(_calc!$E$74="","",IF(LEN(INDEX('Checks'!$B$4:$B$503,_calc!$E$74))=0,"",INDEX('Checks'!$B$4:$B$503,_calc!$E$74))&amp;" – "&amp;IF(LEN(INDEX('Checks'!$A$4:$A$503,_calc!$E$74))=0,"",INDEX('Checks'!$A$4:$A$503,_calc!$E$74)))</f>
        <v/>
      </c>
      <c r="B72" s="47">
        <f>IF(_calc!$E$74="","",IF(ISNUMBER(INDEX('Checks'!$D$4:$D$503,_calc!$E$74)),TEXT(INDEX('Checks'!$D$4:$D$503,_calc!$E$74),"yyyy-mm-dd"),""))</f>
        <v/>
      </c>
      <c r="C72" s="47">
        <f>IF(_calc!$E$74="","",IF(LEN(INDEX('Checks'!$B$4:$B$503,_calc!$E$74))=0,"",INDEX('Checks'!$B$4:$B$503,_calc!$E$74)))</f>
        <v/>
      </c>
      <c r="D72" s="47">
        <f>IF(_calc!$E$74="","",IF(ISNUMBER(INDEX('Checks'!$C$4:$C$503,_calc!$E$74)),TEXT(INDEX('Checks'!$C$4:$C$503,_calc!$E$74),"yyyy-mm-dd"),""))</f>
        <v/>
      </c>
      <c r="E72" s="47">
        <f>IF(_calc!$E$74="","",IF(LEN(INDEX('Checks'!$L$4:$L$503,_calc!$E$74))=0,"",INDEX('Checks'!$L$4:$L$503,_calc!$E$74)))</f>
        <v/>
      </c>
      <c r="F72" s="47">
        <f>IF(_calc!$E$74="","",TRIM(IF(LEN(IF(LEN(INDEX('Checks'!$I$4:$I$503,_calc!$E$74))=0,"",INDEX('Checks'!$I$4:$I$503,_calc!$E$74)))=0,"","Contractor: "&amp;IF(LEN(INDEX('Checks'!$I$4:$I$503,_calc!$E$74))=0,"",INDEX('Checks'!$I$4:$I$503,_calc!$E$74))&amp;". ")&amp;IF(LEN(IF(LEN(INDEX('Checks'!$J$4:$J$503,_calc!$E$74))=0,"",INDEX('Checks'!$J$4:$J$503,_calc!$E$74)))=0,"","Ref: "&amp;IF(LEN(INDEX('Checks'!$J$4:$J$503,_calc!$E$74))=0,"",INDEX('Checks'!$J$4:$J$503,_calc!$E$74))&amp;". ")&amp;IF(LEN(IF(ISNUMBER(INDEX('Checks'!$K$4:$K$503,_calc!$E$74)),TEXT(INDEX('Checks'!$K$4:$K$503,_calc!$E$74),"yyyy-mm-dd"),""))=0,"","Copy to tenant: "&amp;IF(ISNUMBER(INDEX('Checks'!$K$4:$K$503,_calc!$E$74)),TEXT(INDEX('Checks'!$K$4:$K$503,_calc!$E$74),"yyyy-mm-dd"),"")&amp;". ")&amp;IF(LEN(IF(LEN(INDEX('Checks'!$P$4:$P$503,_calc!$E$74))=0,"",INDEX('Checks'!$P$4:$P$503,_calc!$E$74)))=0,"",IF(LEN(INDEX('Checks'!$P$4:$P$503,_calc!$E$74))=0,"",INDEX('Checks'!$P$4:$P$503,_calc!$E$74)))))</f>
        <v/>
      </c>
      <c r="G72" s="47">
        <f>IF(_calc!$E$74="","",IF(LEN(INDEX('Checks'!$N$4:$N$503,_calc!$E$74))=0,"",INDEX('Checks'!$N$4:$N$503,_calc!$E$74)))</f>
        <v/>
      </c>
      <c r="K72" s="47">
        <f>IF(_calc!$E$74="","",IF(LEN(INDEX('Checks'!$M$4:$M$503,_calc!$E$74))=0,"",INDEX('Checks'!$M$4:$M$503,_calc!$E$74)))</f>
        <v/>
      </c>
    </row>
    <row r="73">
      <c r="A73" s="47">
        <f>IF(_calc!$E$75="","",IF(LEN(INDEX('Checks'!$B$4:$B$503,_calc!$E$75))=0,"",INDEX('Checks'!$B$4:$B$503,_calc!$E$75))&amp;" – "&amp;IF(LEN(INDEX('Checks'!$A$4:$A$503,_calc!$E$75))=0,"",INDEX('Checks'!$A$4:$A$503,_calc!$E$75)))</f>
        <v/>
      </c>
      <c r="B73" s="47">
        <f>IF(_calc!$E$75="","",IF(ISNUMBER(INDEX('Checks'!$D$4:$D$503,_calc!$E$75)),TEXT(INDEX('Checks'!$D$4:$D$503,_calc!$E$75),"yyyy-mm-dd"),""))</f>
        <v/>
      </c>
      <c r="C73" s="47">
        <f>IF(_calc!$E$75="","",IF(LEN(INDEX('Checks'!$B$4:$B$503,_calc!$E$75))=0,"",INDEX('Checks'!$B$4:$B$503,_calc!$E$75)))</f>
        <v/>
      </c>
      <c r="D73" s="47">
        <f>IF(_calc!$E$75="","",IF(ISNUMBER(INDEX('Checks'!$C$4:$C$503,_calc!$E$75)),TEXT(INDEX('Checks'!$C$4:$C$503,_calc!$E$75),"yyyy-mm-dd"),""))</f>
        <v/>
      </c>
      <c r="E73" s="47">
        <f>IF(_calc!$E$75="","",IF(LEN(INDEX('Checks'!$L$4:$L$503,_calc!$E$75))=0,"",INDEX('Checks'!$L$4:$L$503,_calc!$E$75)))</f>
        <v/>
      </c>
      <c r="F73" s="47">
        <f>IF(_calc!$E$75="","",TRIM(IF(LEN(IF(LEN(INDEX('Checks'!$I$4:$I$503,_calc!$E$75))=0,"",INDEX('Checks'!$I$4:$I$503,_calc!$E$75)))=0,"","Contractor: "&amp;IF(LEN(INDEX('Checks'!$I$4:$I$503,_calc!$E$75))=0,"",INDEX('Checks'!$I$4:$I$503,_calc!$E$75))&amp;". ")&amp;IF(LEN(IF(LEN(INDEX('Checks'!$J$4:$J$503,_calc!$E$75))=0,"",INDEX('Checks'!$J$4:$J$503,_calc!$E$75)))=0,"","Ref: "&amp;IF(LEN(INDEX('Checks'!$J$4:$J$503,_calc!$E$75))=0,"",INDEX('Checks'!$J$4:$J$503,_calc!$E$75))&amp;". ")&amp;IF(LEN(IF(ISNUMBER(INDEX('Checks'!$K$4:$K$503,_calc!$E$75)),TEXT(INDEX('Checks'!$K$4:$K$503,_calc!$E$75),"yyyy-mm-dd"),""))=0,"","Copy to tenant: "&amp;IF(ISNUMBER(INDEX('Checks'!$K$4:$K$503,_calc!$E$75)),TEXT(INDEX('Checks'!$K$4:$K$503,_calc!$E$75),"yyyy-mm-dd"),"")&amp;". ")&amp;IF(LEN(IF(LEN(INDEX('Checks'!$P$4:$P$503,_calc!$E$75))=0,"",INDEX('Checks'!$P$4:$P$503,_calc!$E$75)))=0,"",IF(LEN(INDEX('Checks'!$P$4:$P$503,_calc!$E$75))=0,"",INDEX('Checks'!$P$4:$P$503,_calc!$E$75)))))</f>
        <v/>
      </c>
      <c r="G73" s="47">
        <f>IF(_calc!$E$75="","",IF(LEN(INDEX('Checks'!$N$4:$N$503,_calc!$E$75))=0,"",INDEX('Checks'!$N$4:$N$503,_calc!$E$75)))</f>
        <v/>
      </c>
      <c r="K73" s="47">
        <f>IF(_calc!$E$75="","",IF(LEN(INDEX('Checks'!$M$4:$M$503,_calc!$E$75))=0,"",INDEX('Checks'!$M$4:$M$503,_calc!$E$75)))</f>
        <v/>
      </c>
    </row>
    <row r="74">
      <c r="A74" s="47">
        <f>IF(_calc!$E$76="","",IF(LEN(INDEX('Checks'!$B$4:$B$503,_calc!$E$76))=0,"",INDEX('Checks'!$B$4:$B$503,_calc!$E$76))&amp;" – "&amp;IF(LEN(INDEX('Checks'!$A$4:$A$503,_calc!$E$76))=0,"",INDEX('Checks'!$A$4:$A$503,_calc!$E$76)))</f>
        <v/>
      </c>
      <c r="B74" s="47">
        <f>IF(_calc!$E$76="","",IF(ISNUMBER(INDEX('Checks'!$D$4:$D$503,_calc!$E$76)),TEXT(INDEX('Checks'!$D$4:$D$503,_calc!$E$76),"yyyy-mm-dd"),""))</f>
        <v/>
      </c>
      <c r="C74" s="47">
        <f>IF(_calc!$E$76="","",IF(LEN(INDEX('Checks'!$B$4:$B$503,_calc!$E$76))=0,"",INDEX('Checks'!$B$4:$B$503,_calc!$E$76)))</f>
        <v/>
      </c>
      <c r="D74" s="47">
        <f>IF(_calc!$E$76="","",IF(ISNUMBER(INDEX('Checks'!$C$4:$C$503,_calc!$E$76)),TEXT(INDEX('Checks'!$C$4:$C$503,_calc!$E$76),"yyyy-mm-dd"),""))</f>
        <v/>
      </c>
      <c r="E74" s="47">
        <f>IF(_calc!$E$76="","",IF(LEN(INDEX('Checks'!$L$4:$L$503,_calc!$E$76))=0,"",INDEX('Checks'!$L$4:$L$503,_calc!$E$76)))</f>
        <v/>
      </c>
      <c r="F74" s="47">
        <f>IF(_calc!$E$76="","",TRIM(IF(LEN(IF(LEN(INDEX('Checks'!$I$4:$I$503,_calc!$E$76))=0,"",INDEX('Checks'!$I$4:$I$503,_calc!$E$76)))=0,"","Contractor: "&amp;IF(LEN(INDEX('Checks'!$I$4:$I$503,_calc!$E$76))=0,"",INDEX('Checks'!$I$4:$I$503,_calc!$E$76))&amp;". ")&amp;IF(LEN(IF(LEN(INDEX('Checks'!$J$4:$J$503,_calc!$E$76))=0,"",INDEX('Checks'!$J$4:$J$503,_calc!$E$76)))=0,"","Ref: "&amp;IF(LEN(INDEX('Checks'!$J$4:$J$503,_calc!$E$76))=0,"",INDEX('Checks'!$J$4:$J$503,_calc!$E$76))&amp;". ")&amp;IF(LEN(IF(ISNUMBER(INDEX('Checks'!$K$4:$K$503,_calc!$E$76)),TEXT(INDEX('Checks'!$K$4:$K$503,_calc!$E$76),"yyyy-mm-dd"),""))=0,"","Copy to tenant: "&amp;IF(ISNUMBER(INDEX('Checks'!$K$4:$K$503,_calc!$E$76)),TEXT(INDEX('Checks'!$K$4:$K$503,_calc!$E$76),"yyyy-mm-dd"),"")&amp;". ")&amp;IF(LEN(IF(LEN(INDEX('Checks'!$P$4:$P$503,_calc!$E$76))=0,"",INDEX('Checks'!$P$4:$P$503,_calc!$E$76)))=0,"",IF(LEN(INDEX('Checks'!$P$4:$P$503,_calc!$E$76))=0,"",INDEX('Checks'!$P$4:$P$503,_calc!$E$76)))))</f>
        <v/>
      </c>
      <c r="G74" s="47">
        <f>IF(_calc!$E$76="","",IF(LEN(INDEX('Checks'!$N$4:$N$503,_calc!$E$76))=0,"",INDEX('Checks'!$N$4:$N$503,_calc!$E$76)))</f>
        <v/>
      </c>
      <c r="K74" s="47">
        <f>IF(_calc!$E$76="","",IF(LEN(INDEX('Checks'!$M$4:$M$503,_calc!$E$76))=0,"",INDEX('Checks'!$M$4:$M$503,_calc!$E$76)))</f>
        <v/>
      </c>
    </row>
    <row r="75">
      <c r="A75" s="47">
        <f>IF(_calc!$E$77="","",IF(LEN(INDEX('Checks'!$B$4:$B$503,_calc!$E$77))=0,"",INDEX('Checks'!$B$4:$B$503,_calc!$E$77))&amp;" – "&amp;IF(LEN(INDEX('Checks'!$A$4:$A$503,_calc!$E$77))=0,"",INDEX('Checks'!$A$4:$A$503,_calc!$E$77)))</f>
        <v/>
      </c>
      <c r="B75" s="47">
        <f>IF(_calc!$E$77="","",IF(ISNUMBER(INDEX('Checks'!$D$4:$D$503,_calc!$E$77)),TEXT(INDEX('Checks'!$D$4:$D$503,_calc!$E$77),"yyyy-mm-dd"),""))</f>
        <v/>
      </c>
      <c r="C75" s="47">
        <f>IF(_calc!$E$77="","",IF(LEN(INDEX('Checks'!$B$4:$B$503,_calc!$E$77))=0,"",INDEX('Checks'!$B$4:$B$503,_calc!$E$77)))</f>
        <v/>
      </c>
      <c r="D75" s="47">
        <f>IF(_calc!$E$77="","",IF(ISNUMBER(INDEX('Checks'!$C$4:$C$503,_calc!$E$77)),TEXT(INDEX('Checks'!$C$4:$C$503,_calc!$E$77),"yyyy-mm-dd"),""))</f>
        <v/>
      </c>
      <c r="E75" s="47">
        <f>IF(_calc!$E$77="","",IF(LEN(INDEX('Checks'!$L$4:$L$503,_calc!$E$77))=0,"",INDEX('Checks'!$L$4:$L$503,_calc!$E$77)))</f>
        <v/>
      </c>
      <c r="F75" s="47">
        <f>IF(_calc!$E$77="","",TRIM(IF(LEN(IF(LEN(INDEX('Checks'!$I$4:$I$503,_calc!$E$77))=0,"",INDEX('Checks'!$I$4:$I$503,_calc!$E$77)))=0,"","Contractor: "&amp;IF(LEN(INDEX('Checks'!$I$4:$I$503,_calc!$E$77))=0,"",INDEX('Checks'!$I$4:$I$503,_calc!$E$77))&amp;". ")&amp;IF(LEN(IF(LEN(INDEX('Checks'!$J$4:$J$503,_calc!$E$77))=0,"",INDEX('Checks'!$J$4:$J$503,_calc!$E$77)))=0,"","Ref: "&amp;IF(LEN(INDEX('Checks'!$J$4:$J$503,_calc!$E$77))=0,"",INDEX('Checks'!$J$4:$J$503,_calc!$E$77))&amp;". ")&amp;IF(LEN(IF(ISNUMBER(INDEX('Checks'!$K$4:$K$503,_calc!$E$77)),TEXT(INDEX('Checks'!$K$4:$K$503,_calc!$E$77),"yyyy-mm-dd"),""))=0,"","Copy to tenant: "&amp;IF(ISNUMBER(INDEX('Checks'!$K$4:$K$503,_calc!$E$77)),TEXT(INDEX('Checks'!$K$4:$K$503,_calc!$E$77),"yyyy-mm-dd"),"")&amp;". ")&amp;IF(LEN(IF(LEN(INDEX('Checks'!$P$4:$P$503,_calc!$E$77))=0,"",INDEX('Checks'!$P$4:$P$503,_calc!$E$77)))=0,"",IF(LEN(INDEX('Checks'!$P$4:$P$503,_calc!$E$77))=0,"",INDEX('Checks'!$P$4:$P$503,_calc!$E$77)))))</f>
        <v/>
      </c>
      <c r="G75" s="47">
        <f>IF(_calc!$E$77="","",IF(LEN(INDEX('Checks'!$N$4:$N$503,_calc!$E$77))=0,"",INDEX('Checks'!$N$4:$N$503,_calc!$E$77)))</f>
        <v/>
      </c>
      <c r="K75" s="47">
        <f>IF(_calc!$E$77="","",IF(LEN(INDEX('Checks'!$M$4:$M$503,_calc!$E$77))=0,"",INDEX('Checks'!$M$4:$M$503,_calc!$E$77)))</f>
        <v/>
      </c>
    </row>
    <row r="76">
      <c r="A76" s="47">
        <f>IF(_calc!$E$78="","",IF(LEN(INDEX('Checks'!$B$4:$B$503,_calc!$E$78))=0,"",INDEX('Checks'!$B$4:$B$503,_calc!$E$78))&amp;" – "&amp;IF(LEN(INDEX('Checks'!$A$4:$A$503,_calc!$E$78))=0,"",INDEX('Checks'!$A$4:$A$503,_calc!$E$78)))</f>
        <v/>
      </c>
      <c r="B76" s="47">
        <f>IF(_calc!$E$78="","",IF(ISNUMBER(INDEX('Checks'!$D$4:$D$503,_calc!$E$78)),TEXT(INDEX('Checks'!$D$4:$D$503,_calc!$E$78),"yyyy-mm-dd"),""))</f>
        <v/>
      </c>
      <c r="C76" s="47">
        <f>IF(_calc!$E$78="","",IF(LEN(INDEX('Checks'!$B$4:$B$503,_calc!$E$78))=0,"",INDEX('Checks'!$B$4:$B$503,_calc!$E$78)))</f>
        <v/>
      </c>
      <c r="D76" s="47">
        <f>IF(_calc!$E$78="","",IF(ISNUMBER(INDEX('Checks'!$C$4:$C$503,_calc!$E$78)),TEXT(INDEX('Checks'!$C$4:$C$503,_calc!$E$78),"yyyy-mm-dd"),""))</f>
        <v/>
      </c>
      <c r="E76" s="47">
        <f>IF(_calc!$E$78="","",IF(LEN(INDEX('Checks'!$L$4:$L$503,_calc!$E$78))=0,"",INDEX('Checks'!$L$4:$L$503,_calc!$E$78)))</f>
        <v/>
      </c>
      <c r="F76" s="47">
        <f>IF(_calc!$E$78="","",TRIM(IF(LEN(IF(LEN(INDEX('Checks'!$I$4:$I$503,_calc!$E$78))=0,"",INDEX('Checks'!$I$4:$I$503,_calc!$E$78)))=0,"","Contractor: "&amp;IF(LEN(INDEX('Checks'!$I$4:$I$503,_calc!$E$78))=0,"",INDEX('Checks'!$I$4:$I$503,_calc!$E$78))&amp;". ")&amp;IF(LEN(IF(LEN(INDEX('Checks'!$J$4:$J$503,_calc!$E$78))=0,"",INDEX('Checks'!$J$4:$J$503,_calc!$E$78)))=0,"","Ref: "&amp;IF(LEN(INDEX('Checks'!$J$4:$J$503,_calc!$E$78))=0,"",INDEX('Checks'!$J$4:$J$503,_calc!$E$78))&amp;". ")&amp;IF(LEN(IF(ISNUMBER(INDEX('Checks'!$K$4:$K$503,_calc!$E$78)),TEXT(INDEX('Checks'!$K$4:$K$503,_calc!$E$78),"yyyy-mm-dd"),""))=0,"","Copy to tenant: "&amp;IF(ISNUMBER(INDEX('Checks'!$K$4:$K$503,_calc!$E$78)),TEXT(INDEX('Checks'!$K$4:$K$503,_calc!$E$78),"yyyy-mm-dd"),"")&amp;". ")&amp;IF(LEN(IF(LEN(INDEX('Checks'!$P$4:$P$503,_calc!$E$78))=0,"",INDEX('Checks'!$P$4:$P$503,_calc!$E$78)))=0,"",IF(LEN(INDEX('Checks'!$P$4:$P$503,_calc!$E$78))=0,"",INDEX('Checks'!$P$4:$P$503,_calc!$E$78)))))</f>
        <v/>
      </c>
      <c r="G76" s="47">
        <f>IF(_calc!$E$78="","",IF(LEN(INDEX('Checks'!$N$4:$N$503,_calc!$E$78))=0,"",INDEX('Checks'!$N$4:$N$503,_calc!$E$78)))</f>
        <v/>
      </c>
      <c r="K76" s="47">
        <f>IF(_calc!$E$78="","",IF(LEN(INDEX('Checks'!$M$4:$M$503,_calc!$E$78))=0,"",INDEX('Checks'!$M$4:$M$503,_calc!$E$78)))</f>
        <v/>
      </c>
    </row>
    <row r="77">
      <c r="A77" s="47">
        <f>IF(_calc!$E$79="","",IF(LEN(INDEX('Checks'!$B$4:$B$503,_calc!$E$79))=0,"",INDEX('Checks'!$B$4:$B$503,_calc!$E$79))&amp;" – "&amp;IF(LEN(INDEX('Checks'!$A$4:$A$503,_calc!$E$79))=0,"",INDEX('Checks'!$A$4:$A$503,_calc!$E$79)))</f>
        <v/>
      </c>
      <c r="B77" s="47">
        <f>IF(_calc!$E$79="","",IF(ISNUMBER(INDEX('Checks'!$D$4:$D$503,_calc!$E$79)),TEXT(INDEX('Checks'!$D$4:$D$503,_calc!$E$79),"yyyy-mm-dd"),""))</f>
        <v/>
      </c>
      <c r="C77" s="47">
        <f>IF(_calc!$E$79="","",IF(LEN(INDEX('Checks'!$B$4:$B$503,_calc!$E$79))=0,"",INDEX('Checks'!$B$4:$B$503,_calc!$E$79)))</f>
        <v/>
      </c>
      <c r="D77" s="47">
        <f>IF(_calc!$E$79="","",IF(ISNUMBER(INDEX('Checks'!$C$4:$C$503,_calc!$E$79)),TEXT(INDEX('Checks'!$C$4:$C$503,_calc!$E$79),"yyyy-mm-dd"),""))</f>
        <v/>
      </c>
      <c r="E77" s="47">
        <f>IF(_calc!$E$79="","",IF(LEN(INDEX('Checks'!$L$4:$L$503,_calc!$E$79))=0,"",INDEX('Checks'!$L$4:$L$503,_calc!$E$79)))</f>
        <v/>
      </c>
      <c r="F77" s="47">
        <f>IF(_calc!$E$79="","",TRIM(IF(LEN(IF(LEN(INDEX('Checks'!$I$4:$I$503,_calc!$E$79))=0,"",INDEX('Checks'!$I$4:$I$503,_calc!$E$79)))=0,"","Contractor: "&amp;IF(LEN(INDEX('Checks'!$I$4:$I$503,_calc!$E$79))=0,"",INDEX('Checks'!$I$4:$I$503,_calc!$E$79))&amp;". ")&amp;IF(LEN(IF(LEN(INDEX('Checks'!$J$4:$J$503,_calc!$E$79))=0,"",INDEX('Checks'!$J$4:$J$503,_calc!$E$79)))=0,"","Ref: "&amp;IF(LEN(INDEX('Checks'!$J$4:$J$503,_calc!$E$79))=0,"",INDEX('Checks'!$J$4:$J$503,_calc!$E$79))&amp;". ")&amp;IF(LEN(IF(ISNUMBER(INDEX('Checks'!$K$4:$K$503,_calc!$E$79)),TEXT(INDEX('Checks'!$K$4:$K$503,_calc!$E$79),"yyyy-mm-dd"),""))=0,"","Copy to tenant: "&amp;IF(ISNUMBER(INDEX('Checks'!$K$4:$K$503,_calc!$E$79)),TEXT(INDEX('Checks'!$K$4:$K$503,_calc!$E$79),"yyyy-mm-dd"),"")&amp;". ")&amp;IF(LEN(IF(LEN(INDEX('Checks'!$P$4:$P$503,_calc!$E$79))=0,"",INDEX('Checks'!$P$4:$P$503,_calc!$E$79)))=0,"",IF(LEN(INDEX('Checks'!$P$4:$P$503,_calc!$E$79))=0,"",INDEX('Checks'!$P$4:$P$503,_calc!$E$79)))))</f>
        <v/>
      </c>
      <c r="G77" s="47">
        <f>IF(_calc!$E$79="","",IF(LEN(INDEX('Checks'!$N$4:$N$503,_calc!$E$79))=0,"",INDEX('Checks'!$N$4:$N$503,_calc!$E$79)))</f>
        <v/>
      </c>
      <c r="K77" s="47">
        <f>IF(_calc!$E$79="","",IF(LEN(INDEX('Checks'!$M$4:$M$503,_calc!$E$79))=0,"",INDEX('Checks'!$M$4:$M$503,_calc!$E$79)))</f>
        <v/>
      </c>
    </row>
    <row r="78">
      <c r="A78" s="47">
        <f>IF(_calc!$E$80="","",IF(LEN(INDEX('Checks'!$B$4:$B$503,_calc!$E$80))=0,"",INDEX('Checks'!$B$4:$B$503,_calc!$E$80))&amp;" – "&amp;IF(LEN(INDEX('Checks'!$A$4:$A$503,_calc!$E$80))=0,"",INDEX('Checks'!$A$4:$A$503,_calc!$E$80)))</f>
        <v/>
      </c>
      <c r="B78" s="47">
        <f>IF(_calc!$E$80="","",IF(ISNUMBER(INDEX('Checks'!$D$4:$D$503,_calc!$E$80)),TEXT(INDEX('Checks'!$D$4:$D$503,_calc!$E$80),"yyyy-mm-dd"),""))</f>
        <v/>
      </c>
      <c r="C78" s="47">
        <f>IF(_calc!$E$80="","",IF(LEN(INDEX('Checks'!$B$4:$B$503,_calc!$E$80))=0,"",INDEX('Checks'!$B$4:$B$503,_calc!$E$80)))</f>
        <v/>
      </c>
      <c r="D78" s="47">
        <f>IF(_calc!$E$80="","",IF(ISNUMBER(INDEX('Checks'!$C$4:$C$503,_calc!$E$80)),TEXT(INDEX('Checks'!$C$4:$C$503,_calc!$E$80),"yyyy-mm-dd"),""))</f>
        <v/>
      </c>
      <c r="E78" s="47">
        <f>IF(_calc!$E$80="","",IF(LEN(INDEX('Checks'!$L$4:$L$503,_calc!$E$80))=0,"",INDEX('Checks'!$L$4:$L$503,_calc!$E$80)))</f>
        <v/>
      </c>
      <c r="F78" s="47">
        <f>IF(_calc!$E$80="","",TRIM(IF(LEN(IF(LEN(INDEX('Checks'!$I$4:$I$503,_calc!$E$80))=0,"",INDEX('Checks'!$I$4:$I$503,_calc!$E$80)))=0,"","Contractor: "&amp;IF(LEN(INDEX('Checks'!$I$4:$I$503,_calc!$E$80))=0,"",INDEX('Checks'!$I$4:$I$503,_calc!$E$80))&amp;". ")&amp;IF(LEN(IF(LEN(INDEX('Checks'!$J$4:$J$503,_calc!$E$80))=0,"",INDEX('Checks'!$J$4:$J$503,_calc!$E$80)))=0,"","Ref: "&amp;IF(LEN(INDEX('Checks'!$J$4:$J$503,_calc!$E$80))=0,"",INDEX('Checks'!$J$4:$J$503,_calc!$E$80))&amp;". ")&amp;IF(LEN(IF(ISNUMBER(INDEX('Checks'!$K$4:$K$503,_calc!$E$80)),TEXT(INDEX('Checks'!$K$4:$K$503,_calc!$E$80),"yyyy-mm-dd"),""))=0,"","Copy to tenant: "&amp;IF(ISNUMBER(INDEX('Checks'!$K$4:$K$503,_calc!$E$80)),TEXT(INDEX('Checks'!$K$4:$K$503,_calc!$E$80),"yyyy-mm-dd"),"")&amp;". ")&amp;IF(LEN(IF(LEN(INDEX('Checks'!$P$4:$P$503,_calc!$E$80))=0,"",INDEX('Checks'!$P$4:$P$503,_calc!$E$80)))=0,"",IF(LEN(INDEX('Checks'!$P$4:$P$503,_calc!$E$80))=0,"",INDEX('Checks'!$P$4:$P$503,_calc!$E$80)))))</f>
        <v/>
      </c>
      <c r="G78" s="47">
        <f>IF(_calc!$E$80="","",IF(LEN(INDEX('Checks'!$N$4:$N$503,_calc!$E$80))=0,"",INDEX('Checks'!$N$4:$N$503,_calc!$E$80)))</f>
        <v/>
      </c>
      <c r="K78" s="47">
        <f>IF(_calc!$E$80="","",IF(LEN(INDEX('Checks'!$M$4:$M$503,_calc!$E$80))=0,"",INDEX('Checks'!$M$4:$M$503,_calc!$E$80)))</f>
        <v/>
      </c>
    </row>
    <row r="79">
      <c r="A79" s="47">
        <f>IF(_calc!$E$81="","",IF(LEN(INDEX('Checks'!$B$4:$B$503,_calc!$E$81))=0,"",INDEX('Checks'!$B$4:$B$503,_calc!$E$81))&amp;" – "&amp;IF(LEN(INDEX('Checks'!$A$4:$A$503,_calc!$E$81))=0,"",INDEX('Checks'!$A$4:$A$503,_calc!$E$81)))</f>
        <v/>
      </c>
      <c r="B79" s="47">
        <f>IF(_calc!$E$81="","",IF(ISNUMBER(INDEX('Checks'!$D$4:$D$503,_calc!$E$81)),TEXT(INDEX('Checks'!$D$4:$D$503,_calc!$E$81),"yyyy-mm-dd"),""))</f>
        <v/>
      </c>
      <c r="C79" s="47">
        <f>IF(_calc!$E$81="","",IF(LEN(INDEX('Checks'!$B$4:$B$503,_calc!$E$81))=0,"",INDEX('Checks'!$B$4:$B$503,_calc!$E$81)))</f>
        <v/>
      </c>
      <c r="D79" s="47">
        <f>IF(_calc!$E$81="","",IF(ISNUMBER(INDEX('Checks'!$C$4:$C$503,_calc!$E$81)),TEXT(INDEX('Checks'!$C$4:$C$503,_calc!$E$81),"yyyy-mm-dd"),""))</f>
        <v/>
      </c>
      <c r="E79" s="47">
        <f>IF(_calc!$E$81="","",IF(LEN(INDEX('Checks'!$L$4:$L$503,_calc!$E$81))=0,"",INDEX('Checks'!$L$4:$L$503,_calc!$E$81)))</f>
        <v/>
      </c>
      <c r="F79" s="47">
        <f>IF(_calc!$E$81="","",TRIM(IF(LEN(IF(LEN(INDEX('Checks'!$I$4:$I$503,_calc!$E$81))=0,"",INDEX('Checks'!$I$4:$I$503,_calc!$E$81)))=0,"","Contractor: "&amp;IF(LEN(INDEX('Checks'!$I$4:$I$503,_calc!$E$81))=0,"",INDEX('Checks'!$I$4:$I$503,_calc!$E$81))&amp;". ")&amp;IF(LEN(IF(LEN(INDEX('Checks'!$J$4:$J$503,_calc!$E$81))=0,"",INDEX('Checks'!$J$4:$J$503,_calc!$E$81)))=0,"","Ref: "&amp;IF(LEN(INDEX('Checks'!$J$4:$J$503,_calc!$E$81))=0,"",INDEX('Checks'!$J$4:$J$503,_calc!$E$81))&amp;". ")&amp;IF(LEN(IF(ISNUMBER(INDEX('Checks'!$K$4:$K$503,_calc!$E$81)),TEXT(INDEX('Checks'!$K$4:$K$503,_calc!$E$81),"yyyy-mm-dd"),""))=0,"","Copy to tenant: "&amp;IF(ISNUMBER(INDEX('Checks'!$K$4:$K$503,_calc!$E$81)),TEXT(INDEX('Checks'!$K$4:$K$503,_calc!$E$81),"yyyy-mm-dd"),"")&amp;". ")&amp;IF(LEN(IF(LEN(INDEX('Checks'!$P$4:$P$503,_calc!$E$81))=0,"",INDEX('Checks'!$P$4:$P$503,_calc!$E$81)))=0,"",IF(LEN(INDEX('Checks'!$P$4:$P$503,_calc!$E$81))=0,"",INDEX('Checks'!$P$4:$P$503,_calc!$E$81)))))</f>
        <v/>
      </c>
      <c r="G79" s="47">
        <f>IF(_calc!$E$81="","",IF(LEN(INDEX('Checks'!$N$4:$N$503,_calc!$E$81))=0,"",INDEX('Checks'!$N$4:$N$503,_calc!$E$81)))</f>
        <v/>
      </c>
      <c r="K79" s="47">
        <f>IF(_calc!$E$81="","",IF(LEN(INDEX('Checks'!$M$4:$M$503,_calc!$E$81))=0,"",INDEX('Checks'!$M$4:$M$503,_calc!$E$81)))</f>
        <v/>
      </c>
    </row>
    <row r="80">
      <c r="A80" s="47">
        <f>IF(_calc!$E$82="","",IF(LEN(INDEX('Checks'!$B$4:$B$503,_calc!$E$82))=0,"",INDEX('Checks'!$B$4:$B$503,_calc!$E$82))&amp;" – "&amp;IF(LEN(INDEX('Checks'!$A$4:$A$503,_calc!$E$82))=0,"",INDEX('Checks'!$A$4:$A$503,_calc!$E$82)))</f>
        <v/>
      </c>
      <c r="B80" s="47">
        <f>IF(_calc!$E$82="","",IF(ISNUMBER(INDEX('Checks'!$D$4:$D$503,_calc!$E$82)),TEXT(INDEX('Checks'!$D$4:$D$503,_calc!$E$82),"yyyy-mm-dd"),""))</f>
        <v/>
      </c>
      <c r="C80" s="47">
        <f>IF(_calc!$E$82="","",IF(LEN(INDEX('Checks'!$B$4:$B$503,_calc!$E$82))=0,"",INDEX('Checks'!$B$4:$B$503,_calc!$E$82)))</f>
        <v/>
      </c>
      <c r="D80" s="47">
        <f>IF(_calc!$E$82="","",IF(ISNUMBER(INDEX('Checks'!$C$4:$C$503,_calc!$E$82)),TEXT(INDEX('Checks'!$C$4:$C$503,_calc!$E$82),"yyyy-mm-dd"),""))</f>
        <v/>
      </c>
      <c r="E80" s="47">
        <f>IF(_calc!$E$82="","",IF(LEN(INDEX('Checks'!$L$4:$L$503,_calc!$E$82))=0,"",INDEX('Checks'!$L$4:$L$503,_calc!$E$82)))</f>
        <v/>
      </c>
      <c r="F80" s="47">
        <f>IF(_calc!$E$82="","",TRIM(IF(LEN(IF(LEN(INDEX('Checks'!$I$4:$I$503,_calc!$E$82))=0,"",INDEX('Checks'!$I$4:$I$503,_calc!$E$82)))=0,"","Contractor: "&amp;IF(LEN(INDEX('Checks'!$I$4:$I$503,_calc!$E$82))=0,"",INDEX('Checks'!$I$4:$I$503,_calc!$E$82))&amp;". ")&amp;IF(LEN(IF(LEN(INDEX('Checks'!$J$4:$J$503,_calc!$E$82))=0,"",INDEX('Checks'!$J$4:$J$503,_calc!$E$82)))=0,"","Ref: "&amp;IF(LEN(INDEX('Checks'!$J$4:$J$503,_calc!$E$82))=0,"",INDEX('Checks'!$J$4:$J$503,_calc!$E$82))&amp;". ")&amp;IF(LEN(IF(ISNUMBER(INDEX('Checks'!$K$4:$K$503,_calc!$E$82)),TEXT(INDEX('Checks'!$K$4:$K$503,_calc!$E$82),"yyyy-mm-dd"),""))=0,"","Copy to tenant: "&amp;IF(ISNUMBER(INDEX('Checks'!$K$4:$K$503,_calc!$E$82)),TEXT(INDEX('Checks'!$K$4:$K$503,_calc!$E$82),"yyyy-mm-dd"),"")&amp;". ")&amp;IF(LEN(IF(LEN(INDEX('Checks'!$P$4:$P$503,_calc!$E$82))=0,"",INDEX('Checks'!$P$4:$P$503,_calc!$E$82)))=0,"",IF(LEN(INDEX('Checks'!$P$4:$P$503,_calc!$E$82))=0,"",INDEX('Checks'!$P$4:$P$503,_calc!$E$82)))))</f>
        <v/>
      </c>
      <c r="G80" s="47">
        <f>IF(_calc!$E$82="","",IF(LEN(INDEX('Checks'!$N$4:$N$503,_calc!$E$82))=0,"",INDEX('Checks'!$N$4:$N$503,_calc!$E$82)))</f>
        <v/>
      </c>
      <c r="K80" s="47">
        <f>IF(_calc!$E$82="","",IF(LEN(INDEX('Checks'!$M$4:$M$503,_calc!$E$82))=0,"",INDEX('Checks'!$M$4:$M$503,_calc!$E$82)))</f>
        <v/>
      </c>
    </row>
    <row r="81">
      <c r="A81" s="47">
        <f>IF(_calc!$E$83="","",IF(LEN(INDEX('Checks'!$B$4:$B$503,_calc!$E$83))=0,"",INDEX('Checks'!$B$4:$B$503,_calc!$E$83))&amp;" – "&amp;IF(LEN(INDEX('Checks'!$A$4:$A$503,_calc!$E$83))=0,"",INDEX('Checks'!$A$4:$A$503,_calc!$E$83)))</f>
        <v/>
      </c>
      <c r="B81" s="47">
        <f>IF(_calc!$E$83="","",IF(ISNUMBER(INDEX('Checks'!$D$4:$D$503,_calc!$E$83)),TEXT(INDEX('Checks'!$D$4:$D$503,_calc!$E$83),"yyyy-mm-dd"),""))</f>
        <v/>
      </c>
      <c r="C81" s="47">
        <f>IF(_calc!$E$83="","",IF(LEN(INDEX('Checks'!$B$4:$B$503,_calc!$E$83))=0,"",INDEX('Checks'!$B$4:$B$503,_calc!$E$83)))</f>
        <v/>
      </c>
      <c r="D81" s="47">
        <f>IF(_calc!$E$83="","",IF(ISNUMBER(INDEX('Checks'!$C$4:$C$503,_calc!$E$83)),TEXT(INDEX('Checks'!$C$4:$C$503,_calc!$E$83),"yyyy-mm-dd"),""))</f>
        <v/>
      </c>
      <c r="E81" s="47">
        <f>IF(_calc!$E$83="","",IF(LEN(INDEX('Checks'!$L$4:$L$503,_calc!$E$83))=0,"",INDEX('Checks'!$L$4:$L$503,_calc!$E$83)))</f>
        <v/>
      </c>
      <c r="F81" s="47">
        <f>IF(_calc!$E$83="","",TRIM(IF(LEN(IF(LEN(INDEX('Checks'!$I$4:$I$503,_calc!$E$83))=0,"",INDEX('Checks'!$I$4:$I$503,_calc!$E$83)))=0,"","Contractor: "&amp;IF(LEN(INDEX('Checks'!$I$4:$I$503,_calc!$E$83))=0,"",INDEX('Checks'!$I$4:$I$503,_calc!$E$83))&amp;". ")&amp;IF(LEN(IF(LEN(INDEX('Checks'!$J$4:$J$503,_calc!$E$83))=0,"",INDEX('Checks'!$J$4:$J$503,_calc!$E$83)))=0,"","Ref: "&amp;IF(LEN(INDEX('Checks'!$J$4:$J$503,_calc!$E$83))=0,"",INDEX('Checks'!$J$4:$J$503,_calc!$E$83))&amp;". ")&amp;IF(LEN(IF(ISNUMBER(INDEX('Checks'!$K$4:$K$503,_calc!$E$83)),TEXT(INDEX('Checks'!$K$4:$K$503,_calc!$E$83),"yyyy-mm-dd"),""))=0,"","Copy to tenant: "&amp;IF(ISNUMBER(INDEX('Checks'!$K$4:$K$503,_calc!$E$83)),TEXT(INDEX('Checks'!$K$4:$K$503,_calc!$E$83),"yyyy-mm-dd"),"")&amp;". ")&amp;IF(LEN(IF(LEN(INDEX('Checks'!$P$4:$P$503,_calc!$E$83))=0,"",INDEX('Checks'!$P$4:$P$503,_calc!$E$83)))=0,"",IF(LEN(INDEX('Checks'!$P$4:$P$503,_calc!$E$83))=0,"",INDEX('Checks'!$P$4:$P$503,_calc!$E$83)))))</f>
        <v/>
      </c>
      <c r="G81" s="47">
        <f>IF(_calc!$E$83="","",IF(LEN(INDEX('Checks'!$N$4:$N$503,_calc!$E$83))=0,"",INDEX('Checks'!$N$4:$N$503,_calc!$E$83)))</f>
        <v/>
      </c>
      <c r="K81" s="47">
        <f>IF(_calc!$E$83="","",IF(LEN(INDEX('Checks'!$M$4:$M$503,_calc!$E$83))=0,"",INDEX('Checks'!$M$4:$M$503,_calc!$E$83)))</f>
        <v/>
      </c>
    </row>
    <row r="82">
      <c r="A82" s="47">
        <f>IF(_calc!$E$84="","",IF(LEN(INDEX('Checks'!$B$4:$B$503,_calc!$E$84))=0,"",INDEX('Checks'!$B$4:$B$503,_calc!$E$84))&amp;" – "&amp;IF(LEN(INDEX('Checks'!$A$4:$A$503,_calc!$E$84))=0,"",INDEX('Checks'!$A$4:$A$503,_calc!$E$84)))</f>
        <v/>
      </c>
      <c r="B82" s="47">
        <f>IF(_calc!$E$84="","",IF(ISNUMBER(INDEX('Checks'!$D$4:$D$503,_calc!$E$84)),TEXT(INDEX('Checks'!$D$4:$D$503,_calc!$E$84),"yyyy-mm-dd"),""))</f>
        <v/>
      </c>
      <c r="C82" s="47">
        <f>IF(_calc!$E$84="","",IF(LEN(INDEX('Checks'!$B$4:$B$503,_calc!$E$84))=0,"",INDEX('Checks'!$B$4:$B$503,_calc!$E$84)))</f>
        <v/>
      </c>
      <c r="D82" s="47">
        <f>IF(_calc!$E$84="","",IF(ISNUMBER(INDEX('Checks'!$C$4:$C$503,_calc!$E$84)),TEXT(INDEX('Checks'!$C$4:$C$503,_calc!$E$84),"yyyy-mm-dd"),""))</f>
        <v/>
      </c>
      <c r="E82" s="47">
        <f>IF(_calc!$E$84="","",IF(LEN(INDEX('Checks'!$L$4:$L$503,_calc!$E$84))=0,"",INDEX('Checks'!$L$4:$L$503,_calc!$E$84)))</f>
        <v/>
      </c>
      <c r="F82" s="47">
        <f>IF(_calc!$E$84="","",TRIM(IF(LEN(IF(LEN(INDEX('Checks'!$I$4:$I$503,_calc!$E$84))=0,"",INDEX('Checks'!$I$4:$I$503,_calc!$E$84)))=0,"","Contractor: "&amp;IF(LEN(INDEX('Checks'!$I$4:$I$503,_calc!$E$84))=0,"",INDEX('Checks'!$I$4:$I$503,_calc!$E$84))&amp;". ")&amp;IF(LEN(IF(LEN(INDEX('Checks'!$J$4:$J$503,_calc!$E$84))=0,"",INDEX('Checks'!$J$4:$J$503,_calc!$E$84)))=0,"","Ref: "&amp;IF(LEN(INDEX('Checks'!$J$4:$J$503,_calc!$E$84))=0,"",INDEX('Checks'!$J$4:$J$503,_calc!$E$84))&amp;". ")&amp;IF(LEN(IF(ISNUMBER(INDEX('Checks'!$K$4:$K$503,_calc!$E$84)),TEXT(INDEX('Checks'!$K$4:$K$503,_calc!$E$84),"yyyy-mm-dd"),""))=0,"","Copy to tenant: "&amp;IF(ISNUMBER(INDEX('Checks'!$K$4:$K$503,_calc!$E$84)),TEXT(INDEX('Checks'!$K$4:$K$503,_calc!$E$84),"yyyy-mm-dd"),"")&amp;". ")&amp;IF(LEN(IF(LEN(INDEX('Checks'!$P$4:$P$503,_calc!$E$84))=0,"",INDEX('Checks'!$P$4:$P$503,_calc!$E$84)))=0,"",IF(LEN(INDEX('Checks'!$P$4:$P$503,_calc!$E$84))=0,"",INDEX('Checks'!$P$4:$P$503,_calc!$E$84)))))</f>
        <v/>
      </c>
      <c r="G82" s="47">
        <f>IF(_calc!$E$84="","",IF(LEN(INDEX('Checks'!$N$4:$N$503,_calc!$E$84))=0,"",INDEX('Checks'!$N$4:$N$503,_calc!$E$84)))</f>
        <v/>
      </c>
      <c r="K82" s="47">
        <f>IF(_calc!$E$84="","",IF(LEN(INDEX('Checks'!$M$4:$M$503,_calc!$E$84))=0,"",INDEX('Checks'!$M$4:$M$503,_calc!$E$84)))</f>
        <v/>
      </c>
    </row>
    <row r="83">
      <c r="A83" s="47">
        <f>IF(_calc!$E$85="","",IF(LEN(INDEX('Checks'!$B$4:$B$503,_calc!$E$85))=0,"",INDEX('Checks'!$B$4:$B$503,_calc!$E$85))&amp;" – "&amp;IF(LEN(INDEX('Checks'!$A$4:$A$503,_calc!$E$85))=0,"",INDEX('Checks'!$A$4:$A$503,_calc!$E$85)))</f>
        <v/>
      </c>
      <c r="B83" s="47">
        <f>IF(_calc!$E$85="","",IF(ISNUMBER(INDEX('Checks'!$D$4:$D$503,_calc!$E$85)),TEXT(INDEX('Checks'!$D$4:$D$503,_calc!$E$85),"yyyy-mm-dd"),""))</f>
        <v/>
      </c>
      <c r="C83" s="47">
        <f>IF(_calc!$E$85="","",IF(LEN(INDEX('Checks'!$B$4:$B$503,_calc!$E$85))=0,"",INDEX('Checks'!$B$4:$B$503,_calc!$E$85)))</f>
        <v/>
      </c>
      <c r="D83" s="47">
        <f>IF(_calc!$E$85="","",IF(ISNUMBER(INDEX('Checks'!$C$4:$C$503,_calc!$E$85)),TEXT(INDEX('Checks'!$C$4:$C$503,_calc!$E$85),"yyyy-mm-dd"),""))</f>
        <v/>
      </c>
      <c r="E83" s="47">
        <f>IF(_calc!$E$85="","",IF(LEN(INDEX('Checks'!$L$4:$L$503,_calc!$E$85))=0,"",INDEX('Checks'!$L$4:$L$503,_calc!$E$85)))</f>
        <v/>
      </c>
      <c r="F83" s="47">
        <f>IF(_calc!$E$85="","",TRIM(IF(LEN(IF(LEN(INDEX('Checks'!$I$4:$I$503,_calc!$E$85))=0,"",INDEX('Checks'!$I$4:$I$503,_calc!$E$85)))=0,"","Contractor: "&amp;IF(LEN(INDEX('Checks'!$I$4:$I$503,_calc!$E$85))=0,"",INDEX('Checks'!$I$4:$I$503,_calc!$E$85))&amp;". ")&amp;IF(LEN(IF(LEN(INDEX('Checks'!$J$4:$J$503,_calc!$E$85))=0,"",INDEX('Checks'!$J$4:$J$503,_calc!$E$85)))=0,"","Ref: "&amp;IF(LEN(INDEX('Checks'!$J$4:$J$503,_calc!$E$85))=0,"",INDEX('Checks'!$J$4:$J$503,_calc!$E$85))&amp;". ")&amp;IF(LEN(IF(ISNUMBER(INDEX('Checks'!$K$4:$K$503,_calc!$E$85)),TEXT(INDEX('Checks'!$K$4:$K$503,_calc!$E$85),"yyyy-mm-dd"),""))=0,"","Copy to tenant: "&amp;IF(ISNUMBER(INDEX('Checks'!$K$4:$K$503,_calc!$E$85)),TEXT(INDEX('Checks'!$K$4:$K$503,_calc!$E$85),"yyyy-mm-dd"),"")&amp;". ")&amp;IF(LEN(IF(LEN(INDEX('Checks'!$P$4:$P$503,_calc!$E$85))=0,"",INDEX('Checks'!$P$4:$P$503,_calc!$E$85)))=0,"",IF(LEN(INDEX('Checks'!$P$4:$P$503,_calc!$E$85))=0,"",INDEX('Checks'!$P$4:$P$503,_calc!$E$85)))))</f>
        <v/>
      </c>
      <c r="G83" s="47">
        <f>IF(_calc!$E$85="","",IF(LEN(INDEX('Checks'!$N$4:$N$503,_calc!$E$85))=0,"",INDEX('Checks'!$N$4:$N$503,_calc!$E$85)))</f>
        <v/>
      </c>
      <c r="K83" s="47">
        <f>IF(_calc!$E$85="","",IF(LEN(INDEX('Checks'!$M$4:$M$503,_calc!$E$85))=0,"",INDEX('Checks'!$M$4:$M$503,_calc!$E$85)))</f>
        <v/>
      </c>
    </row>
    <row r="84">
      <c r="A84" s="47">
        <f>IF(_calc!$E$86="","",IF(LEN(INDEX('Checks'!$B$4:$B$503,_calc!$E$86))=0,"",INDEX('Checks'!$B$4:$B$503,_calc!$E$86))&amp;" – "&amp;IF(LEN(INDEX('Checks'!$A$4:$A$503,_calc!$E$86))=0,"",INDEX('Checks'!$A$4:$A$503,_calc!$E$86)))</f>
        <v/>
      </c>
      <c r="B84" s="47">
        <f>IF(_calc!$E$86="","",IF(ISNUMBER(INDEX('Checks'!$D$4:$D$503,_calc!$E$86)),TEXT(INDEX('Checks'!$D$4:$D$503,_calc!$E$86),"yyyy-mm-dd"),""))</f>
        <v/>
      </c>
      <c r="C84" s="47">
        <f>IF(_calc!$E$86="","",IF(LEN(INDEX('Checks'!$B$4:$B$503,_calc!$E$86))=0,"",INDEX('Checks'!$B$4:$B$503,_calc!$E$86)))</f>
        <v/>
      </c>
      <c r="D84" s="47">
        <f>IF(_calc!$E$86="","",IF(ISNUMBER(INDEX('Checks'!$C$4:$C$503,_calc!$E$86)),TEXT(INDEX('Checks'!$C$4:$C$503,_calc!$E$86),"yyyy-mm-dd"),""))</f>
        <v/>
      </c>
      <c r="E84" s="47">
        <f>IF(_calc!$E$86="","",IF(LEN(INDEX('Checks'!$L$4:$L$503,_calc!$E$86))=0,"",INDEX('Checks'!$L$4:$L$503,_calc!$E$86)))</f>
        <v/>
      </c>
      <c r="F84" s="47">
        <f>IF(_calc!$E$86="","",TRIM(IF(LEN(IF(LEN(INDEX('Checks'!$I$4:$I$503,_calc!$E$86))=0,"",INDEX('Checks'!$I$4:$I$503,_calc!$E$86)))=0,"","Contractor: "&amp;IF(LEN(INDEX('Checks'!$I$4:$I$503,_calc!$E$86))=0,"",INDEX('Checks'!$I$4:$I$503,_calc!$E$86))&amp;". ")&amp;IF(LEN(IF(LEN(INDEX('Checks'!$J$4:$J$503,_calc!$E$86))=0,"",INDEX('Checks'!$J$4:$J$503,_calc!$E$86)))=0,"","Ref: "&amp;IF(LEN(INDEX('Checks'!$J$4:$J$503,_calc!$E$86))=0,"",INDEX('Checks'!$J$4:$J$503,_calc!$E$86))&amp;". ")&amp;IF(LEN(IF(ISNUMBER(INDEX('Checks'!$K$4:$K$503,_calc!$E$86)),TEXT(INDEX('Checks'!$K$4:$K$503,_calc!$E$86),"yyyy-mm-dd"),""))=0,"","Copy to tenant: "&amp;IF(ISNUMBER(INDEX('Checks'!$K$4:$K$503,_calc!$E$86)),TEXT(INDEX('Checks'!$K$4:$K$503,_calc!$E$86),"yyyy-mm-dd"),"")&amp;". ")&amp;IF(LEN(IF(LEN(INDEX('Checks'!$P$4:$P$503,_calc!$E$86))=0,"",INDEX('Checks'!$P$4:$P$503,_calc!$E$86)))=0,"",IF(LEN(INDEX('Checks'!$P$4:$P$503,_calc!$E$86))=0,"",INDEX('Checks'!$P$4:$P$503,_calc!$E$86)))))</f>
        <v/>
      </c>
      <c r="G84" s="47">
        <f>IF(_calc!$E$86="","",IF(LEN(INDEX('Checks'!$N$4:$N$503,_calc!$E$86))=0,"",INDEX('Checks'!$N$4:$N$503,_calc!$E$86)))</f>
        <v/>
      </c>
      <c r="K84" s="47">
        <f>IF(_calc!$E$86="","",IF(LEN(INDEX('Checks'!$M$4:$M$503,_calc!$E$86))=0,"",INDEX('Checks'!$M$4:$M$503,_calc!$E$86)))</f>
        <v/>
      </c>
    </row>
    <row r="85">
      <c r="A85" s="47">
        <f>IF(_calc!$E$87="","",IF(LEN(INDEX('Checks'!$B$4:$B$503,_calc!$E$87))=0,"",INDEX('Checks'!$B$4:$B$503,_calc!$E$87))&amp;" – "&amp;IF(LEN(INDEX('Checks'!$A$4:$A$503,_calc!$E$87))=0,"",INDEX('Checks'!$A$4:$A$503,_calc!$E$87)))</f>
        <v/>
      </c>
      <c r="B85" s="47">
        <f>IF(_calc!$E$87="","",IF(ISNUMBER(INDEX('Checks'!$D$4:$D$503,_calc!$E$87)),TEXT(INDEX('Checks'!$D$4:$D$503,_calc!$E$87),"yyyy-mm-dd"),""))</f>
        <v/>
      </c>
      <c r="C85" s="47">
        <f>IF(_calc!$E$87="","",IF(LEN(INDEX('Checks'!$B$4:$B$503,_calc!$E$87))=0,"",INDEX('Checks'!$B$4:$B$503,_calc!$E$87)))</f>
        <v/>
      </c>
      <c r="D85" s="47">
        <f>IF(_calc!$E$87="","",IF(ISNUMBER(INDEX('Checks'!$C$4:$C$503,_calc!$E$87)),TEXT(INDEX('Checks'!$C$4:$C$503,_calc!$E$87),"yyyy-mm-dd"),""))</f>
        <v/>
      </c>
      <c r="E85" s="47">
        <f>IF(_calc!$E$87="","",IF(LEN(INDEX('Checks'!$L$4:$L$503,_calc!$E$87))=0,"",INDEX('Checks'!$L$4:$L$503,_calc!$E$87)))</f>
        <v/>
      </c>
      <c r="F85" s="47">
        <f>IF(_calc!$E$87="","",TRIM(IF(LEN(IF(LEN(INDEX('Checks'!$I$4:$I$503,_calc!$E$87))=0,"",INDEX('Checks'!$I$4:$I$503,_calc!$E$87)))=0,"","Contractor: "&amp;IF(LEN(INDEX('Checks'!$I$4:$I$503,_calc!$E$87))=0,"",INDEX('Checks'!$I$4:$I$503,_calc!$E$87))&amp;". ")&amp;IF(LEN(IF(LEN(INDEX('Checks'!$J$4:$J$503,_calc!$E$87))=0,"",INDEX('Checks'!$J$4:$J$503,_calc!$E$87)))=0,"","Ref: "&amp;IF(LEN(INDEX('Checks'!$J$4:$J$503,_calc!$E$87))=0,"",INDEX('Checks'!$J$4:$J$503,_calc!$E$87))&amp;". ")&amp;IF(LEN(IF(ISNUMBER(INDEX('Checks'!$K$4:$K$503,_calc!$E$87)),TEXT(INDEX('Checks'!$K$4:$K$503,_calc!$E$87),"yyyy-mm-dd"),""))=0,"","Copy to tenant: "&amp;IF(ISNUMBER(INDEX('Checks'!$K$4:$K$503,_calc!$E$87)),TEXT(INDEX('Checks'!$K$4:$K$503,_calc!$E$87),"yyyy-mm-dd"),"")&amp;". ")&amp;IF(LEN(IF(LEN(INDEX('Checks'!$P$4:$P$503,_calc!$E$87))=0,"",INDEX('Checks'!$P$4:$P$503,_calc!$E$87)))=0,"",IF(LEN(INDEX('Checks'!$P$4:$P$503,_calc!$E$87))=0,"",INDEX('Checks'!$P$4:$P$503,_calc!$E$87)))))</f>
        <v/>
      </c>
      <c r="G85" s="47">
        <f>IF(_calc!$E$87="","",IF(LEN(INDEX('Checks'!$N$4:$N$503,_calc!$E$87))=0,"",INDEX('Checks'!$N$4:$N$503,_calc!$E$87)))</f>
        <v/>
      </c>
      <c r="K85" s="47">
        <f>IF(_calc!$E$87="","",IF(LEN(INDEX('Checks'!$M$4:$M$503,_calc!$E$87))=0,"",INDEX('Checks'!$M$4:$M$503,_calc!$E$87)))</f>
        <v/>
      </c>
    </row>
    <row r="86">
      <c r="A86" s="47">
        <f>IF(_calc!$E$88="","",IF(LEN(INDEX('Checks'!$B$4:$B$503,_calc!$E$88))=0,"",INDEX('Checks'!$B$4:$B$503,_calc!$E$88))&amp;" – "&amp;IF(LEN(INDEX('Checks'!$A$4:$A$503,_calc!$E$88))=0,"",INDEX('Checks'!$A$4:$A$503,_calc!$E$88)))</f>
        <v/>
      </c>
      <c r="B86" s="47">
        <f>IF(_calc!$E$88="","",IF(ISNUMBER(INDEX('Checks'!$D$4:$D$503,_calc!$E$88)),TEXT(INDEX('Checks'!$D$4:$D$503,_calc!$E$88),"yyyy-mm-dd"),""))</f>
        <v/>
      </c>
      <c r="C86" s="47">
        <f>IF(_calc!$E$88="","",IF(LEN(INDEX('Checks'!$B$4:$B$503,_calc!$E$88))=0,"",INDEX('Checks'!$B$4:$B$503,_calc!$E$88)))</f>
        <v/>
      </c>
      <c r="D86" s="47">
        <f>IF(_calc!$E$88="","",IF(ISNUMBER(INDEX('Checks'!$C$4:$C$503,_calc!$E$88)),TEXT(INDEX('Checks'!$C$4:$C$503,_calc!$E$88),"yyyy-mm-dd"),""))</f>
        <v/>
      </c>
      <c r="E86" s="47">
        <f>IF(_calc!$E$88="","",IF(LEN(INDEX('Checks'!$L$4:$L$503,_calc!$E$88))=0,"",INDEX('Checks'!$L$4:$L$503,_calc!$E$88)))</f>
        <v/>
      </c>
      <c r="F86" s="47">
        <f>IF(_calc!$E$88="","",TRIM(IF(LEN(IF(LEN(INDEX('Checks'!$I$4:$I$503,_calc!$E$88))=0,"",INDEX('Checks'!$I$4:$I$503,_calc!$E$88)))=0,"","Contractor: "&amp;IF(LEN(INDEX('Checks'!$I$4:$I$503,_calc!$E$88))=0,"",INDEX('Checks'!$I$4:$I$503,_calc!$E$88))&amp;". ")&amp;IF(LEN(IF(LEN(INDEX('Checks'!$J$4:$J$503,_calc!$E$88))=0,"",INDEX('Checks'!$J$4:$J$503,_calc!$E$88)))=0,"","Ref: "&amp;IF(LEN(INDEX('Checks'!$J$4:$J$503,_calc!$E$88))=0,"",INDEX('Checks'!$J$4:$J$503,_calc!$E$88))&amp;". ")&amp;IF(LEN(IF(ISNUMBER(INDEX('Checks'!$K$4:$K$503,_calc!$E$88)),TEXT(INDEX('Checks'!$K$4:$K$503,_calc!$E$88),"yyyy-mm-dd"),""))=0,"","Copy to tenant: "&amp;IF(ISNUMBER(INDEX('Checks'!$K$4:$K$503,_calc!$E$88)),TEXT(INDEX('Checks'!$K$4:$K$503,_calc!$E$88),"yyyy-mm-dd"),"")&amp;". ")&amp;IF(LEN(IF(LEN(INDEX('Checks'!$P$4:$P$503,_calc!$E$88))=0,"",INDEX('Checks'!$P$4:$P$503,_calc!$E$88)))=0,"",IF(LEN(INDEX('Checks'!$P$4:$P$503,_calc!$E$88))=0,"",INDEX('Checks'!$P$4:$P$503,_calc!$E$88)))))</f>
        <v/>
      </c>
      <c r="G86" s="47">
        <f>IF(_calc!$E$88="","",IF(LEN(INDEX('Checks'!$N$4:$N$503,_calc!$E$88))=0,"",INDEX('Checks'!$N$4:$N$503,_calc!$E$88)))</f>
        <v/>
      </c>
      <c r="K86" s="47">
        <f>IF(_calc!$E$88="","",IF(LEN(INDEX('Checks'!$M$4:$M$503,_calc!$E$88))=0,"",INDEX('Checks'!$M$4:$M$503,_calc!$E$88)))</f>
        <v/>
      </c>
    </row>
    <row r="87">
      <c r="A87" s="47">
        <f>IF(_calc!$E$89="","",IF(LEN(INDEX('Checks'!$B$4:$B$503,_calc!$E$89))=0,"",INDEX('Checks'!$B$4:$B$503,_calc!$E$89))&amp;" – "&amp;IF(LEN(INDEX('Checks'!$A$4:$A$503,_calc!$E$89))=0,"",INDEX('Checks'!$A$4:$A$503,_calc!$E$89)))</f>
        <v/>
      </c>
      <c r="B87" s="47">
        <f>IF(_calc!$E$89="","",IF(ISNUMBER(INDEX('Checks'!$D$4:$D$503,_calc!$E$89)),TEXT(INDEX('Checks'!$D$4:$D$503,_calc!$E$89),"yyyy-mm-dd"),""))</f>
        <v/>
      </c>
      <c r="C87" s="47">
        <f>IF(_calc!$E$89="","",IF(LEN(INDEX('Checks'!$B$4:$B$503,_calc!$E$89))=0,"",INDEX('Checks'!$B$4:$B$503,_calc!$E$89)))</f>
        <v/>
      </c>
      <c r="D87" s="47">
        <f>IF(_calc!$E$89="","",IF(ISNUMBER(INDEX('Checks'!$C$4:$C$503,_calc!$E$89)),TEXT(INDEX('Checks'!$C$4:$C$503,_calc!$E$89),"yyyy-mm-dd"),""))</f>
        <v/>
      </c>
      <c r="E87" s="47">
        <f>IF(_calc!$E$89="","",IF(LEN(INDEX('Checks'!$L$4:$L$503,_calc!$E$89))=0,"",INDEX('Checks'!$L$4:$L$503,_calc!$E$89)))</f>
        <v/>
      </c>
      <c r="F87" s="47">
        <f>IF(_calc!$E$89="","",TRIM(IF(LEN(IF(LEN(INDEX('Checks'!$I$4:$I$503,_calc!$E$89))=0,"",INDEX('Checks'!$I$4:$I$503,_calc!$E$89)))=0,"","Contractor: "&amp;IF(LEN(INDEX('Checks'!$I$4:$I$503,_calc!$E$89))=0,"",INDEX('Checks'!$I$4:$I$503,_calc!$E$89))&amp;". ")&amp;IF(LEN(IF(LEN(INDEX('Checks'!$J$4:$J$503,_calc!$E$89))=0,"",INDEX('Checks'!$J$4:$J$503,_calc!$E$89)))=0,"","Ref: "&amp;IF(LEN(INDEX('Checks'!$J$4:$J$503,_calc!$E$89))=0,"",INDEX('Checks'!$J$4:$J$503,_calc!$E$89))&amp;". ")&amp;IF(LEN(IF(ISNUMBER(INDEX('Checks'!$K$4:$K$503,_calc!$E$89)),TEXT(INDEX('Checks'!$K$4:$K$503,_calc!$E$89),"yyyy-mm-dd"),""))=0,"","Copy to tenant: "&amp;IF(ISNUMBER(INDEX('Checks'!$K$4:$K$503,_calc!$E$89)),TEXT(INDEX('Checks'!$K$4:$K$503,_calc!$E$89),"yyyy-mm-dd"),"")&amp;". ")&amp;IF(LEN(IF(LEN(INDEX('Checks'!$P$4:$P$503,_calc!$E$89))=0,"",INDEX('Checks'!$P$4:$P$503,_calc!$E$89)))=0,"",IF(LEN(INDEX('Checks'!$P$4:$P$503,_calc!$E$89))=0,"",INDEX('Checks'!$P$4:$P$503,_calc!$E$89)))))</f>
        <v/>
      </c>
      <c r="G87" s="47">
        <f>IF(_calc!$E$89="","",IF(LEN(INDEX('Checks'!$N$4:$N$503,_calc!$E$89))=0,"",INDEX('Checks'!$N$4:$N$503,_calc!$E$89)))</f>
        <v/>
      </c>
      <c r="K87" s="47">
        <f>IF(_calc!$E$89="","",IF(LEN(INDEX('Checks'!$M$4:$M$503,_calc!$E$89))=0,"",INDEX('Checks'!$M$4:$M$503,_calc!$E$89)))</f>
        <v/>
      </c>
    </row>
    <row r="88">
      <c r="A88" s="47">
        <f>IF(_calc!$E$90="","",IF(LEN(INDEX('Checks'!$B$4:$B$503,_calc!$E$90))=0,"",INDEX('Checks'!$B$4:$B$503,_calc!$E$90))&amp;" – "&amp;IF(LEN(INDEX('Checks'!$A$4:$A$503,_calc!$E$90))=0,"",INDEX('Checks'!$A$4:$A$503,_calc!$E$90)))</f>
        <v/>
      </c>
      <c r="B88" s="47">
        <f>IF(_calc!$E$90="","",IF(ISNUMBER(INDEX('Checks'!$D$4:$D$503,_calc!$E$90)),TEXT(INDEX('Checks'!$D$4:$D$503,_calc!$E$90),"yyyy-mm-dd"),""))</f>
        <v/>
      </c>
      <c r="C88" s="47">
        <f>IF(_calc!$E$90="","",IF(LEN(INDEX('Checks'!$B$4:$B$503,_calc!$E$90))=0,"",INDEX('Checks'!$B$4:$B$503,_calc!$E$90)))</f>
        <v/>
      </c>
      <c r="D88" s="47">
        <f>IF(_calc!$E$90="","",IF(ISNUMBER(INDEX('Checks'!$C$4:$C$503,_calc!$E$90)),TEXT(INDEX('Checks'!$C$4:$C$503,_calc!$E$90),"yyyy-mm-dd"),""))</f>
        <v/>
      </c>
      <c r="E88" s="47">
        <f>IF(_calc!$E$90="","",IF(LEN(INDEX('Checks'!$L$4:$L$503,_calc!$E$90))=0,"",INDEX('Checks'!$L$4:$L$503,_calc!$E$90)))</f>
        <v/>
      </c>
      <c r="F88" s="47">
        <f>IF(_calc!$E$90="","",TRIM(IF(LEN(IF(LEN(INDEX('Checks'!$I$4:$I$503,_calc!$E$90))=0,"",INDEX('Checks'!$I$4:$I$503,_calc!$E$90)))=0,"","Contractor: "&amp;IF(LEN(INDEX('Checks'!$I$4:$I$503,_calc!$E$90))=0,"",INDEX('Checks'!$I$4:$I$503,_calc!$E$90))&amp;". ")&amp;IF(LEN(IF(LEN(INDEX('Checks'!$J$4:$J$503,_calc!$E$90))=0,"",INDEX('Checks'!$J$4:$J$503,_calc!$E$90)))=0,"","Ref: "&amp;IF(LEN(INDEX('Checks'!$J$4:$J$503,_calc!$E$90))=0,"",INDEX('Checks'!$J$4:$J$503,_calc!$E$90))&amp;". ")&amp;IF(LEN(IF(ISNUMBER(INDEX('Checks'!$K$4:$K$503,_calc!$E$90)),TEXT(INDEX('Checks'!$K$4:$K$503,_calc!$E$90),"yyyy-mm-dd"),""))=0,"","Copy to tenant: "&amp;IF(ISNUMBER(INDEX('Checks'!$K$4:$K$503,_calc!$E$90)),TEXT(INDEX('Checks'!$K$4:$K$503,_calc!$E$90),"yyyy-mm-dd"),"")&amp;". ")&amp;IF(LEN(IF(LEN(INDEX('Checks'!$P$4:$P$503,_calc!$E$90))=0,"",INDEX('Checks'!$P$4:$P$503,_calc!$E$90)))=0,"",IF(LEN(INDEX('Checks'!$P$4:$P$503,_calc!$E$90))=0,"",INDEX('Checks'!$P$4:$P$503,_calc!$E$90)))))</f>
        <v/>
      </c>
      <c r="G88" s="47">
        <f>IF(_calc!$E$90="","",IF(LEN(INDEX('Checks'!$N$4:$N$503,_calc!$E$90))=0,"",INDEX('Checks'!$N$4:$N$503,_calc!$E$90)))</f>
        <v/>
      </c>
      <c r="K88" s="47">
        <f>IF(_calc!$E$90="","",IF(LEN(INDEX('Checks'!$M$4:$M$503,_calc!$E$90))=0,"",INDEX('Checks'!$M$4:$M$503,_calc!$E$90)))</f>
        <v/>
      </c>
    </row>
    <row r="89">
      <c r="A89" s="47">
        <f>IF(_calc!$E$91="","",IF(LEN(INDEX('Checks'!$B$4:$B$503,_calc!$E$91))=0,"",INDEX('Checks'!$B$4:$B$503,_calc!$E$91))&amp;" – "&amp;IF(LEN(INDEX('Checks'!$A$4:$A$503,_calc!$E$91))=0,"",INDEX('Checks'!$A$4:$A$503,_calc!$E$91)))</f>
        <v/>
      </c>
      <c r="B89" s="47">
        <f>IF(_calc!$E$91="","",IF(ISNUMBER(INDEX('Checks'!$D$4:$D$503,_calc!$E$91)),TEXT(INDEX('Checks'!$D$4:$D$503,_calc!$E$91),"yyyy-mm-dd"),""))</f>
        <v/>
      </c>
      <c r="C89" s="47">
        <f>IF(_calc!$E$91="","",IF(LEN(INDEX('Checks'!$B$4:$B$503,_calc!$E$91))=0,"",INDEX('Checks'!$B$4:$B$503,_calc!$E$91)))</f>
        <v/>
      </c>
      <c r="D89" s="47">
        <f>IF(_calc!$E$91="","",IF(ISNUMBER(INDEX('Checks'!$C$4:$C$503,_calc!$E$91)),TEXT(INDEX('Checks'!$C$4:$C$503,_calc!$E$91),"yyyy-mm-dd"),""))</f>
        <v/>
      </c>
      <c r="E89" s="47">
        <f>IF(_calc!$E$91="","",IF(LEN(INDEX('Checks'!$L$4:$L$503,_calc!$E$91))=0,"",INDEX('Checks'!$L$4:$L$503,_calc!$E$91)))</f>
        <v/>
      </c>
      <c r="F89" s="47">
        <f>IF(_calc!$E$91="","",TRIM(IF(LEN(IF(LEN(INDEX('Checks'!$I$4:$I$503,_calc!$E$91))=0,"",INDEX('Checks'!$I$4:$I$503,_calc!$E$91)))=0,"","Contractor: "&amp;IF(LEN(INDEX('Checks'!$I$4:$I$503,_calc!$E$91))=0,"",INDEX('Checks'!$I$4:$I$503,_calc!$E$91))&amp;". ")&amp;IF(LEN(IF(LEN(INDEX('Checks'!$J$4:$J$503,_calc!$E$91))=0,"",INDEX('Checks'!$J$4:$J$503,_calc!$E$91)))=0,"","Ref: "&amp;IF(LEN(INDEX('Checks'!$J$4:$J$503,_calc!$E$91))=0,"",INDEX('Checks'!$J$4:$J$503,_calc!$E$91))&amp;". ")&amp;IF(LEN(IF(ISNUMBER(INDEX('Checks'!$K$4:$K$503,_calc!$E$91)),TEXT(INDEX('Checks'!$K$4:$K$503,_calc!$E$91),"yyyy-mm-dd"),""))=0,"","Copy to tenant: "&amp;IF(ISNUMBER(INDEX('Checks'!$K$4:$K$503,_calc!$E$91)),TEXT(INDEX('Checks'!$K$4:$K$503,_calc!$E$91),"yyyy-mm-dd"),"")&amp;". ")&amp;IF(LEN(IF(LEN(INDEX('Checks'!$P$4:$P$503,_calc!$E$91))=0,"",INDEX('Checks'!$P$4:$P$503,_calc!$E$91)))=0,"",IF(LEN(INDEX('Checks'!$P$4:$P$503,_calc!$E$91))=0,"",INDEX('Checks'!$P$4:$P$503,_calc!$E$91)))))</f>
        <v/>
      </c>
      <c r="G89" s="47">
        <f>IF(_calc!$E$91="","",IF(LEN(INDEX('Checks'!$N$4:$N$503,_calc!$E$91))=0,"",INDEX('Checks'!$N$4:$N$503,_calc!$E$91)))</f>
        <v/>
      </c>
      <c r="K89" s="47">
        <f>IF(_calc!$E$91="","",IF(LEN(INDEX('Checks'!$M$4:$M$503,_calc!$E$91))=0,"",INDEX('Checks'!$M$4:$M$503,_calc!$E$91)))</f>
        <v/>
      </c>
    </row>
    <row r="90">
      <c r="A90" s="47">
        <f>IF(_calc!$E$92="","",IF(LEN(INDEX('Checks'!$B$4:$B$503,_calc!$E$92))=0,"",INDEX('Checks'!$B$4:$B$503,_calc!$E$92))&amp;" – "&amp;IF(LEN(INDEX('Checks'!$A$4:$A$503,_calc!$E$92))=0,"",INDEX('Checks'!$A$4:$A$503,_calc!$E$92)))</f>
        <v/>
      </c>
      <c r="B90" s="47">
        <f>IF(_calc!$E$92="","",IF(ISNUMBER(INDEX('Checks'!$D$4:$D$503,_calc!$E$92)),TEXT(INDEX('Checks'!$D$4:$D$503,_calc!$E$92),"yyyy-mm-dd"),""))</f>
        <v/>
      </c>
      <c r="C90" s="47">
        <f>IF(_calc!$E$92="","",IF(LEN(INDEX('Checks'!$B$4:$B$503,_calc!$E$92))=0,"",INDEX('Checks'!$B$4:$B$503,_calc!$E$92)))</f>
        <v/>
      </c>
      <c r="D90" s="47">
        <f>IF(_calc!$E$92="","",IF(ISNUMBER(INDEX('Checks'!$C$4:$C$503,_calc!$E$92)),TEXT(INDEX('Checks'!$C$4:$C$503,_calc!$E$92),"yyyy-mm-dd"),""))</f>
        <v/>
      </c>
      <c r="E90" s="47">
        <f>IF(_calc!$E$92="","",IF(LEN(INDEX('Checks'!$L$4:$L$503,_calc!$E$92))=0,"",INDEX('Checks'!$L$4:$L$503,_calc!$E$92)))</f>
        <v/>
      </c>
      <c r="F90" s="47">
        <f>IF(_calc!$E$92="","",TRIM(IF(LEN(IF(LEN(INDEX('Checks'!$I$4:$I$503,_calc!$E$92))=0,"",INDEX('Checks'!$I$4:$I$503,_calc!$E$92)))=0,"","Contractor: "&amp;IF(LEN(INDEX('Checks'!$I$4:$I$503,_calc!$E$92))=0,"",INDEX('Checks'!$I$4:$I$503,_calc!$E$92))&amp;". ")&amp;IF(LEN(IF(LEN(INDEX('Checks'!$J$4:$J$503,_calc!$E$92))=0,"",INDEX('Checks'!$J$4:$J$503,_calc!$E$92)))=0,"","Ref: "&amp;IF(LEN(INDEX('Checks'!$J$4:$J$503,_calc!$E$92))=0,"",INDEX('Checks'!$J$4:$J$503,_calc!$E$92))&amp;". ")&amp;IF(LEN(IF(ISNUMBER(INDEX('Checks'!$K$4:$K$503,_calc!$E$92)),TEXT(INDEX('Checks'!$K$4:$K$503,_calc!$E$92),"yyyy-mm-dd"),""))=0,"","Copy to tenant: "&amp;IF(ISNUMBER(INDEX('Checks'!$K$4:$K$503,_calc!$E$92)),TEXT(INDEX('Checks'!$K$4:$K$503,_calc!$E$92),"yyyy-mm-dd"),"")&amp;". ")&amp;IF(LEN(IF(LEN(INDEX('Checks'!$P$4:$P$503,_calc!$E$92))=0,"",INDEX('Checks'!$P$4:$P$503,_calc!$E$92)))=0,"",IF(LEN(INDEX('Checks'!$P$4:$P$503,_calc!$E$92))=0,"",INDEX('Checks'!$P$4:$P$503,_calc!$E$92)))))</f>
        <v/>
      </c>
      <c r="G90" s="47">
        <f>IF(_calc!$E$92="","",IF(LEN(INDEX('Checks'!$N$4:$N$503,_calc!$E$92))=0,"",INDEX('Checks'!$N$4:$N$503,_calc!$E$92)))</f>
        <v/>
      </c>
      <c r="K90" s="47">
        <f>IF(_calc!$E$92="","",IF(LEN(INDEX('Checks'!$M$4:$M$503,_calc!$E$92))=0,"",INDEX('Checks'!$M$4:$M$503,_calc!$E$92)))</f>
        <v/>
      </c>
    </row>
    <row r="91">
      <c r="A91" s="47">
        <f>IF(_calc!$E$93="","",IF(LEN(INDEX('Checks'!$B$4:$B$503,_calc!$E$93))=0,"",INDEX('Checks'!$B$4:$B$503,_calc!$E$93))&amp;" – "&amp;IF(LEN(INDEX('Checks'!$A$4:$A$503,_calc!$E$93))=0,"",INDEX('Checks'!$A$4:$A$503,_calc!$E$93)))</f>
        <v/>
      </c>
      <c r="B91" s="47">
        <f>IF(_calc!$E$93="","",IF(ISNUMBER(INDEX('Checks'!$D$4:$D$503,_calc!$E$93)),TEXT(INDEX('Checks'!$D$4:$D$503,_calc!$E$93),"yyyy-mm-dd"),""))</f>
        <v/>
      </c>
      <c r="C91" s="47">
        <f>IF(_calc!$E$93="","",IF(LEN(INDEX('Checks'!$B$4:$B$503,_calc!$E$93))=0,"",INDEX('Checks'!$B$4:$B$503,_calc!$E$93)))</f>
        <v/>
      </c>
      <c r="D91" s="47">
        <f>IF(_calc!$E$93="","",IF(ISNUMBER(INDEX('Checks'!$C$4:$C$503,_calc!$E$93)),TEXT(INDEX('Checks'!$C$4:$C$503,_calc!$E$93),"yyyy-mm-dd"),""))</f>
        <v/>
      </c>
      <c r="E91" s="47">
        <f>IF(_calc!$E$93="","",IF(LEN(INDEX('Checks'!$L$4:$L$503,_calc!$E$93))=0,"",INDEX('Checks'!$L$4:$L$503,_calc!$E$93)))</f>
        <v/>
      </c>
      <c r="F91" s="47">
        <f>IF(_calc!$E$93="","",TRIM(IF(LEN(IF(LEN(INDEX('Checks'!$I$4:$I$503,_calc!$E$93))=0,"",INDEX('Checks'!$I$4:$I$503,_calc!$E$93)))=0,"","Contractor: "&amp;IF(LEN(INDEX('Checks'!$I$4:$I$503,_calc!$E$93))=0,"",INDEX('Checks'!$I$4:$I$503,_calc!$E$93))&amp;". ")&amp;IF(LEN(IF(LEN(INDEX('Checks'!$J$4:$J$503,_calc!$E$93))=0,"",INDEX('Checks'!$J$4:$J$503,_calc!$E$93)))=0,"","Ref: "&amp;IF(LEN(INDEX('Checks'!$J$4:$J$503,_calc!$E$93))=0,"",INDEX('Checks'!$J$4:$J$503,_calc!$E$93))&amp;". ")&amp;IF(LEN(IF(ISNUMBER(INDEX('Checks'!$K$4:$K$503,_calc!$E$93)),TEXT(INDEX('Checks'!$K$4:$K$503,_calc!$E$93),"yyyy-mm-dd"),""))=0,"","Copy to tenant: "&amp;IF(ISNUMBER(INDEX('Checks'!$K$4:$K$503,_calc!$E$93)),TEXT(INDEX('Checks'!$K$4:$K$503,_calc!$E$93),"yyyy-mm-dd"),"")&amp;". ")&amp;IF(LEN(IF(LEN(INDEX('Checks'!$P$4:$P$503,_calc!$E$93))=0,"",INDEX('Checks'!$P$4:$P$503,_calc!$E$93)))=0,"",IF(LEN(INDEX('Checks'!$P$4:$P$503,_calc!$E$93))=0,"",INDEX('Checks'!$P$4:$P$503,_calc!$E$93)))))</f>
        <v/>
      </c>
      <c r="G91" s="47">
        <f>IF(_calc!$E$93="","",IF(LEN(INDEX('Checks'!$N$4:$N$503,_calc!$E$93))=0,"",INDEX('Checks'!$N$4:$N$503,_calc!$E$93)))</f>
        <v/>
      </c>
      <c r="K91" s="47">
        <f>IF(_calc!$E$93="","",IF(LEN(INDEX('Checks'!$M$4:$M$503,_calc!$E$93))=0,"",INDEX('Checks'!$M$4:$M$503,_calc!$E$93)))</f>
        <v/>
      </c>
    </row>
    <row r="92">
      <c r="A92" s="47">
        <f>IF(_calc!$E$94="","",IF(LEN(INDEX('Checks'!$B$4:$B$503,_calc!$E$94))=0,"",INDEX('Checks'!$B$4:$B$503,_calc!$E$94))&amp;" – "&amp;IF(LEN(INDEX('Checks'!$A$4:$A$503,_calc!$E$94))=0,"",INDEX('Checks'!$A$4:$A$503,_calc!$E$94)))</f>
        <v/>
      </c>
      <c r="B92" s="47">
        <f>IF(_calc!$E$94="","",IF(ISNUMBER(INDEX('Checks'!$D$4:$D$503,_calc!$E$94)),TEXT(INDEX('Checks'!$D$4:$D$503,_calc!$E$94),"yyyy-mm-dd"),""))</f>
        <v/>
      </c>
      <c r="C92" s="47">
        <f>IF(_calc!$E$94="","",IF(LEN(INDEX('Checks'!$B$4:$B$503,_calc!$E$94))=0,"",INDEX('Checks'!$B$4:$B$503,_calc!$E$94)))</f>
        <v/>
      </c>
      <c r="D92" s="47">
        <f>IF(_calc!$E$94="","",IF(ISNUMBER(INDEX('Checks'!$C$4:$C$503,_calc!$E$94)),TEXT(INDEX('Checks'!$C$4:$C$503,_calc!$E$94),"yyyy-mm-dd"),""))</f>
        <v/>
      </c>
      <c r="E92" s="47">
        <f>IF(_calc!$E$94="","",IF(LEN(INDEX('Checks'!$L$4:$L$503,_calc!$E$94))=0,"",INDEX('Checks'!$L$4:$L$503,_calc!$E$94)))</f>
        <v/>
      </c>
      <c r="F92" s="47">
        <f>IF(_calc!$E$94="","",TRIM(IF(LEN(IF(LEN(INDEX('Checks'!$I$4:$I$503,_calc!$E$94))=0,"",INDEX('Checks'!$I$4:$I$503,_calc!$E$94)))=0,"","Contractor: "&amp;IF(LEN(INDEX('Checks'!$I$4:$I$503,_calc!$E$94))=0,"",INDEX('Checks'!$I$4:$I$503,_calc!$E$94))&amp;". ")&amp;IF(LEN(IF(LEN(INDEX('Checks'!$J$4:$J$503,_calc!$E$94))=0,"",INDEX('Checks'!$J$4:$J$503,_calc!$E$94)))=0,"","Ref: "&amp;IF(LEN(INDEX('Checks'!$J$4:$J$503,_calc!$E$94))=0,"",INDEX('Checks'!$J$4:$J$503,_calc!$E$94))&amp;". ")&amp;IF(LEN(IF(ISNUMBER(INDEX('Checks'!$K$4:$K$503,_calc!$E$94)),TEXT(INDEX('Checks'!$K$4:$K$503,_calc!$E$94),"yyyy-mm-dd"),""))=0,"","Copy to tenant: "&amp;IF(ISNUMBER(INDEX('Checks'!$K$4:$K$503,_calc!$E$94)),TEXT(INDEX('Checks'!$K$4:$K$503,_calc!$E$94),"yyyy-mm-dd"),"")&amp;". ")&amp;IF(LEN(IF(LEN(INDEX('Checks'!$P$4:$P$503,_calc!$E$94))=0,"",INDEX('Checks'!$P$4:$P$503,_calc!$E$94)))=0,"",IF(LEN(INDEX('Checks'!$P$4:$P$503,_calc!$E$94))=0,"",INDEX('Checks'!$P$4:$P$503,_calc!$E$94)))))</f>
        <v/>
      </c>
      <c r="G92" s="47">
        <f>IF(_calc!$E$94="","",IF(LEN(INDEX('Checks'!$N$4:$N$503,_calc!$E$94))=0,"",INDEX('Checks'!$N$4:$N$503,_calc!$E$94)))</f>
        <v/>
      </c>
      <c r="K92" s="47">
        <f>IF(_calc!$E$94="","",IF(LEN(INDEX('Checks'!$M$4:$M$503,_calc!$E$94))=0,"",INDEX('Checks'!$M$4:$M$503,_calc!$E$94)))</f>
        <v/>
      </c>
    </row>
    <row r="93">
      <c r="A93" s="47">
        <f>IF(_calc!$E$95="","",IF(LEN(INDEX('Checks'!$B$4:$B$503,_calc!$E$95))=0,"",INDEX('Checks'!$B$4:$B$503,_calc!$E$95))&amp;" – "&amp;IF(LEN(INDEX('Checks'!$A$4:$A$503,_calc!$E$95))=0,"",INDEX('Checks'!$A$4:$A$503,_calc!$E$95)))</f>
        <v/>
      </c>
      <c r="B93" s="47">
        <f>IF(_calc!$E$95="","",IF(ISNUMBER(INDEX('Checks'!$D$4:$D$503,_calc!$E$95)),TEXT(INDEX('Checks'!$D$4:$D$503,_calc!$E$95),"yyyy-mm-dd"),""))</f>
        <v/>
      </c>
      <c r="C93" s="47">
        <f>IF(_calc!$E$95="","",IF(LEN(INDEX('Checks'!$B$4:$B$503,_calc!$E$95))=0,"",INDEX('Checks'!$B$4:$B$503,_calc!$E$95)))</f>
        <v/>
      </c>
      <c r="D93" s="47">
        <f>IF(_calc!$E$95="","",IF(ISNUMBER(INDEX('Checks'!$C$4:$C$503,_calc!$E$95)),TEXT(INDEX('Checks'!$C$4:$C$503,_calc!$E$95),"yyyy-mm-dd"),""))</f>
        <v/>
      </c>
      <c r="E93" s="47">
        <f>IF(_calc!$E$95="","",IF(LEN(INDEX('Checks'!$L$4:$L$503,_calc!$E$95))=0,"",INDEX('Checks'!$L$4:$L$503,_calc!$E$95)))</f>
        <v/>
      </c>
      <c r="F93" s="47">
        <f>IF(_calc!$E$95="","",TRIM(IF(LEN(IF(LEN(INDEX('Checks'!$I$4:$I$503,_calc!$E$95))=0,"",INDEX('Checks'!$I$4:$I$503,_calc!$E$95)))=0,"","Contractor: "&amp;IF(LEN(INDEX('Checks'!$I$4:$I$503,_calc!$E$95))=0,"",INDEX('Checks'!$I$4:$I$503,_calc!$E$95))&amp;". ")&amp;IF(LEN(IF(LEN(INDEX('Checks'!$J$4:$J$503,_calc!$E$95))=0,"",INDEX('Checks'!$J$4:$J$503,_calc!$E$95)))=0,"","Ref: "&amp;IF(LEN(INDEX('Checks'!$J$4:$J$503,_calc!$E$95))=0,"",INDEX('Checks'!$J$4:$J$503,_calc!$E$95))&amp;". ")&amp;IF(LEN(IF(ISNUMBER(INDEX('Checks'!$K$4:$K$503,_calc!$E$95)),TEXT(INDEX('Checks'!$K$4:$K$503,_calc!$E$95),"yyyy-mm-dd"),""))=0,"","Copy to tenant: "&amp;IF(ISNUMBER(INDEX('Checks'!$K$4:$K$503,_calc!$E$95)),TEXT(INDEX('Checks'!$K$4:$K$503,_calc!$E$95),"yyyy-mm-dd"),"")&amp;". ")&amp;IF(LEN(IF(LEN(INDEX('Checks'!$P$4:$P$503,_calc!$E$95))=0,"",INDEX('Checks'!$P$4:$P$503,_calc!$E$95)))=0,"",IF(LEN(INDEX('Checks'!$P$4:$P$503,_calc!$E$95))=0,"",INDEX('Checks'!$P$4:$P$503,_calc!$E$95)))))</f>
        <v/>
      </c>
      <c r="G93" s="47">
        <f>IF(_calc!$E$95="","",IF(LEN(INDEX('Checks'!$N$4:$N$503,_calc!$E$95))=0,"",INDEX('Checks'!$N$4:$N$503,_calc!$E$95)))</f>
        <v/>
      </c>
      <c r="K93" s="47">
        <f>IF(_calc!$E$95="","",IF(LEN(INDEX('Checks'!$M$4:$M$503,_calc!$E$95))=0,"",INDEX('Checks'!$M$4:$M$503,_calc!$E$95)))</f>
        <v/>
      </c>
    </row>
    <row r="94">
      <c r="A94" s="47">
        <f>IF(_calc!$E$96="","",IF(LEN(INDEX('Checks'!$B$4:$B$503,_calc!$E$96))=0,"",INDEX('Checks'!$B$4:$B$503,_calc!$E$96))&amp;" – "&amp;IF(LEN(INDEX('Checks'!$A$4:$A$503,_calc!$E$96))=0,"",INDEX('Checks'!$A$4:$A$503,_calc!$E$96)))</f>
        <v/>
      </c>
      <c r="B94" s="47">
        <f>IF(_calc!$E$96="","",IF(ISNUMBER(INDEX('Checks'!$D$4:$D$503,_calc!$E$96)),TEXT(INDEX('Checks'!$D$4:$D$503,_calc!$E$96),"yyyy-mm-dd"),""))</f>
        <v/>
      </c>
      <c r="C94" s="47">
        <f>IF(_calc!$E$96="","",IF(LEN(INDEX('Checks'!$B$4:$B$503,_calc!$E$96))=0,"",INDEX('Checks'!$B$4:$B$503,_calc!$E$96)))</f>
        <v/>
      </c>
      <c r="D94" s="47">
        <f>IF(_calc!$E$96="","",IF(ISNUMBER(INDEX('Checks'!$C$4:$C$503,_calc!$E$96)),TEXT(INDEX('Checks'!$C$4:$C$503,_calc!$E$96),"yyyy-mm-dd"),""))</f>
        <v/>
      </c>
      <c r="E94" s="47">
        <f>IF(_calc!$E$96="","",IF(LEN(INDEX('Checks'!$L$4:$L$503,_calc!$E$96))=0,"",INDEX('Checks'!$L$4:$L$503,_calc!$E$96)))</f>
        <v/>
      </c>
      <c r="F94" s="47">
        <f>IF(_calc!$E$96="","",TRIM(IF(LEN(IF(LEN(INDEX('Checks'!$I$4:$I$503,_calc!$E$96))=0,"",INDEX('Checks'!$I$4:$I$503,_calc!$E$96)))=0,"","Contractor: "&amp;IF(LEN(INDEX('Checks'!$I$4:$I$503,_calc!$E$96))=0,"",INDEX('Checks'!$I$4:$I$503,_calc!$E$96))&amp;". ")&amp;IF(LEN(IF(LEN(INDEX('Checks'!$J$4:$J$503,_calc!$E$96))=0,"",INDEX('Checks'!$J$4:$J$503,_calc!$E$96)))=0,"","Ref: "&amp;IF(LEN(INDEX('Checks'!$J$4:$J$503,_calc!$E$96))=0,"",INDEX('Checks'!$J$4:$J$503,_calc!$E$96))&amp;". ")&amp;IF(LEN(IF(ISNUMBER(INDEX('Checks'!$K$4:$K$503,_calc!$E$96)),TEXT(INDEX('Checks'!$K$4:$K$503,_calc!$E$96),"yyyy-mm-dd"),""))=0,"","Copy to tenant: "&amp;IF(ISNUMBER(INDEX('Checks'!$K$4:$K$503,_calc!$E$96)),TEXT(INDEX('Checks'!$K$4:$K$503,_calc!$E$96),"yyyy-mm-dd"),"")&amp;". ")&amp;IF(LEN(IF(LEN(INDEX('Checks'!$P$4:$P$503,_calc!$E$96))=0,"",INDEX('Checks'!$P$4:$P$503,_calc!$E$96)))=0,"",IF(LEN(INDEX('Checks'!$P$4:$P$503,_calc!$E$96))=0,"",INDEX('Checks'!$P$4:$P$503,_calc!$E$96)))))</f>
        <v/>
      </c>
      <c r="G94" s="47">
        <f>IF(_calc!$E$96="","",IF(LEN(INDEX('Checks'!$N$4:$N$503,_calc!$E$96))=0,"",INDEX('Checks'!$N$4:$N$503,_calc!$E$96)))</f>
        <v/>
      </c>
      <c r="K94" s="47">
        <f>IF(_calc!$E$96="","",IF(LEN(INDEX('Checks'!$M$4:$M$503,_calc!$E$96))=0,"",INDEX('Checks'!$M$4:$M$503,_calc!$E$96)))</f>
        <v/>
      </c>
    </row>
    <row r="95">
      <c r="A95" s="47">
        <f>IF(_calc!$E$97="","",IF(LEN(INDEX('Checks'!$B$4:$B$503,_calc!$E$97))=0,"",INDEX('Checks'!$B$4:$B$503,_calc!$E$97))&amp;" – "&amp;IF(LEN(INDEX('Checks'!$A$4:$A$503,_calc!$E$97))=0,"",INDEX('Checks'!$A$4:$A$503,_calc!$E$97)))</f>
        <v/>
      </c>
      <c r="B95" s="47">
        <f>IF(_calc!$E$97="","",IF(ISNUMBER(INDEX('Checks'!$D$4:$D$503,_calc!$E$97)),TEXT(INDEX('Checks'!$D$4:$D$503,_calc!$E$97),"yyyy-mm-dd"),""))</f>
        <v/>
      </c>
      <c r="C95" s="47">
        <f>IF(_calc!$E$97="","",IF(LEN(INDEX('Checks'!$B$4:$B$503,_calc!$E$97))=0,"",INDEX('Checks'!$B$4:$B$503,_calc!$E$97)))</f>
        <v/>
      </c>
      <c r="D95" s="47">
        <f>IF(_calc!$E$97="","",IF(ISNUMBER(INDEX('Checks'!$C$4:$C$503,_calc!$E$97)),TEXT(INDEX('Checks'!$C$4:$C$503,_calc!$E$97),"yyyy-mm-dd"),""))</f>
        <v/>
      </c>
      <c r="E95" s="47">
        <f>IF(_calc!$E$97="","",IF(LEN(INDEX('Checks'!$L$4:$L$503,_calc!$E$97))=0,"",INDEX('Checks'!$L$4:$L$503,_calc!$E$97)))</f>
        <v/>
      </c>
      <c r="F95" s="47">
        <f>IF(_calc!$E$97="","",TRIM(IF(LEN(IF(LEN(INDEX('Checks'!$I$4:$I$503,_calc!$E$97))=0,"",INDEX('Checks'!$I$4:$I$503,_calc!$E$97)))=0,"","Contractor: "&amp;IF(LEN(INDEX('Checks'!$I$4:$I$503,_calc!$E$97))=0,"",INDEX('Checks'!$I$4:$I$503,_calc!$E$97))&amp;". ")&amp;IF(LEN(IF(LEN(INDEX('Checks'!$J$4:$J$503,_calc!$E$97))=0,"",INDEX('Checks'!$J$4:$J$503,_calc!$E$97)))=0,"","Ref: "&amp;IF(LEN(INDEX('Checks'!$J$4:$J$503,_calc!$E$97))=0,"",INDEX('Checks'!$J$4:$J$503,_calc!$E$97))&amp;". ")&amp;IF(LEN(IF(ISNUMBER(INDEX('Checks'!$K$4:$K$503,_calc!$E$97)),TEXT(INDEX('Checks'!$K$4:$K$503,_calc!$E$97),"yyyy-mm-dd"),""))=0,"","Copy to tenant: "&amp;IF(ISNUMBER(INDEX('Checks'!$K$4:$K$503,_calc!$E$97)),TEXT(INDEX('Checks'!$K$4:$K$503,_calc!$E$97),"yyyy-mm-dd"),"")&amp;". ")&amp;IF(LEN(IF(LEN(INDEX('Checks'!$P$4:$P$503,_calc!$E$97))=0,"",INDEX('Checks'!$P$4:$P$503,_calc!$E$97)))=0,"",IF(LEN(INDEX('Checks'!$P$4:$P$503,_calc!$E$97))=0,"",INDEX('Checks'!$P$4:$P$503,_calc!$E$97)))))</f>
        <v/>
      </c>
      <c r="G95" s="47">
        <f>IF(_calc!$E$97="","",IF(LEN(INDEX('Checks'!$N$4:$N$503,_calc!$E$97))=0,"",INDEX('Checks'!$N$4:$N$503,_calc!$E$97)))</f>
        <v/>
      </c>
      <c r="K95" s="47">
        <f>IF(_calc!$E$97="","",IF(LEN(INDEX('Checks'!$M$4:$M$503,_calc!$E$97))=0,"",INDEX('Checks'!$M$4:$M$503,_calc!$E$97)))</f>
        <v/>
      </c>
    </row>
    <row r="96">
      <c r="A96" s="47">
        <f>IF(_calc!$E$98="","",IF(LEN(INDEX('Checks'!$B$4:$B$503,_calc!$E$98))=0,"",INDEX('Checks'!$B$4:$B$503,_calc!$E$98))&amp;" – "&amp;IF(LEN(INDEX('Checks'!$A$4:$A$503,_calc!$E$98))=0,"",INDEX('Checks'!$A$4:$A$503,_calc!$E$98)))</f>
        <v/>
      </c>
      <c r="B96" s="47">
        <f>IF(_calc!$E$98="","",IF(ISNUMBER(INDEX('Checks'!$D$4:$D$503,_calc!$E$98)),TEXT(INDEX('Checks'!$D$4:$D$503,_calc!$E$98),"yyyy-mm-dd"),""))</f>
        <v/>
      </c>
      <c r="C96" s="47">
        <f>IF(_calc!$E$98="","",IF(LEN(INDEX('Checks'!$B$4:$B$503,_calc!$E$98))=0,"",INDEX('Checks'!$B$4:$B$503,_calc!$E$98)))</f>
        <v/>
      </c>
      <c r="D96" s="47">
        <f>IF(_calc!$E$98="","",IF(ISNUMBER(INDEX('Checks'!$C$4:$C$503,_calc!$E$98)),TEXT(INDEX('Checks'!$C$4:$C$503,_calc!$E$98),"yyyy-mm-dd"),""))</f>
        <v/>
      </c>
      <c r="E96" s="47">
        <f>IF(_calc!$E$98="","",IF(LEN(INDEX('Checks'!$L$4:$L$503,_calc!$E$98))=0,"",INDEX('Checks'!$L$4:$L$503,_calc!$E$98)))</f>
        <v/>
      </c>
      <c r="F96" s="47">
        <f>IF(_calc!$E$98="","",TRIM(IF(LEN(IF(LEN(INDEX('Checks'!$I$4:$I$503,_calc!$E$98))=0,"",INDEX('Checks'!$I$4:$I$503,_calc!$E$98)))=0,"","Contractor: "&amp;IF(LEN(INDEX('Checks'!$I$4:$I$503,_calc!$E$98))=0,"",INDEX('Checks'!$I$4:$I$503,_calc!$E$98))&amp;". ")&amp;IF(LEN(IF(LEN(INDEX('Checks'!$J$4:$J$503,_calc!$E$98))=0,"",INDEX('Checks'!$J$4:$J$503,_calc!$E$98)))=0,"","Ref: "&amp;IF(LEN(INDEX('Checks'!$J$4:$J$503,_calc!$E$98))=0,"",INDEX('Checks'!$J$4:$J$503,_calc!$E$98))&amp;". ")&amp;IF(LEN(IF(ISNUMBER(INDEX('Checks'!$K$4:$K$503,_calc!$E$98)),TEXT(INDEX('Checks'!$K$4:$K$503,_calc!$E$98),"yyyy-mm-dd"),""))=0,"","Copy to tenant: "&amp;IF(ISNUMBER(INDEX('Checks'!$K$4:$K$503,_calc!$E$98)),TEXT(INDEX('Checks'!$K$4:$K$503,_calc!$E$98),"yyyy-mm-dd"),"")&amp;". ")&amp;IF(LEN(IF(LEN(INDEX('Checks'!$P$4:$P$503,_calc!$E$98))=0,"",INDEX('Checks'!$P$4:$P$503,_calc!$E$98)))=0,"",IF(LEN(INDEX('Checks'!$P$4:$P$503,_calc!$E$98))=0,"",INDEX('Checks'!$P$4:$P$503,_calc!$E$98)))))</f>
        <v/>
      </c>
      <c r="G96" s="47">
        <f>IF(_calc!$E$98="","",IF(LEN(INDEX('Checks'!$N$4:$N$503,_calc!$E$98))=0,"",INDEX('Checks'!$N$4:$N$503,_calc!$E$98)))</f>
        <v/>
      </c>
      <c r="K96" s="47">
        <f>IF(_calc!$E$98="","",IF(LEN(INDEX('Checks'!$M$4:$M$503,_calc!$E$98))=0,"",INDEX('Checks'!$M$4:$M$503,_calc!$E$98)))</f>
        <v/>
      </c>
    </row>
    <row r="97">
      <c r="A97" s="47">
        <f>IF(_calc!$E$99="","",IF(LEN(INDEX('Checks'!$B$4:$B$503,_calc!$E$99))=0,"",INDEX('Checks'!$B$4:$B$503,_calc!$E$99))&amp;" – "&amp;IF(LEN(INDEX('Checks'!$A$4:$A$503,_calc!$E$99))=0,"",INDEX('Checks'!$A$4:$A$503,_calc!$E$99)))</f>
        <v/>
      </c>
      <c r="B97" s="47">
        <f>IF(_calc!$E$99="","",IF(ISNUMBER(INDEX('Checks'!$D$4:$D$503,_calc!$E$99)),TEXT(INDEX('Checks'!$D$4:$D$503,_calc!$E$99),"yyyy-mm-dd"),""))</f>
        <v/>
      </c>
      <c r="C97" s="47">
        <f>IF(_calc!$E$99="","",IF(LEN(INDEX('Checks'!$B$4:$B$503,_calc!$E$99))=0,"",INDEX('Checks'!$B$4:$B$503,_calc!$E$99)))</f>
        <v/>
      </c>
      <c r="D97" s="47">
        <f>IF(_calc!$E$99="","",IF(ISNUMBER(INDEX('Checks'!$C$4:$C$503,_calc!$E$99)),TEXT(INDEX('Checks'!$C$4:$C$503,_calc!$E$99),"yyyy-mm-dd"),""))</f>
        <v/>
      </c>
      <c r="E97" s="47">
        <f>IF(_calc!$E$99="","",IF(LEN(INDEX('Checks'!$L$4:$L$503,_calc!$E$99))=0,"",INDEX('Checks'!$L$4:$L$503,_calc!$E$99)))</f>
        <v/>
      </c>
      <c r="F97" s="47">
        <f>IF(_calc!$E$99="","",TRIM(IF(LEN(IF(LEN(INDEX('Checks'!$I$4:$I$503,_calc!$E$99))=0,"",INDEX('Checks'!$I$4:$I$503,_calc!$E$99)))=0,"","Contractor: "&amp;IF(LEN(INDEX('Checks'!$I$4:$I$503,_calc!$E$99))=0,"",INDEX('Checks'!$I$4:$I$503,_calc!$E$99))&amp;". ")&amp;IF(LEN(IF(LEN(INDEX('Checks'!$J$4:$J$503,_calc!$E$99))=0,"",INDEX('Checks'!$J$4:$J$503,_calc!$E$99)))=0,"","Ref: "&amp;IF(LEN(INDEX('Checks'!$J$4:$J$503,_calc!$E$99))=0,"",INDEX('Checks'!$J$4:$J$503,_calc!$E$99))&amp;". ")&amp;IF(LEN(IF(ISNUMBER(INDEX('Checks'!$K$4:$K$503,_calc!$E$99)),TEXT(INDEX('Checks'!$K$4:$K$503,_calc!$E$99),"yyyy-mm-dd"),""))=0,"","Copy to tenant: "&amp;IF(ISNUMBER(INDEX('Checks'!$K$4:$K$503,_calc!$E$99)),TEXT(INDEX('Checks'!$K$4:$K$503,_calc!$E$99),"yyyy-mm-dd"),"")&amp;". ")&amp;IF(LEN(IF(LEN(INDEX('Checks'!$P$4:$P$503,_calc!$E$99))=0,"",INDEX('Checks'!$P$4:$P$503,_calc!$E$99)))=0,"",IF(LEN(INDEX('Checks'!$P$4:$P$503,_calc!$E$99))=0,"",INDEX('Checks'!$P$4:$P$503,_calc!$E$99)))))</f>
        <v/>
      </c>
      <c r="G97" s="47">
        <f>IF(_calc!$E$99="","",IF(LEN(INDEX('Checks'!$N$4:$N$503,_calc!$E$99))=0,"",INDEX('Checks'!$N$4:$N$503,_calc!$E$99)))</f>
        <v/>
      </c>
      <c r="K97" s="47">
        <f>IF(_calc!$E$99="","",IF(LEN(INDEX('Checks'!$M$4:$M$503,_calc!$E$99))=0,"",INDEX('Checks'!$M$4:$M$503,_calc!$E$99)))</f>
        <v/>
      </c>
    </row>
    <row r="98">
      <c r="A98" s="47">
        <f>IF(_calc!$E$100="","",IF(LEN(INDEX('Checks'!$B$4:$B$503,_calc!$E$100))=0,"",INDEX('Checks'!$B$4:$B$503,_calc!$E$100))&amp;" – "&amp;IF(LEN(INDEX('Checks'!$A$4:$A$503,_calc!$E$100))=0,"",INDEX('Checks'!$A$4:$A$503,_calc!$E$100)))</f>
        <v/>
      </c>
      <c r="B98" s="47">
        <f>IF(_calc!$E$100="","",IF(ISNUMBER(INDEX('Checks'!$D$4:$D$503,_calc!$E$100)),TEXT(INDEX('Checks'!$D$4:$D$503,_calc!$E$100),"yyyy-mm-dd"),""))</f>
        <v/>
      </c>
      <c r="C98" s="47">
        <f>IF(_calc!$E$100="","",IF(LEN(INDEX('Checks'!$B$4:$B$503,_calc!$E$100))=0,"",INDEX('Checks'!$B$4:$B$503,_calc!$E$100)))</f>
        <v/>
      </c>
      <c r="D98" s="47">
        <f>IF(_calc!$E$100="","",IF(ISNUMBER(INDEX('Checks'!$C$4:$C$503,_calc!$E$100)),TEXT(INDEX('Checks'!$C$4:$C$503,_calc!$E$100),"yyyy-mm-dd"),""))</f>
        <v/>
      </c>
      <c r="E98" s="47">
        <f>IF(_calc!$E$100="","",IF(LEN(INDEX('Checks'!$L$4:$L$503,_calc!$E$100))=0,"",INDEX('Checks'!$L$4:$L$503,_calc!$E$100)))</f>
        <v/>
      </c>
      <c r="F98" s="47">
        <f>IF(_calc!$E$100="","",TRIM(IF(LEN(IF(LEN(INDEX('Checks'!$I$4:$I$503,_calc!$E$100))=0,"",INDEX('Checks'!$I$4:$I$503,_calc!$E$100)))=0,"","Contractor: "&amp;IF(LEN(INDEX('Checks'!$I$4:$I$503,_calc!$E$100))=0,"",INDEX('Checks'!$I$4:$I$503,_calc!$E$100))&amp;". ")&amp;IF(LEN(IF(LEN(INDEX('Checks'!$J$4:$J$503,_calc!$E$100))=0,"",INDEX('Checks'!$J$4:$J$503,_calc!$E$100)))=0,"","Ref: "&amp;IF(LEN(INDEX('Checks'!$J$4:$J$503,_calc!$E$100))=0,"",INDEX('Checks'!$J$4:$J$503,_calc!$E$100))&amp;". ")&amp;IF(LEN(IF(ISNUMBER(INDEX('Checks'!$K$4:$K$503,_calc!$E$100)),TEXT(INDEX('Checks'!$K$4:$K$503,_calc!$E$100),"yyyy-mm-dd"),""))=0,"","Copy to tenant: "&amp;IF(ISNUMBER(INDEX('Checks'!$K$4:$K$503,_calc!$E$100)),TEXT(INDEX('Checks'!$K$4:$K$503,_calc!$E$100),"yyyy-mm-dd"),"")&amp;". ")&amp;IF(LEN(IF(LEN(INDEX('Checks'!$P$4:$P$503,_calc!$E$100))=0,"",INDEX('Checks'!$P$4:$P$503,_calc!$E$100)))=0,"",IF(LEN(INDEX('Checks'!$P$4:$P$503,_calc!$E$100))=0,"",INDEX('Checks'!$P$4:$P$503,_calc!$E$100)))))</f>
        <v/>
      </c>
      <c r="G98" s="47">
        <f>IF(_calc!$E$100="","",IF(LEN(INDEX('Checks'!$N$4:$N$503,_calc!$E$100))=0,"",INDEX('Checks'!$N$4:$N$503,_calc!$E$100)))</f>
        <v/>
      </c>
      <c r="K98" s="47">
        <f>IF(_calc!$E$100="","",IF(LEN(INDEX('Checks'!$M$4:$M$503,_calc!$E$100))=0,"",INDEX('Checks'!$M$4:$M$503,_calc!$E$100)))</f>
        <v/>
      </c>
    </row>
    <row r="99">
      <c r="A99" s="47">
        <f>IF(_calc!$E$101="","",IF(LEN(INDEX('Checks'!$B$4:$B$503,_calc!$E$101))=0,"",INDEX('Checks'!$B$4:$B$503,_calc!$E$101))&amp;" – "&amp;IF(LEN(INDEX('Checks'!$A$4:$A$503,_calc!$E$101))=0,"",INDEX('Checks'!$A$4:$A$503,_calc!$E$101)))</f>
        <v/>
      </c>
      <c r="B99" s="47">
        <f>IF(_calc!$E$101="","",IF(ISNUMBER(INDEX('Checks'!$D$4:$D$503,_calc!$E$101)),TEXT(INDEX('Checks'!$D$4:$D$503,_calc!$E$101),"yyyy-mm-dd"),""))</f>
        <v/>
      </c>
      <c r="C99" s="47">
        <f>IF(_calc!$E$101="","",IF(LEN(INDEX('Checks'!$B$4:$B$503,_calc!$E$101))=0,"",INDEX('Checks'!$B$4:$B$503,_calc!$E$101)))</f>
        <v/>
      </c>
      <c r="D99" s="47">
        <f>IF(_calc!$E$101="","",IF(ISNUMBER(INDEX('Checks'!$C$4:$C$503,_calc!$E$101)),TEXT(INDEX('Checks'!$C$4:$C$503,_calc!$E$101),"yyyy-mm-dd"),""))</f>
        <v/>
      </c>
      <c r="E99" s="47">
        <f>IF(_calc!$E$101="","",IF(LEN(INDEX('Checks'!$L$4:$L$503,_calc!$E$101))=0,"",INDEX('Checks'!$L$4:$L$503,_calc!$E$101)))</f>
        <v/>
      </c>
      <c r="F99" s="47">
        <f>IF(_calc!$E$101="","",TRIM(IF(LEN(IF(LEN(INDEX('Checks'!$I$4:$I$503,_calc!$E$101))=0,"",INDEX('Checks'!$I$4:$I$503,_calc!$E$101)))=0,"","Contractor: "&amp;IF(LEN(INDEX('Checks'!$I$4:$I$503,_calc!$E$101))=0,"",INDEX('Checks'!$I$4:$I$503,_calc!$E$101))&amp;". ")&amp;IF(LEN(IF(LEN(INDEX('Checks'!$J$4:$J$503,_calc!$E$101))=0,"",INDEX('Checks'!$J$4:$J$503,_calc!$E$101)))=0,"","Ref: "&amp;IF(LEN(INDEX('Checks'!$J$4:$J$503,_calc!$E$101))=0,"",INDEX('Checks'!$J$4:$J$503,_calc!$E$101))&amp;". ")&amp;IF(LEN(IF(ISNUMBER(INDEX('Checks'!$K$4:$K$503,_calc!$E$101)),TEXT(INDEX('Checks'!$K$4:$K$503,_calc!$E$101),"yyyy-mm-dd"),""))=0,"","Copy to tenant: "&amp;IF(ISNUMBER(INDEX('Checks'!$K$4:$K$503,_calc!$E$101)),TEXT(INDEX('Checks'!$K$4:$K$503,_calc!$E$101),"yyyy-mm-dd"),"")&amp;". ")&amp;IF(LEN(IF(LEN(INDEX('Checks'!$P$4:$P$503,_calc!$E$101))=0,"",INDEX('Checks'!$P$4:$P$503,_calc!$E$101)))=0,"",IF(LEN(INDEX('Checks'!$P$4:$P$503,_calc!$E$101))=0,"",INDEX('Checks'!$P$4:$P$503,_calc!$E$101)))))</f>
        <v/>
      </c>
      <c r="G99" s="47">
        <f>IF(_calc!$E$101="","",IF(LEN(INDEX('Checks'!$N$4:$N$503,_calc!$E$101))=0,"",INDEX('Checks'!$N$4:$N$503,_calc!$E$101)))</f>
        <v/>
      </c>
      <c r="K99" s="47">
        <f>IF(_calc!$E$101="","",IF(LEN(INDEX('Checks'!$M$4:$M$503,_calc!$E$101))=0,"",INDEX('Checks'!$M$4:$M$503,_calc!$E$101)))</f>
        <v/>
      </c>
    </row>
    <row r="100">
      <c r="A100" s="47">
        <f>IF(_calc!$E$102="","",IF(LEN(INDEX('Checks'!$B$4:$B$503,_calc!$E$102))=0,"",INDEX('Checks'!$B$4:$B$503,_calc!$E$102))&amp;" – "&amp;IF(LEN(INDEX('Checks'!$A$4:$A$503,_calc!$E$102))=0,"",INDEX('Checks'!$A$4:$A$503,_calc!$E$102)))</f>
        <v/>
      </c>
      <c r="B100" s="47">
        <f>IF(_calc!$E$102="","",IF(ISNUMBER(INDEX('Checks'!$D$4:$D$503,_calc!$E$102)),TEXT(INDEX('Checks'!$D$4:$D$503,_calc!$E$102),"yyyy-mm-dd"),""))</f>
        <v/>
      </c>
      <c r="C100" s="47">
        <f>IF(_calc!$E$102="","",IF(LEN(INDEX('Checks'!$B$4:$B$503,_calc!$E$102))=0,"",INDEX('Checks'!$B$4:$B$503,_calc!$E$102)))</f>
        <v/>
      </c>
      <c r="D100" s="47">
        <f>IF(_calc!$E$102="","",IF(ISNUMBER(INDEX('Checks'!$C$4:$C$503,_calc!$E$102)),TEXT(INDEX('Checks'!$C$4:$C$503,_calc!$E$102),"yyyy-mm-dd"),""))</f>
        <v/>
      </c>
      <c r="E100" s="47">
        <f>IF(_calc!$E$102="","",IF(LEN(INDEX('Checks'!$L$4:$L$503,_calc!$E$102))=0,"",INDEX('Checks'!$L$4:$L$503,_calc!$E$102)))</f>
        <v/>
      </c>
      <c r="F100" s="47">
        <f>IF(_calc!$E$102="","",TRIM(IF(LEN(IF(LEN(INDEX('Checks'!$I$4:$I$503,_calc!$E$102))=0,"",INDEX('Checks'!$I$4:$I$503,_calc!$E$102)))=0,"","Contractor: "&amp;IF(LEN(INDEX('Checks'!$I$4:$I$503,_calc!$E$102))=0,"",INDEX('Checks'!$I$4:$I$503,_calc!$E$102))&amp;". ")&amp;IF(LEN(IF(LEN(INDEX('Checks'!$J$4:$J$503,_calc!$E$102))=0,"",INDEX('Checks'!$J$4:$J$503,_calc!$E$102)))=0,"","Ref: "&amp;IF(LEN(INDEX('Checks'!$J$4:$J$503,_calc!$E$102))=0,"",INDEX('Checks'!$J$4:$J$503,_calc!$E$102))&amp;". ")&amp;IF(LEN(IF(ISNUMBER(INDEX('Checks'!$K$4:$K$503,_calc!$E$102)),TEXT(INDEX('Checks'!$K$4:$K$503,_calc!$E$102),"yyyy-mm-dd"),""))=0,"","Copy to tenant: "&amp;IF(ISNUMBER(INDEX('Checks'!$K$4:$K$503,_calc!$E$102)),TEXT(INDEX('Checks'!$K$4:$K$503,_calc!$E$102),"yyyy-mm-dd"),"")&amp;". ")&amp;IF(LEN(IF(LEN(INDEX('Checks'!$P$4:$P$503,_calc!$E$102))=0,"",INDEX('Checks'!$P$4:$P$503,_calc!$E$102)))=0,"",IF(LEN(INDEX('Checks'!$P$4:$P$503,_calc!$E$102))=0,"",INDEX('Checks'!$P$4:$P$503,_calc!$E$102)))))</f>
        <v/>
      </c>
      <c r="G100" s="47">
        <f>IF(_calc!$E$102="","",IF(LEN(INDEX('Checks'!$N$4:$N$503,_calc!$E$102))=0,"",INDEX('Checks'!$N$4:$N$503,_calc!$E$102)))</f>
        <v/>
      </c>
      <c r="K100" s="47">
        <f>IF(_calc!$E$102="","",IF(LEN(INDEX('Checks'!$M$4:$M$503,_calc!$E$102))=0,"",INDEX('Checks'!$M$4:$M$503,_calc!$E$102)))</f>
        <v/>
      </c>
    </row>
    <row r="101">
      <c r="A101" s="47">
        <f>IF(_calc!$E$103="","",IF(LEN(INDEX('Checks'!$B$4:$B$503,_calc!$E$103))=0,"",INDEX('Checks'!$B$4:$B$503,_calc!$E$103))&amp;" – "&amp;IF(LEN(INDEX('Checks'!$A$4:$A$503,_calc!$E$103))=0,"",INDEX('Checks'!$A$4:$A$503,_calc!$E$103)))</f>
        <v/>
      </c>
      <c r="B101" s="47">
        <f>IF(_calc!$E$103="","",IF(ISNUMBER(INDEX('Checks'!$D$4:$D$503,_calc!$E$103)),TEXT(INDEX('Checks'!$D$4:$D$503,_calc!$E$103),"yyyy-mm-dd"),""))</f>
        <v/>
      </c>
      <c r="C101" s="47">
        <f>IF(_calc!$E$103="","",IF(LEN(INDEX('Checks'!$B$4:$B$503,_calc!$E$103))=0,"",INDEX('Checks'!$B$4:$B$503,_calc!$E$103)))</f>
        <v/>
      </c>
      <c r="D101" s="47">
        <f>IF(_calc!$E$103="","",IF(ISNUMBER(INDEX('Checks'!$C$4:$C$503,_calc!$E$103)),TEXT(INDEX('Checks'!$C$4:$C$503,_calc!$E$103),"yyyy-mm-dd"),""))</f>
        <v/>
      </c>
      <c r="E101" s="47">
        <f>IF(_calc!$E$103="","",IF(LEN(INDEX('Checks'!$L$4:$L$503,_calc!$E$103))=0,"",INDEX('Checks'!$L$4:$L$503,_calc!$E$103)))</f>
        <v/>
      </c>
      <c r="F101" s="47">
        <f>IF(_calc!$E$103="","",TRIM(IF(LEN(IF(LEN(INDEX('Checks'!$I$4:$I$503,_calc!$E$103))=0,"",INDEX('Checks'!$I$4:$I$503,_calc!$E$103)))=0,"","Contractor: "&amp;IF(LEN(INDEX('Checks'!$I$4:$I$503,_calc!$E$103))=0,"",INDEX('Checks'!$I$4:$I$503,_calc!$E$103))&amp;". ")&amp;IF(LEN(IF(LEN(INDEX('Checks'!$J$4:$J$503,_calc!$E$103))=0,"",INDEX('Checks'!$J$4:$J$503,_calc!$E$103)))=0,"","Ref: "&amp;IF(LEN(INDEX('Checks'!$J$4:$J$503,_calc!$E$103))=0,"",INDEX('Checks'!$J$4:$J$503,_calc!$E$103))&amp;". ")&amp;IF(LEN(IF(ISNUMBER(INDEX('Checks'!$K$4:$K$503,_calc!$E$103)),TEXT(INDEX('Checks'!$K$4:$K$503,_calc!$E$103),"yyyy-mm-dd"),""))=0,"","Copy to tenant: "&amp;IF(ISNUMBER(INDEX('Checks'!$K$4:$K$503,_calc!$E$103)),TEXT(INDEX('Checks'!$K$4:$K$503,_calc!$E$103),"yyyy-mm-dd"),"")&amp;". ")&amp;IF(LEN(IF(LEN(INDEX('Checks'!$P$4:$P$503,_calc!$E$103))=0,"",INDEX('Checks'!$P$4:$P$503,_calc!$E$103)))=0,"",IF(LEN(INDEX('Checks'!$P$4:$P$503,_calc!$E$103))=0,"",INDEX('Checks'!$P$4:$P$503,_calc!$E$103)))))</f>
        <v/>
      </c>
      <c r="G101" s="47">
        <f>IF(_calc!$E$103="","",IF(LEN(INDEX('Checks'!$N$4:$N$503,_calc!$E$103))=0,"",INDEX('Checks'!$N$4:$N$503,_calc!$E$103)))</f>
        <v/>
      </c>
      <c r="K101" s="47">
        <f>IF(_calc!$E$103="","",IF(LEN(INDEX('Checks'!$M$4:$M$503,_calc!$E$103))=0,"",INDEX('Checks'!$M$4:$M$503,_calc!$E$103)))</f>
        <v/>
      </c>
    </row>
    <row r="102">
      <c r="A102" s="47">
        <f>IF(_calc!$E$104="","",IF(LEN(INDEX('Checks'!$B$4:$B$503,_calc!$E$104))=0,"",INDEX('Checks'!$B$4:$B$503,_calc!$E$104))&amp;" – "&amp;IF(LEN(INDEX('Checks'!$A$4:$A$503,_calc!$E$104))=0,"",INDEX('Checks'!$A$4:$A$503,_calc!$E$104)))</f>
        <v/>
      </c>
      <c r="B102" s="47">
        <f>IF(_calc!$E$104="","",IF(ISNUMBER(INDEX('Checks'!$D$4:$D$503,_calc!$E$104)),TEXT(INDEX('Checks'!$D$4:$D$503,_calc!$E$104),"yyyy-mm-dd"),""))</f>
        <v/>
      </c>
      <c r="C102" s="47">
        <f>IF(_calc!$E$104="","",IF(LEN(INDEX('Checks'!$B$4:$B$503,_calc!$E$104))=0,"",INDEX('Checks'!$B$4:$B$503,_calc!$E$104)))</f>
        <v/>
      </c>
      <c r="D102" s="47">
        <f>IF(_calc!$E$104="","",IF(ISNUMBER(INDEX('Checks'!$C$4:$C$503,_calc!$E$104)),TEXT(INDEX('Checks'!$C$4:$C$503,_calc!$E$104),"yyyy-mm-dd"),""))</f>
        <v/>
      </c>
      <c r="E102" s="47">
        <f>IF(_calc!$E$104="","",IF(LEN(INDEX('Checks'!$L$4:$L$503,_calc!$E$104))=0,"",INDEX('Checks'!$L$4:$L$503,_calc!$E$104)))</f>
        <v/>
      </c>
      <c r="F102" s="47">
        <f>IF(_calc!$E$104="","",TRIM(IF(LEN(IF(LEN(INDEX('Checks'!$I$4:$I$503,_calc!$E$104))=0,"",INDEX('Checks'!$I$4:$I$503,_calc!$E$104)))=0,"","Contractor: "&amp;IF(LEN(INDEX('Checks'!$I$4:$I$503,_calc!$E$104))=0,"",INDEX('Checks'!$I$4:$I$503,_calc!$E$104))&amp;". ")&amp;IF(LEN(IF(LEN(INDEX('Checks'!$J$4:$J$503,_calc!$E$104))=0,"",INDEX('Checks'!$J$4:$J$503,_calc!$E$104)))=0,"","Ref: "&amp;IF(LEN(INDEX('Checks'!$J$4:$J$503,_calc!$E$104))=0,"",INDEX('Checks'!$J$4:$J$503,_calc!$E$104))&amp;". ")&amp;IF(LEN(IF(ISNUMBER(INDEX('Checks'!$K$4:$K$503,_calc!$E$104)),TEXT(INDEX('Checks'!$K$4:$K$503,_calc!$E$104),"yyyy-mm-dd"),""))=0,"","Copy to tenant: "&amp;IF(ISNUMBER(INDEX('Checks'!$K$4:$K$503,_calc!$E$104)),TEXT(INDEX('Checks'!$K$4:$K$503,_calc!$E$104),"yyyy-mm-dd"),"")&amp;". ")&amp;IF(LEN(IF(LEN(INDEX('Checks'!$P$4:$P$503,_calc!$E$104))=0,"",INDEX('Checks'!$P$4:$P$503,_calc!$E$104)))=0,"",IF(LEN(INDEX('Checks'!$P$4:$P$503,_calc!$E$104))=0,"",INDEX('Checks'!$P$4:$P$503,_calc!$E$104)))))</f>
        <v/>
      </c>
      <c r="G102" s="47">
        <f>IF(_calc!$E$104="","",IF(LEN(INDEX('Checks'!$N$4:$N$503,_calc!$E$104))=0,"",INDEX('Checks'!$N$4:$N$503,_calc!$E$104)))</f>
        <v/>
      </c>
      <c r="K102" s="47">
        <f>IF(_calc!$E$104="","",IF(LEN(INDEX('Checks'!$M$4:$M$503,_calc!$E$104))=0,"",INDEX('Checks'!$M$4:$M$503,_calc!$E$104)))</f>
        <v/>
      </c>
    </row>
    <row r="103">
      <c r="A103" s="47">
        <f>IF(_calc!$E$105="","",IF(LEN(INDEX('Checks'!$B$4:$B$503,_calc!$E$105))=0,"",INDEX('Checks'!$B$4:$B$503,_calc!$E$105))&amp;" – "&amp;IF(LEN(INDEX('Checks'!$A$4:$A$503,_calc!$E$105))=0,"",INDEX('Checks'!$A$4:$A$503,_calc!$E$105)))</f>
        <v/>
      </c>
      <c r="B103" s="47">
        <f>IF(_calc!$E$105="","",IF(ISNUMBER(INDEX('Checks'!$D$4:$D$503,_calc!$E$105)),TEXT(INDEX('Checks'!$D$4:$D$503,_calc!$E$105),"yyyy-mm-dd"),""))</f>
        <v/>
      </c>
      <c r="C103" s="47">
        <f>IF(_calc!$E$105="","",IF(LEN(INDEX('Checks'!$B$4:$B$503,_calc!$E$105))=0,"",INDEX('Checks'!$B$4:$B$503,_calc!$E$105)))</f>
        <v/>
      </c>
      <c r="D103" s="47">
        <f>IF(_calc!$E$105="","",IF(ISNUMBER(INDEX('Checks'!$C$4:$C$503,_calc!$E$105)),TEXT(INDEX('Checks'!$C$4:$C$503,_calc!$E$105),"yyyy-mm-dd"),""))</f>
        <v/>
      </c>
      <c r="E103" s="47">
        <f>IF(_calc!$E$105="","",IF(LEN(INDEX('Checks'!$L$4:$L$503,_calc!$E$105))=0,"",INDEX('Checks'!$L$4:$L$503,_calc!$E$105)))</f>
        <v/>
      </c>
      <c r="F103" s="47">
        <f>IF(_calc!$E$105="","",TRIM(IF(LEN(IF(LEN(INDEX('Checks'!$I$4:$I$503,_calc!$E$105))=0,"",INDEX('Checks'!$I$4:$I$503,_calc!$E$105)))=0,"","Contractor: "&amp;IF(LEN(INDEX('Checks'!$I$4:$I$503,_calc!$E$105))=0,"",INDEX('Checks'!$I$4:$I$503,_calc!$E$105))&amp;". ")&amp;IF(LEN(IF(LEN(INDEX('Checks'!$J$4:$J$503,_calc!$E$105))=0,"",INDEX('Checks'!$J$4:$J$503,_calc!$E$105)))=0,"","Ref: "&amp;IF(LEN(INDEX('Checks'!$J$4:$J$503,_calc!$E$105))=0,"",INDEX('Checks'!$J$4:$J$503,_calc!$E$105))&amp;". ")&amp;IF(LEN(IF(ISNUMBER(INDEX('Checks'!$K$4:$K$503,_calc!$E$105)),TEXT(INDEX('Checks'!$K$4:$K$503,_calc!$E$105),"yyyy-mm-dd"),""))=0,"","Copy to tenant: "&amp;IF(ISNUMBER(INDEX('Checks'!$K$4:$K$503,_calc!$E$105)),TEXT(INDEX('Checks'!$K$4:$K$503,_calc!$E$105),"yyyy-mm-dd"),"")&amp;". ")&amp;IF(LEN(IF(LEN(INDEX('Checks'!$P$4:$P$503,_calc!$E$105))=0,"",INDEX('Checks'!$P$4:$P$503,_calc!$E$105)))=0,"",IF(LEN(INDEX('Checks'!$P$4:$P$503,_calc!$E$105))=0,"",INDEX('Checks'!$P$4:$P$503,_calc!$E$105)))))</f>
        <v/>
      </c>
      <c r="G103" s="47">
        <f>IF(_calc!$E$105="","",IF(LEN(INDEX('Checks'!$N$4:$N$503,_calc!$E$105))=0,"",INDEX('Checks'!$N$4:$N$503,_calc!$E$105)))</f>
        <v/>
      </c>
      <c r="K103" s="47">
        <f>IF(_calc!$E$105="","",IF(LEN(INDEX('Checks'!$M$4:$M$503,_calc!$E$105))=0,"",INDEX('Checks'!$M$4:$M$503,_calc!$E$105)))</f>
        <v/>
      </c>
    </row>
    <row r="104">
      <c r="A104" s="47">
        <f>IF(_calc!$E$106="","",IF(LEN(INDEX('Checks'!$B$4:$B$503,_calc!$E$106))=0,"",INDEX('Checks'!$B$4:$B$503,_calc!$E$106))&amp;" – "&amp;IF(LEN(INDEX('Checks'!$A$4:$A$503,_calc!$E$106))=0,"",INDEX('Checks'!$A$4:$A$503,_calc!$E$106)))</f>
        <v/>
      </c>
      <c r="B104" s="47">
        <f>IF(_calc!$E$106="","",IF(ISNUMBER(INDEX('Checks'!$D$4:$D$503,_calc!$E$106)),TEXT(INDEX('Checks'!$D$4:$D$503,_calc!$E$106),"yyyy-mm-dd"),""))</f>
        <v/>
      </c>
      <c r="C104" s="47">
        <f>IF(_calc!$E$106="","",IF(LEN(INDEX('Checks'!$B$4:$B$503,_calc!$E$106))=0,"",INDEX('Checks'!$B$4:$B$503,_calc!$E$106)))</f>
        <v/>
      </c>
      <c r="D104" s="47">
        <f>IF(_calc!$E$106="","",IF(ISNUMBER(INDEX('Checks'!$C$4:$C$503,_calc!$E$106)),TEXT(INDEX('Checks'!$C$4:$C$503,_calc!$E$106),"yyyy-mm-dd"),""))</f>
        <v/>
      </c>
      <c r="E104" s="47">
        <f>IF(_calc!$E$106="","",IF(LEN(INDEX('Checks'!$L$4:$L$503,_calc!$E$106))=0,"",INDEX('Checks'!$L$4:$L$503,_calc!$E$106)))</f>
        <v/>
      </c>
      <c r="F104" s="47">
        <f>IF(_calc!$E$106="","",TRIM(IF(LEN(IF(LEN(INDEX('Checks'!$I$4:$I$503,_calc!$E$106))=0,"",INDEX('Checks'!$I$4:$I$503,_calc!$E$106)))=0,"","Contractor: "&amp;IF(LEN(INDEX('Checks'!$I$4:$I$503,_calc!$E$106))=0,"",INDEX('Checks'!$I$4:$I$503,_calc!$E$106))&amp;". ")&amp;IF(LEN(IF(LEN(INDEX('Checks'!$J$4:$J$503,_calc!$E$106))=0,"",INDEX('Checks'!$J$4:$J$503,_calc!$E$106)))=0,"","Ref: "&amp;IF(LEN(INDEX('Checks'!$J$4:$J$503,_calc!$E$106))=0,"",INDEX('Checks'!$J$4:$J$503,_calc!$E$106))&amp;". ")&amp;IF(LEN(IF(ISNUMBER(INDEX('Checks'!$K$4:$K$503,_calc!$E$106)),TEXT(INDEX('Checks'!$K$4:$K$503,_calc!$E$106),"yyyy-mm-dd"),""))=0,"","Copy to tenant: "&amp;IF(ISNUMBER(INDEX('Checks'!$K$4:$K$503,_calc!$E$106)),TEXT(INDEX('Checks'!$K$4:$K$503,_calc!$E$106),"yyyy-mm-dd"),"")&amp;". ")&amp;IF(LEN(IF(LEN(INDEX('Checks'!$P$4:$P$503,_calc!$E$106))=0,"",INDEX('Checks'!$P$4:$P$503,_calc!$E$106)))=0,"",IF(LEN(INDEX('Checks'!$P$4:$P$503,_calc!$E$106))=0,"",INDEX('Checks'!$P$4:$P$503,_calc!$E$106)))))</f>
        <v/>
      </c>
      <c r="G104" s="47">
        <f>IF(_calc!$E$106="","",IF(LEN(INDEX('Checks'!$N$4:$N$503,_calc!$E$106))=0,"",INDEX('Checks'!$N$4:$N$503,_calc!$E$106)))</f>
        <v/>
      </c>
      <c r="K104" s="47">
        <f>IF(_calc!$E$106="","",IF(LEN(INDEX('Checks'!$M$4:$M$503,_calc!$E$106))=0,"",INDEX('Checks'!$M$4:$M$503,_calc!$E$106)))</f>
        <v/>
      </c>
    </row>
    <row r="105">
      <c r="A105" s="47">
        <f>IF(_calc!$E$107="","",IF(LEN(INDEX('Checks'!$B$4:$B$503,_calc!$E$107))=0,"",INDEX('Checks'!$B$4:$B$503,_calc!$E$107))&amp;" – "&amp;IF(LEN(INDEX('Checks'!$A$4:$A$503,_calc!$E$107))=0,"",INDEX('Checks'!$A$4:$A$503,_calc!$E$107)))</f>
        <v/>
      </c>
      <c r="B105" s="47">
        <f>IF(_calc!$E$107="","",IF(ISNUMBER(INDEX('Checks'!$D$4:$D$503,_calc!$E$107)),TEXT(INDEX('Checks'!$D$4:$D$503,_calc!$E$107),"yyyy-mm-dd"),""))</f>
        <v/>
      </c>
      <c r="C105" s="47">
        <f>IF(_calc!$E$107="","",IF(LEN(INDEX('Checks'!$B$4:$B$503,_calc!$E$107))=0,"",INDEX('Checks'!$B$4:$B$503,_calc!$E$107)))</f>
        <v/>
      </c>
      <c r="D105" s="47">
        <f>IF(_calc!$E$107="","",IF(ISNUMBER(INDEX('Checks'!$C$4:$C$503,_calc!$E$107)),TEXT(INDEX('Checks'!$C$4:$C$503,_calc!$E$107),"yyyy-mm-dd"),""))</f>
        <v/>
      </c>
      <c r="E105" s="47">
        <f>IF(_calc!$E$107="","",IF(LEN(INDEX('Checks'!$L$4:$L$503,_calc!$E$107))=0,"",INDEX('Checks'!$L$4:$L$503,_calc!$E$107)))</f>
        <v/>
      </c>
      <c r="F105" s="47">
        <f>IF(_calc!$E$107="","",TRIM(IF(LEN(IF(LEN(INDEX('Checks'!$I$4:$I$503,_calc!$E$107))=0,"",INDEX('Checks'!$I$4:$I$503,_calc!$E$107)))=0,"","Contractor: "&amp;IF(LEN(INDEX('Checks'!$I$4:$I$503,_calc!$E$107))=0,"",INDEX('Checks'!$I$4:$I$503,_calc!$E$107))&amp;". ")&amp;IF(LEN(IF(LEN(INDEX('Checks'!$J$4:$J$503,_calc!$E$107))=0,"",INDEX('Checks'!$J$4:$J$503,_calc!$E$107)))=0,"","Ref: "&amp;IF(LEN(INDEX('Checks'!$J$4:$J$503,_calc!$E$107))=0,"",INDEX('Checks'!$J$4:$J$503,_calc!$E$107))&amp;". ")&amp;IF(LEN(IF(ISNUMBER(INDEX('Checks'!$K$4:$K$503,_calc!$E$107)),TEXT(INDEX('Checks'!$K$4:$K$503,_calc!$E$107),"yyyy-mm-dd"),""))=0,"","Copy to tenant: "&amp;IF(ISNUMBER(INDEX('Checks'!$K$4:$K$503,_calc!$E$107)),TEXT(INDEX('Checks'!$K$4:$K$503,_calc!$E$107),"yyyy-mm-dd"),"")&amp;". ")&amp;IF(LEN(IF(LEN(INDEX('Checks'!$P$4:$P$503,_calc!$E$107))=0,"",INDEX('Checks'!$P$4:$P$503,_calc!$E$107)))=0,"",IF(LEN(INDEX('Checks'!$P$4:$P$503,_calc!$E$107))=0,"",INDEX('Checks'!$P$4:$P$503,_calc!$E$107)))))</f>
        <v/>
      </c>
      <c r="G105" s="47">
        <f>IF(_calc!$E$107="","",IF(LEN(INDEX('Checks'!$N$4:$N$503,_calc!$E$107))=0,"",INDEX('Checks'!$N$4:$N$503,_calc!$E$107)))</f>
        <v/>
      </c>
      <c r="K105" s="47">
        <f>IF(_calc!$E$107="","",IF(LEN(INDEX('Checks'!$M$4:$M$503,_calc!$E$107))=0,"",INDEX('Checks'!$M$4:$M$503,_calc!$E$107)))</f>
        <v/>
      </c>
    </row>
    <row r="106">
      <c r="A106" s="47">
        <f>IF(_calc!$E$108="","",IF(LEN(INDEX('Checks'!$B$4:$B$503,_calc!$E$108))=0,"",INDEX('Checks'!$B$4:$B$503,_calc!$E$108))&amp;" – "&amp;IF(LEN(INDEX('Checks'!$A$4:$A$503,_calc!$E$108))=0,"",INDEX('Checks'!$A$4:$A$503,_calc!$E$108)))</f>
        <v/>
      </c>
      <c r="B106" s="47">
        <f>IF(_calc!$E$108="","",IF(ISNUMBER(INDEX('Checks'!$D$4:$D$503,_calc!$E$108)),TEXT(INDEX('Checks'!$D$4:$D$503,_calc!$E$108),"yyyy-mm-dd"),""))</f>
        <v/>
      </c>
      <c r="C106" s="47">
        <f>IF(_calc!$E$108="","",IF(LEN(INDEX('Checks'!$B$4:$B$503,_calc!$E$108))=0,"",INDEX('Checks'!$B$4:$B$503,_calc!$E$108)))</f>
        <v/>
      </c>
      <c r="D106" s="47">
        <f>IF(_calc!$E$108="","",IF(ISNUMBER(INDEX('Checks'!$C$4:$C$503,_calc!$E$108)),TEXT(INDEX('Checks'!$C$4:$C$503,_calc!$E$108),"yyyy-mm-dd"),""))</f>
        <v/>
      </c>
      <c r="E106" s="47">
        <f>IF(_calc!$E$108="","",IF(LEN(INDEX('Checks'!$L$4:$L$503,_calc!$E$108))=0,"",INDEX('Checks'!$L$4:$L$503,_calc!$E$108)))</f>
        <v/>
      </c>
      <c r="F106" s="47">
        <f>IF(_calc!$E$108="","",TRIM(IF(LEN(IF(LEN(INDEX('Checks'!$I$4:$I$503,_calc!$E$108))=0,"",INDEX('Checks'!$I$4:$I$503,_calc!$E$108)))=0,"","Contractor: "&amp;IF(LEN(INDEX('Checks'!$I$4:$I$503,_calc!$E$108))=0,"",INDEX('Checks'!$I$4:$I$503,_calc!$E$108))&amp;". ")&amp;IF(LEN(IF(LEN(INDEX('Checks'!$J$4:$J$503,_calc!$E$108))=0,"",INDEX('Checks'!$J$4:$J$503,_calc!$E$108)))=0,"","Ref: "&amp;IF(LEN(INDEX('Checks'!$J$4:$J$503,_calc!$E$108))=0,"",INDEX('Checks'!$J$4:$J$503,_calc!$E$108))&amp;". ")&amp;IF(LEN(IF(ISNUMBER(INDEX('Checks'!$K$4:$K$503,_calc!$E$108)),TEXT(INDEX('Checks'!$K$4:$K$503,_calc!$E$108),"yyyy-mm-dd"),""))=0,"","Copy to tenant: "&amp;IF(ISNUMBER(INDEX('Checks'!$K$4:$K$503,_calc!$E$108)),TEXT(INDEX('Checks'!$K$4:$K$503,_calc!$E$108),"yyyy-mm-dd"),"")&amp;". ")&amp;IF(LEN(IF(LEN(INDEX('Checks'!$P$4:$P$503,_calc!$E$108))=0,"",INDEX('Checks'!$P$4:$P$503,_calc!$E$108)))=0,"",IF(LEN(INDEX('Checks'!$P$4:$P$503,_calc!$E$108))=0,"",INDEX('Checks'!$P$4:$P$503,_calc!$E$108)))))</f>
        <v/>
      </c>
      <c r="G106" s="47">
        <f>IF(_calc!$E$108="","",IF(LEN(INDEX('Checks'!$N$4:$N$503,_calc!$E$108))=0,"",INDEX('Checks'!$N$4:$N$503,_calc!$E$108)))</f>
        <v/>
      </c>
      <c r="K106" s="47">
        <f>IF(_calc!$E$108="","",IF(LEN(INDEX('Checks'!$M$4:$M$503,_calc!$E$108))=0,"",INDEX('Checks'!$M$4:$M$503,_calc!$E$108)))</f>
        <v/>
      </c>
    </row>
    <row r="107">
      <c r="A107" s="47">
        <f>IF(_calc!$E$109="","",IF(LEN(INDEX('Checks'!$B$4:$B$503,_calc!$E$109))=0,"",INDEX('Checks'!$B$4:$B$503,_calc!$E$109))&amp;" – "&amp;IF(LEN(INDEX('Checks'!$A$4:$A$503,_calc!$E$109))=0,"",INDEX('Checks'!$A$4:$A$503,_calc!$E$109)))</f>
        <v/>
      </c>
      <c r="B107" s="47">
        <f>IF(_calc!$E$109="","",IF(ISNUMBER(INDEX('Checks'!$D$4:$D$503,_calc!$E$109)),TEXT(INDEX('Checks'!$D$4:$D$503,_calc!$E$109),"yyyy-mm-dd"),""))</f>
        <v/>
      </c>
      <c r="C107" s="47">
        <f>IF(_calc!$E$109="","",IF(LEN(INDEX('Checks'!$B$4:$B$503,_calc!$E$109))=0,"",INDEX('Checks'!$B$4:$B$503,_calc!$E$109)))</f>
        <v/>
      </c>
      <c r="D107" s="47">
        <f>IF(_calc!$E$109="","",IF(ISNUMBER(INDEX('Checks'!$C$4:$C$503,_calc!$E$109)),TEXT(INDEX('Checks'!$C$4:$C$503,_calc!$E$109),"yyyy-mm-dd"),""))</f>
        <v/>
      </c>
      <c r="E107" s="47">
        <f>IF(_calc!$E$109="","",IF(LEN(INDEX('Checks'!$L$4:$L$503,_calc!$E$109))=0,"",INDEX('Checks'!$L$4:$L$503,_calc!$E$109)))</f>
        <v/>
      </c>
      <c r="F107" s="47">
        <f>IF(_calc!$E$109="","",TRIM(IF(LEN(IF(LEN(INDEX('Checks'!$I$4:$I$503,_calc!$E$109))=0,"",INDEX('Checks'!$I$4:$I$503,_calc!$E$109)))=0,"","Contractor: "&amp;IF(LEN(INDEX('Checks'!$I$4:$I$503,_calc!$E$109))=0,"",INDEX('Checks'!$I$4:$I$503,_calc!$E$109))&amp;". ")&amp;IF(LEN(IF(LEN(INDEX('Checks'!$J$4:$J$503,_calc!$E$109))=0,"",INDEX('Checks'!$J$4:$J$503,_calc!$E$109)))=0,"","Ref: "&amp;IF(LEN(INDEX('Checks'!$J$4:$J$503,_calc!$E$109))=0,"",INDEX('Checks'!$J$4:$J$503,_calc!$E$109))&amp;". ")&amp;IF(LEN(IF(ISNUMBER(INDEX('Checks'!$K$4:$K$503,_calc!$E$109)),TEXT(INDEX('Checks'!$K$4:$K$503,_calc!$E$109),"yyyy-mm-dd"),""))=0,"","Copy to tenant: "&amp;IF(ISNUMBER(INDEX('Checks'!$K$4:$K$503,_calc!$E$109)),TEXT(INDEX('Checks'!$K$4:$K$503,_calc!$E$109),"yyyy-mm-dd"),"")&amp;". ")&amp;IF(LEN(IF(LEN(INDEX('Checks'!$P$4:$P$503,_calc!$E$109))=0,"",INDEX('Checks'!$P$4:$P$503,_calc!$E$109)))=0,"",IF(LEN(INDEX('Checks'!$P$4:$P$503,_calc!$E$109))=0,"",INDEX('Checks'!$P$4:$P$503,_calc!$E$109)))))</f>
        <v/>
      </c>
      <c r="G107" s="47">
        <f>IF(_calc!$E$109="","",IF(LEN(INDEX('Checks'!$N$4:$N$503,_calc!$E$109))=0,"",INDEX('Checks'!$N$4:$N$503,_calc!$E$109)))</f>
        <v/>
      </c>
      <c r="K107" s="47">
        <f>IF(_calc!$E$109="","",IF(LEN(INDEX('Checks'!$M$4:$M$503,_calc!$E$109))=0,"",INDEX('Checks'!$M$4:$M$503,_calc!$E$109)))</f>
        <v/>
      </c>
    </row>
    <row r="108">
      <c r="A108" s="47">
        <f>IF(_calc!$E$110="","",IF(LEN(INDEX('Checks'!$B$4:$B$503,_calc!$E$110))=0,"",INDEX('Checks'!$B$4:$B$503,_calc!$E$110))&amp;" – "&amp;IF(LEN(INDEX('Checks'!$A$4:$A$503,_calc!$E$110))=0,"",INDEX('Checks'!$A$4:$A$503,_calc!$E$110)))</f>
        <v/>
      </c>
      <c r="B108" s="47">
        <f>IF(_calc!$E$110="","",IF(ISNUMBER(INDEX('Checks'!$D$4:$D$503,_calc!$E$110)),TEXT(INDEX('Checks'!$D$4:$D$503,_calc!$E$110),"yyyy-mm-dd"),""))</f>
        <v/>
      </c>
      <c r="C108" s="47">
        <f>IF(_calc!$E$110="","",IF(LEN(INDEX('Checks'!$B$4:$B$503,_calc!$E$110))=0,"",INDEX('Checks'!$B$4:$B$503,_calc!$E$110)))</f>
        <v/>
      </c>
      <c r="D108" s="47">
        <f>IF(_calc!$E$110="","",IF(ISNUMBER(INDEX('Checks'!$C$4:$C$503,_calc!$E$110)),TEXT(INDEX('Checks'!$C$4:$C$503,_calc!$E$110),"yyyy-mm-dd"),""))</f>
        <v/>
      </c>
      <c r="E108" s="47">
        <f>IF(_calc!$E$110="","",IF(LEN(INDEX('Checks'!$L$4:$L$503,_calc!$E$110))=0,"",INDEX('Checks'!$L$4:$L$503,_calc!$E$110)))</f>
        <v/>
      </c>
      <c r="F108" s="47">
        <f>IF(_calc!$E$110="","",TRIM(IF(LEN(IF(LEN(INDEX('Checks'!$I$4:$I$503,_calc!$E$110))=0,"",INDEX('Checks'!$I$4:$I$503,_calc!$E$110)))=0,"","Contractor: "&amp;IF(LEN(INDEX('Checks'!$I$4:$I$503,_calc!$E$110))=0,"",INDEX('Checks'!$I$4:$I$503,_calc!$E$110))&amp;". ")&amp;IF(LEN(IF(LEN(INDEX('Checks'!$J$4:$J$503,_calc!$E$110))=0,"",INDEX('Checks'!$J$4:$J$503,_calc!$E$110)))=0,"","Ref: "&amp;IF(LEN(INDEX('Checks'!$J$4:$J$503,_calc!$E$110))=0,"",INDEX('Checks'!$J$4:$J$503,_calc!$E$110))&amp;". ")&amp;IF(LEN(IF(ISNUMBER(INDEX('Checks'!$K$4:$K$503,_calc!$E$110)),TEXT(INDEX('Checks'!$K$4:$K$503,_calc!$E$110),"yyyy-mm-dd"),""))=0,"","Copy to tenant: "&amp;IF(ISNUMBER(INDEX('Checks'!$K$4:$K$503,_calc!$E$110)),TEXT(INDEX('Checks'!$K$4:$K$503,_calc!$E$110),"yyyy-mm-dd"),"")&amp;". ")&amp;IF(LEN(IF(LEN(INDEX('Checks'!$P$4:$P$503,_calc!$E$110))=0,"",INDEX('Checks'!$P$4:$P$503,_calc!$E$110)))=0,"",IF(LEN(INDEX('Checks'!$P$4:$P$503,_calc!$E$110))=0,"",INDEX('Checks'!$P$4:$P$503,_calc!$E$110)))))</f>
        <v/>
      </c>
      <c r="G108" s="47">
        <f>IF(_calc!$E$110="","",IF(LEN(INDEX('Checks'!$N$4:$N$503,_calc!$E$110))=0,"",INDEX('Checks'!$N$4:$N$503,_calc!$E$110)))</f>
        <v/>
      </c>
      <c r="K108" s="47">
        <f>IF(_calc!$E$110="","",IF(LEN(INDEX('Checks'!$M$4:$M$503,_calc!$E$110))=0,"",INDEX('Checks'!$M$4:$M$503,_calc!$E$110)))</f>
        <v/>
      </c>
    </row>
    <row r="109">
      <c r="A109" s="47">
        <f>IF(_calc!$E$111="","",IF(LEN(INDEX('Checks'!$B$4:$B$503,_calc!$E$111))=0,"",INDEX('Checks'!$B$4:$B$503,_calc!$E$111))&amp;" – "&amp;IF(LEN(INDEX('Checks'!$A$4:$A$503,_calc!$E$111))=0,"",INDEX('Checks'!$A$4:$A$503,_calc!$E$111)))</f>
        <v/>
      </c>
      <c r="B109" s="47">
        <f>IF(_calc!$E$111="","",IF(ISNUMBER(INDEX('Checks'!$D$4:$D$503,_calc!$E$111)),TEXT(INDEX('Checks'!$D$4:$D$503,_calc!$E$111),"yyyy-mm-dd"),""))</f>
        <v/>
      </c>
      <c r="C109" s="47">
        <f>IF(_calc!$E$111="","",IF(LEN(INDEX('Checks'!$B$4:$B$503,_calc!$E$111))=0,"",INDEX('Checks'!$B$4:$B$503,_calc!$E$111)))</f>
        <v/>
      </c>
      <c r="D109" s="47">
        <f>IF(_calc!$E$111="","",IF(ISNUMBER(INDEX('Checks'!$C$4:$C$503,_calc!$E$111)),TEXT(INDEX('Checks'!$C$4:$C$503,_calc!$E$111),"yyyy-mm-dd"),""))</f>
        <v/>
      </c>
      <c r="E109" s="47">
        <f>IF(_calc!$E$111="","",IF(LEN(INDEX('Checks'!$L$4:$L$503,_calc!$E$111))=0,"",INDEX('Checks'!$L$4:$L$503,_calc!$E$111)))</f>
        <v/>
      </c>
      <c r="F109" s="47">
        <f>IF(_calc!$E$111="","",TRIM(IF(LEN(IF(LEN(INDEX('Checks'!$I$4:$I$503,_calc!$E$111))=0,"",INDEX('Checks'!$I$4:$I$503,_calc!$E$111)))=0,"","Contractor: "&amp;IF(LEN(INDEX('Checks'!$I$4:$I$503,_calc!$E$111))=0,"",INDEX('Checks'!$I$4:$I$503,_calc!$E$111))&amp;". ")&amp;IF(LEN(IF(LEN(INDEX('Checks'!$J$4:$J$503,_calc!$E$111))=0,"",INDEX('Checks'!$J$4:$J$503,_calc!$E$111)))=0,"","Ref: "&amp;IF(LEN(INDEX('Checks'!$J$4:$J$503,_calc!$E$111))=0,"",INDEX('Checks'!$J$4:$J$503,_calc!$E$111))&amp;". ")&amp;IF(LEN(IF(ISNUMBER(INDEX('Checks'!$K$4:$K$503,_calc!$E$111)),TEXT(INDEX('Checks'!$K$4:$K$503,_calc!$E$111),"yyyy-mm-dd"),""))=0,"","Copy to tenant: "&amp;IF(ISNUMBER(INDEX('Checks'!$K$4:$K$503,_calc!$E$111)),TEXT(INDEX('Checks'!$K$4:$K$503,_calc!$E$111),"yyyy-mm-dd"),"")&amp;". ")&amp;IF(LEN(IF(LEN(INDEX('Checks'!$P$4:$P$503,_calc!$E$111))=0,"",INDEX('Checks'!$P$4:$P$503,_calc!$E$111)))=0,"",IF(LEN(INDEX('Checks'!$P$4:$P$503,_calc!$E$111))=0,"",INDEX('Checks'!$P$4:$P$503,_calc!$E$111)))))</f>
        <v/>
      </c>
      <c r="G109" s="47">
        <f>IF(_calc!$E$111="","",IF(LEN(INDEX('Checks'!$N$4:$N$503,_calc!$E$111))=0,"",INDEX('Checks'!$N$4:$N$503,_calc!$E$111)))</f>
        <v/>
      </c>
      <c r="K109" s="47">
        <f>IF(_calc!$E$111="","",IF(LEN(INDEX('Checks'!$M$4:$M$503,_calc!$E$111))=0,"",INDEX('Checks'!$M$4:$M$503,_calc!$E$111)))</f>
        <v/>
      </c>
    </row>
    <row r="110">
      <c r="A110" s="47">
        <f>IF(_calc!$E$112="","",IF(LEN(INDEX('Checks'!$B$4:$B$503,_calc!$E$112))=0,"",INDEX('Checks'!$B$4:$B$503,_calc!$E$112))&amp;" – "&amp;IF(LEN(INDEX('Checks'!$A$4:$A$503,_calc!$E$112))=0,"",INDEX('Checks'!$A$4:$A$503,_calc!$E$112)))</f>
        <v/>
      </c>
      <c r="B110" s="47">
        <f>IF(_calc!$E$112="","",IF(ISNUMBER(INDEX('Checks'!$D$4:$D$503,_calc!$E$112)),TEXT(INDEX('Checks'!$D$4:$D$503,_calc!$E$112),"yyyy-mm-dd"),""))</f>
        <v/>
      </c>
      <c r="C110" s="47">
        <f>IF(_calc!$E$112="","",IF(LEN(INDEX('Checks'!$B$4:$B$503,_calc!$E$112))=0,"",INDEX('Checks'!$B$4:$B$503,_calc!$E$112)))</f>
        <v/>
      </c>
      <c r="D110" s="47">
        <f>IF(_calc!$E$112="","",IF(ISNUMBER(INDEX('Checks'!$C$4:$C$503,_calc!$E$112)),TEXT(INDEX('Checks'!$C$4:$C$503,_calc!$E$112),"yyyy-mm-dd"),""))</f>
        <v/>
      </c>
      <c r="E110" s="47">
        <f>IF(_calc!$E$112="","",IF(LEN(INDEX('Checks'!$L$4:$L$503,_calc!$E$112))=0,"",INDEX('Checks'!$L$4:$L$503,_calc!$E$112)))</f>
        <v/>
      </c>
      <c r="F110" s="47">
        <f>IF(_calc!$E$112="","",TRIM(IF(LEN(IF(LEN(INDEX('Checks'!$I$4:$I$503,_calc!$E$112))=0,"",INDEX('Checks'!$I$4:$I$503,_calc!$E$112)))=0,"","Contractor: "&amp;IF(LEN(INDEX('Checks'!$I$4:$I$503,_calc!$E$112))=0,"",INDEX('Checks'!$I$4:$I$503,_calc!$E$112))&amp;". ")&amp;IF(LEN(IF(LEN(INDEX('Checks'!$J$4:$J$503,_calc!$E$112))=0,"",INDEX('Checks'!$J$4:$J$503,_calc!$E$112)))=0,"","Ref: "&amp;IF(LEN(INDEX('Checks'!$J$4:$J$503,_calc!$E$112))=0,"",INDEX('Checks'!$J$4:$J$503,_calc!$E$112))&amp;". ")&amp;IF(LEN(IF(ISNUMBER(INDEX('Checks'!$K$4:$K$503,_calc!$E$112)),TEXT(INDEX('Checks'!$K$4:$K$503,_calc!$E$112),"yyyy-mm-dd"),""))=0,"","Copy to tenant: "&amp;IF(ISNUMBER(INDEX('Checks'!$K$4:$K$503,_calc!$E$112)),TEXT(INDEX('Checks'!$K$4:$K$503,_calc!$E$112),"yyyy-mm-dd"),"")&amp;". ")&amp;IF(LEN(IF(LEN(INDEX('Checks'!$P$4:$P$503,_calc!$E$112))=0,"",INDEX('Checks'!$P$4:$P$503,_calc!$E$112)))=0,"",IF(LEN(INDEX('Checks'!$P$4:$P$503,_calc!$E$112))=0,"",INDEX('Checks'!$P$4:$P$503,_calc!$E$112)))))</f>
        <v/>
      </c>
      <c r="G110" s="47">
        <f>IF(_calc!$E$112="","",IF(LEN(INDEX('Checks'!$N$4:$N$503,_calc!$E$112))=0,"",INDEX('Checks'!$N$4:$N$503,_calc!$E$112)))</f>
        <v/>
      </c>
      <c r="K110" s="47">
        <f>IF(_calc!$E$112="","",IF(LEN(INDEX('Checks'!$M$4:$M$503,_calc!$E$112))=0,"",INDEX('Checks'!$M$4:$M$503,_calc!$E$112)))</f>
        <v/>
      </c>
    </row>
    <row r="111">
      <c r="A111" s="47">
        <f>IF(_calc!$E$113="","",IF(LEN(INDEX('Checks'!$B$4:$B$503,_calc!$E$113))=0,"",INDEX('Checks'!$B$4:$B$503,_calc!$E$113))&amp;" – "&amp;IF(LEN(INDEX('Checks'!$A$4:$A$503,_calc!$E$113))=0,"",INDEX('Checks'!$A$4:$A$503,_calc!$E$113)))</f>
        <v/>
      </c>
      <c r="B111" s="47">
        <f>IF(_calc!$E$113="","",IF(ISNUMBER(INDEX('Checks'!$D$4:$D$503,_calc!$E$113)),TEXT(INDEX('Checks'!$D$4:$D$503,_calc!$E$113),"yyyy-mm-dd"),""))</f>
        <v/>
      </c>
      <c r="C111" s="47">
        <f>IF(_calc!$E$113="","",IF(LEN(INDEX('Checks'!$B$4:$B$503,_calc!$E$113))=0,"",INDEX('Checks'!$B$4:$B$503,_calc!$E$113)))</f>
        <v/>
      </c>
      <c r="D111" s="47">
        <f>IF(_calc!$E$113="","",IF(ISNUMBER(INDEX('Checks'!$C$4:$C$503,_calc!$E$113)),TEXT(INDEX('Checks'!$C$4:$C$503,_calc!$E$113),"yyyy-mm-dd"),""))</f>
        <v/>
      </c>
      <c r="E111" s="47">
        <f>IF(_calc!$E$113="","",IF(LEN(INDEX('Checks'!$L$4:$L$503,_calc!$E$113))=0,"",INDEX('Checks'!$L$4:$L$503,_calc!$E$113)))</f>
        <v/>
      </c>
      <c r="F111" s="47">
        <f>IF(_calc!$E$113="","",TRIM(IF(LEN(IF(LEN(INDEX('Checks'!$I$4:$I$503,_calc!$E$113))=0,"",INDEX('Checks'!$I$4:$I$503,_calc!$E$113)))=0,"","Contractor: "&amp;IF(LEN(INDEX('Checks'!$I$4:$I$503,_calc!$E$113))=0,"",INDEX('Checks'!$I$4:$I$503,_calc!$E$113))&amp;". ")&amp;IF(LEN(IF(LEN(INDEX('Checks'!$J$4:$J$503,_calc!$E$113))=0,"",INDEX('Checks'!$J$4:$J$503,_calc!$E$113)))=0,"","Ref: "&amp;IF(LEN(INDEX('Checks'!$J$4:$J$503,_calc!$E$113))=0,"",INDEX('Checks'!$J$4:$J$503,_calc!$E$113))&amp;". ")&amp;IF(LEN(IF(ISNUMBER(INDEX('Checks'!$K$4:$K$503,_calc!$E$113)),TEXT(INDEX('Checks'!$K$4:$K$503,_calc!$E$113),"yyyy-mm-dd"),""))=0,"","Copy to tenant: "&amp;IF(ISNUMBER(INDEX('Checks'!$K$4:$K$503,_calc!$E$113)),TEXT(INDEX('Checks'!$K$4:$K$503,_calc!$E$113),"yyyy-mm-dd"),"")&amp;". ")&amp;IF(LEN(IF(LEN(INDEX('Checks'!$P$4:$P$503,_calc!$E$113))=0,"",INDEX('Checks'!$P$4:$P$503,_calc!$E$113)))=0,"",IF(LEN(INDEX('Checks'!$P$4:$P$503,_calc!$E$113))=0,"",INDEX('Checks'!$P$4:$P$503,_calc!$E$113)))))</f>
        <v/>
      </c>
      <c r="G111" s="47">
        <f>IF(_calc!$E$113="","",IF(LEN(INDEX('Checks'!$N$4:$N$503,_calc!$E$113))=0,"",INDEX('Checks'!$N$4:$N$503,_calc!$E$113)))</f>
        <v/>
      </c>
      <c r="K111" s="47">
        <f>IF(_calc!$E$113="","",IF(LEN(INDEX('Checks'!$M$4:$M$503,_calc!$E$113))=0,"",INDEX('Checks'!$M$4:$M$503,_calc!$E$113)))</f>
        <v/>
      </c>
    </row>
    <row r="112">
      <c r="A112" s="47">
        <f>IF(_calc!$E$114="","",IF(LEN(INDEX('Checks'!$B$4:$B$503,_calc!$E$114))=0,"",INDEX('Checks'!$B$4:$B$503,_calc!$E$114))&amp;" – "&amp;IF(LEN(INDEX('Checks'!$A$4:$A$503,_calc!$E$114))=0,"",INDEX('Checks'!$A$4:$A$503,_calc!$E$114)))</f>
        <v/>
      </c>
      <c r="B112" s="47">
        <f>IF(_calc!$E$114="","",IF(ISNUMBER(INDEX('Checks'!$D$4:$D$503,_calc!$E$114)),TEXT(INDEX('Checks'!$D$4:$D$503,_calc!$E$114),"yyyy-mm-dd"),""))</f>
        <v/>
      </c>
      <c r="C112" s="47">
        <f>IF(_calc!$E$114="","",IF(LEN(INDEX('Checks'!$B$4:$B$503,_calc!$E$114))=0,"",INDEX('Checks'!$B$4:$B$503,_calc!$E$114)))</f>
        <v/>
      </c>
      <c r="D112" s="47">
        <f>IF(_calc!$E$114="","",IF(ISNUMBER(INDEX('Checks'!$C$4:$C$503,_calc!$E$114)),TEXT(INDEX('Checks'!$C$4:$C$503,_calc!$E$114),"yyyy-mm-dd"),""))</f>
        <v/>
      </c>
      <c r="E112" s="47">
        <f>IF(_calc!$E$114="","",IF(LEN(INDEX('Checks'!$L$4:$L$503,_calc!$E$114))=0,"",INDEX('Checks'!$L$4:$L$503,_calc!$E$114)))</f>
        <v/>
      </c>
      <c r="F112" s="47">
        <f>IF(_calc!$E$114="","",TRIM(IF(LEN(IF(LEN(INDEX('Checks'!$I$4:$I$503,_calc!$E$114))=0,"",INDEX('Checks'!$I$4:$I$503,_calc!$E$114)))=0,"","Contractor: "&amp;IF(LEN(INDEX('Checks'!$I$4:$I$503,_calc!$E$114))=0,"",INDEX('Checks'!$I$4:$I$503,_calc!$E$114))&amp;". ")&amp;IF(LEN(IF(LEN(INDEX('Checks'!$J$4:$J$503,_calc!$E$114))=0,"",INDEX('Checks'!$J$4:$J$503,_calc!$E$114)))=0,"","Ref: "&amp;IF(LEN(INDEX('Checks'!$J$4:$J$503,_calc!$E$114))=0,"",INDEX('Checks'!$J$4:$J$503,_calc!$E$114))&amp;". ")&amp;IF(LEN(IF(ISNUMBER(INDEX('Checks'!$K$4:$K$503,_calc!$E$114)),TEXT(INDEX('Checks'!$K$4:$K$503,_calc!$E$114),"yyyy-mm-dd"),""))=0,"","Copy to tenant: "&amp;IF(ISNUMBER(INDEX('Checks'!$K$4:$K$503,_calc!$E$114)),TEXT(INDEX('Checks'!$K$4:$K$503,_calc!$E$114),"yyyy-mm-dd"),"")&amp;". ")&amp;IF(LEN(IF(LEN(INDEX('Checks'!$P$4:$P$503,_calc!$E$114))=0,"",INDEX('Checks'!$P$4:$P$503,_calc!$E$114)))=0,"",IF(LEN(INDEX('Checks'!$P$4:$P$503,_calc!$E$114))=0,"",INDEX('Checks'!$P$4:$P$503,_calc!$E$114)))))</f>
        <v/>
      </c>
      <c r="G112" s="47">
        <f>IF(_calc!$E$114="","",IF(LEN(INDEX('Checks'!$N$4:$N$503,_calc!$E$114))=0,"",INDEX('Checks'!$N$4:$N$503,_calc!$E$114)))</f>
        <v/>
      </c>
      <c r="K112" s="47">
        <f>IF(_calc!$E$114="","",IF(LEN(INDEX('Checks'!$M$4:$M$503,_calc!$E$114))=0,"",INDEX('Checks'!$M$4:$M$503,_calc!$E$114)))</f>
        <v/>
      </c>
    </row>
    <row r="113">
      <c r="A113" s="47">
        <f>IF(_calc!$E$115="","",IF(LEN(INDEX('Checks'!$B$4:$B$503,_calc!$E$115))=0,"",INDEX('Checks'!$B$4:$B$503,_calc!$E$115))&amp;" – "&amp;IF(LEN(INDEX('Checks'!$A$4:$A$503,_calc!$E$115))=0,"",INDEX('Checks'!$A$4:$A$503,_calc!$E$115)))</f>
        <v/>
      </c>
      <c r="B113" s="47">
        <f>IF(_calc!$E$115="","",IF(ISNUMBER(INDEX('Checks'!$D$4:$D$503,_calc!$E$115)),TEXT(INDEX('Checks'!$D$4:$D$503,_calc!$E$115),"yyyy-mm-dd"),""))</f>
        <v/>
      </c>
      <c r="C113" s="47">
        <f>IF(_calc!$E$115="","",IF(LEN(INDEX('Checks'!$B$4:$B$503,_calc!$E$115))=0,"",INDEX('Checks'!$B$4:$B$503,_calc!$E$115)))</f>
        <v/>
      </c>
      <c r="D113" s="47">
        <f>IF(_calc!$E$115="","",IF(ISNUMBER(INDEX('Checks'!$C$4:$C$503,_calc!$E$115)),TEXT(INDEX('Checks'!$C$4:$C$503,_calc!$E$115),"yyyy-mm-dd"),""))</f>
        <v/>
      </c>
      <c r="E113" s="47">
        <f>IF(_calc!$E$115="","",IF(LEN(INDEX('Checks'!$L$4:$L$503,_calc!$E$115))=0,"",INDEX('Checks'!$L$4:$L$503,_calc!$E$115)))</f>
        <v/>
      </c>
      <c r="F113" s="47">
        <f>IF(_calc!$E$115="","",TRIM(IF(LEN(IF(LEN(INDEX('Checks'!$I$4:$I$503,_calc!$E$115))=0,"",INDEX('Checks'!$I$4:$I$503,_calc!$E$115)))=0,"","Contractor: "&amp;IF(LEN(INDEX('Checks'!$I$4:$I$503,_calc!$E$115))=0,"",INDEX('Checks'!$I$4:$I$503,_calc!$E$115))&amp;". ")&amp;IF(LEN(IF(LEN(INDEX('Checks'!$J$4:$J$503,_calc!$E$115))=0,"",INDEX('Checks'!$J$4:$J$503,_calc!$E$115)))=0,"","Ref: "&amp;IF(LEN(INDEX('Checks'!$J$4:$J$503,_calc!$E$115))=0,"",INDEX('Checks'!$J$4:$J$503,_calc!$E$115))&amp;". ")&amp;IF(LEN(IF(ISNUMBER(INDEX('Checks'!$K$4:$K$503,_calc!$E$115)),TEXT(INDEX('Checks'!$K$4:$K$503,_calc!$E$115),"yyyy-mm-dd"),""))=0,"","Copy to tenant: "&amp;IF(ISNUMBER(INDEX('Checks'!$K$4:$K$503,_calc!$E$115)),TEXT(INDEX('Checks'!$K$4:$K$503,_calc!$E$115),"yyyy-mm-dd"),"")&amp;". ")&amp;IF(LEN(IF(LEN(INDEX('Checks'!$P$4:$P$503,_calc!$E$115))=0,"",INDEX('Checks'!$P$4:$P$503,_calc!$E$115)))=0,"",IF(LEN(INDEX('Checks'!$P$4:$P$503,_calc!$E$115))=0,"",INDEX('Checks'!$P$4:$P$503,_calc!$E$115)))))</f>
        <v/>
      </c>
      <c r="G113" s="47">
        <f>IF(_calc!$E$115="","",IF(LEN(INDEX('Checks'!$N$4:$N$503,_calc!$E$115))=0,"",INDEX('Checks'!$N$4:$N$503,_calc!$E$115)))</f>
        <v/>
      </c>
      <c r="K113" s="47">
        <f>IF(_calc!$E$115="","",IF(LEN(INDEX('Checks'!$M$4:$M$503,_calc!$E$115))=0,"",INDEX('Checks'!$M$4:$M$503,_calc!$E$115)))</f>
        <v/>
      </c>
    </row>
    <row r="114">
      <c r="A114" s="47">
        <f>IF(_calc!$E$116="","",IF(LEN(INDEX('Checks'!$B$4:$B$503,_calc!$E$116))=0,"",INDEX('Checks'!$B$4:$B$503,_calc!$E$116))&amp;" – "&amp;IF(LEN(INDEX('Checks'!$A$4:$A$503,_calc!$E$116))=0,"",INDEX('Checks'!$A$4:$A$503,_calc!$E$116)))</f>
        <v/>
      </c>
      <c r="B114" s="47">
        <f>IF(_calc!$E$116="","",IF(ISNUMBER(INDEX('Checks'!$D$4:$D$503,_calc!$E$116)),TEXT(INDEX('Checks'!$D$4:$D$503,_calc!$E$116),"yyyy-mm-dd"),""))</f>
        <v/>
      </c>
      <c r="C114" s="47">
        <f>IF(_calc!$E$116="","",IF(LEN(INDEX('Checks'!$B$4:$B$503,_calc!$E$116))=0,"",INDEX('Checks'!$B$4:$B$503,_calc!$E$116)))</f>
        <v/>
      </c>
      <c r="D114" s="47">
        <f>IF(_calc!$E$116="","",IF(ISNUMBER(INDEX('Checks'!$C$4:$C$503,_calc!$E$116)),TEXT(INDEX('Checks'!$C$4:$C$503,_calc!$E$116),"yyyy-mm-dd"),""))</f>
        <v/>
      </c>
      <c r="E114" s="47">
        <f>IF(_calc!$E$116="","",IF(LEN(INDEX('Checks'!$L$4:$L$503,_calc!$E$116))=0,"",INDEX('Checks'!$L$4:$L$503,_calc!$E$116)))</f>
        <v/>
      </c>
      <c r="F114" s="47">
        <f>IF(_calc!$E$116="","",TRIM(IF(LEN(IF(LEN(INDEX('Checks'!$I$4:$I$503,_calc!$E$116))=0,"",INDEX('Checks'!$I$4:$I$503,_calc!$E$116)))=0,"","Contractor: "&amp;IF(LEN(INDEX('Checks'!$I$4:$I$503,_calc!$E$116))=0,"",INDEX('Checks'!$I$4:$I$503,_calc!$E$116))&amp;". ")&amp;IF(LEN(IF(LEN(INDEX('Checks'!$J$4:$J$503,_calc!$E$116))=0,"",INDEX('Checks'!$J$4:$J$503,_calc!$E$116)))=0,"","Ref: "&amp;IF(LEN(INDEX('Checks'!$J$4:$J$503,_calc!$E$116))=0,"",INDEX('Checks'!$J$4:$J$503,_calc!$E$116))&amp;". ")&amp;IF(LEN(IF(ISNUMBER(INDEX('Checks'!$K$4:$K$503,_calc!$E$116)),TEXT(INDEX('Checks'!$K$4:$K$503,_calc!$E$116),"yyyy-mm-dd"),""))=0,"","Copy to tenant: "&amp;IF(ISNUMBER(INDEX('Checks'!$K$4:$K$503,_calc!$E$116)),TEXT(INDEX('Checks'!$K$4:$K$503,_calc!$E$116),"yyyy-mm-dd"),"")&amp;". ")&amp;IF(LEN(IF(LEN(INDEX('Checks'!$P$4:$P$503,_calc!$E$116))=0,"",INDEX('Checks'!$P$4:$P$503,_calc!$E$116)))=0,"",IF(LEN(INDEX('Checks'!$P$4:$P$503,_calc!$E$116))=0,"",INDEX('Checks'!$P$4:$P$503,_calc!$E$116)))))</f>
        <v/>
      </c>
      <c r="G114" s="47">
        <f>IF(_calc!$E$116="","",IF(LEN(INDEX('Checks'!$N$4:$N$503,_calc!$E$116))=0,"",INDEX('Checks'!$N$4:$N$503,_calc!$E$116)))</f>
        <v/>
      </c>
      <c r="K114" s="47">
        <f>IF(_calc!$E$116="","",IF(LEN(INDEX('Checks'!$M$4:$M$503,_calc!$E$116))=0,"",INDEX('Checks'!$M$4:$M$503,_calc!$E$116)))</f>
        <v/>
      </c>
    </row>
    <row r="115">
      <c r="A115" s="47">
        <f>IF(_calc!$E$117="","",IF(LEN(INDEX('Checks'!$B$4:$B$503,_calc!$E$117))=0,"",INDEX('Checks'!$B$4:$B$503,_calc!$E$117))&amp;" – "&amp;IF(LEN(INDEX('Checks'!$A$4:$A$503,_calc!$E$117))=0,"",INDEX('Checks'!$A$4:$A$503,_calc!$E$117)))</f>
        <v/>
      </c>
      <c r="B115" s="47">
        <f>IF(_calc!$E$117="","",IF(ISNUMBER(INDEX('Checks'!$D$4:$D$503,_calc!$E$117)),TEXT(INDEX('Checks'!$D$4:$D$503,_calc!$E$117),"yyyy-mm-dd"),""))</f>
        <v/>
      </c>
      <c r="C115" s="47">
        <f>IF(_calc!$E$117="","",IF(LEN(INDEX('Checks'!$B$4:$B$503,_calc!$E$117))=0,"",INDEX('Checks'!$B$4:$B$503,_calc!$E$117)))</f>
        <v/>
      </c>
      <c r="D115" s="47">
        <f>IF(_calc!$E$117="","",IF(ISNUMBER(INDEX('Checks'!$C$4:$C$503,_calc!$E$117)),TEXT(INDEX('Checks'!$C$4:$C$503,_calc!$E$117),"yyyy-mm-dd"),""))</f>
        <v/>
      </c>
      <c r="E115" s="47">
        <f>IF(_calc!$E$117="","",IF(LEN(INDEX('Checks'!$L$4:$L$503,_calc!$E$117))=0,"",INDEX('Checks'!$L$4:$L$503,_calc!$E$117)))</f>
        <v/>
      </c>
      <c r="F115" s="47">
        <f>IF(_calc!$E$117="","",TRIM(IF(LEN(IF(LEN(INDEX('Checks'!$I$4:$I$503,_calc!$E$117))=0,"",INDEX('Checks'!$I$4:$I$503,_calc!$E$117)))=0,"","Contractor: "&amp;IF(LEN(INDEX('Checks'!$I$4:$I$503,_calc!$E$117))=0,"",INDEX('Checks'!$I$4:$I$503,_calc!$E$117))&amp;". ")&amp;IF(LEN(IF(LEN(INDEX('Checks'!$J$4:$J$503,_calc!$E$117))=0,"",INDEX('Checks'!$J$4:$J$503,_calc!$E$117)))=0,"","Ref: "&amp;IF(LEN(INDEX('Checks'!$J$4:$J$503,_calc!$E$117))=0,"",INDEX('Checks'!$J$4:$J$503,_calc!$E$117))&amp;". ")&amp;IF(LEN(IF(ISNUMBER(INDEX('Checks'!$K$4:$K$503,_calc!$E$117)),TEXT(INDEX('Checks'!$K$4:$K$503,_calc!$E$117),"yyyy-mm-dd"),""))=0,"","Copy to tenant: "&amp;IF(ISNUMBER(INDEX('Checks'!$K$4:$K$503,_calc!$E$117)),TEXT(INDEX('Checks'!$K$4:$K$503,_calc!$E$117),"yyyy-mm-dd"),"")&amp;". ")&amp;IF(LEN(IF(LEN(INDEX('Checks'!$P$4:$P$503,_calc!$E$117))=0,"",INDEX('Checks'!$P$4:$P$503,_calc!$E$117)))=0,"",IF(LEN(INDEX('Checks'!$P$4:$P$503,_calc!$E$117))=0,"",INDEX('Checks'!$P$4:$P$503,_calc!$E$117)))))</f>
        <v/>
      </c>
      <c r="G115" s="47">
        <f>IF(_calc!$E$117="","",IF(LEN(INDEX('Checks'!$N$4:$N$503,_calc!$E$117))=0,"",INDEX('Checks'!$N$4:$N$503,_calc!$E$117)))</f>
        <v/>
      </c>
      <c r="K115" s="47">
        <f>IF(_calc!$E$117="","",IF(LEN(INDEX('Checks'!$M$4:$M$503,_calc!$E$117))=0,"",INDEX('Checks'!$M$4:$M$503,_calc!$E$117)))</f>
        <v/>
      </c>
    </row>
    <row r="116">
      <c r="A116" s="47">
        <f>IF(_calc!$E$118="","",IF(LEN(INDEX('Checks'!$B$4:$B$503,_calc!$E$118))=0,"",INDEX('Checks'!$B$4:$B$503,_calc!$E$118))&amp;" – "&amp;IF(LEN(INDEX('Checks'!$A$4:$A$503,_calc!$E$118))=0,"",INDEX('Checks'!$A$4:$A$503,_calc!$E$118)))</f>
        <v/>
      </c>
      <c r="B116" s="47">
        <f>IF(_calc!$E$118="","",IF(ISNUMBER(INDEX('Checks'!$D$4:$D$503,_calc!$E$118)),TEXT(INDEX('Checks'!$D$4:$D$503,_calc!$E$118),"yyyy-mm-dd"),""))</f>
        <v/>
      </c>
      <c r="C116" s="47">
        <f>IF(_calc!$E$118="","",IF(LEN(INDEX('Checks'!$B$4:$B$503,_calc!$E$118))=0,"",INDEX('Checks'!$B$4:$B$503,_calc!$E$118)))</f>
        <v/>
      </c>
      <c r="D116" s="47">
        <f>IF(_calc!$E$118="","",IF(ISNUMBER(INDEX('Checks'!$C$4:$C$503,_calc!$E$118)),TEXT(INDEX('Checks'!$C$4:$C$503,_calc!$E$118),"yyyy-mm-dd"),""))</f>
        <v/>
      </c>
      <c r="E116" s="47">
        <f>IF(_calc!$E$118="","",IF(LEN(INDEX('Checks'!$L$4:$L$503,_calc!$E$118))=0,"",INDEX('Checks'!$L$4:$L$503,_calc!$E$118)))</f>
        <v/>
      </c>
      <c r="F116" s="47">
        <f>IF(_calc!$E$118="","",TRIM(IF(LEN(IF(LEN(INDEX('Checks'!$I$4:$I$503,_calc!$E$118))=0,"",INDEX('Checks'!$I$4:$I$503,_calc!$E$118)))=0,"","Contractor: "&amp;IF(LEN(INDEX('Checks'!$I$4:$I$503,_calc!$E$118))=0,"",INDEX('Checks'!$I$4:$I$503,_calc!$E$118))&amp;". ")&amp;IF(LEN(IF(LEN(INDEX('Checks'!$J$4:$J$503,_calc!$E$118))=0,"",INDEX('Checks'!$J$4:$J$503,_calc!$E$118)))=0,"","Ref: "&amp;IF(LEN(INDEX('Checks'!$J$4:$J$503,_calc!$E$118))=0,"",INDEX('Checks'!$J$4:$J$503,_calc!$E$118))&amp;". ")&amp;IF(LEN(IF(ISNUMBER(INDEX('Checks'!$K$4:$K$503,_calc!$E$118)),TEXT(INDEX('Checks'!$K$4:$K$503,_calc!$E$118),"yyyy-mm-dd"),""))=0,"","Copy to tenant: "&amp;IF(ISNUMBER(INDEX('Checks'!$K$4:$K$503,_calc!$E$118)),TEXT(INDEX('Checks'!$K$4:$K$503,_calc!$E$118),"yyyy-mm-dd"),"")&amp;". ")&amp;IF(LEN(IF(LEN(INDEX('Checks'!$P$4:$P$503,_calc!$E$118))=0,"",INDEX('Checks'!$P$4:$P$503,_calc!$E$118)))=0,"",IF(LEN(INDEX('Checks'!$P$4:$P$503,_calc!$E$118))=0,"",INDEX('Checks'!$P$4:$P$503,_calc!$E$118)))))</f>
        <v/>
      </c>
      <c r="G116" s="47">
        <f>IF(_calc!$E$118="","",IF(LEN(INDEX('Checks'!$N$4:$N$503,_calc!$E$118))=0,"",INDEX('Checks'!$N$4:$N$503,_calc!$E$118)))</f>
        <v/>
      </c>
      <c r="K116" s="47">
        <f>IF(_calc!$E$118="","",IF(LEN(INDEX('Checks'!$M$4:$M$503,_calc!$E$118))=0,"",INDEX('Checks'!$M$4:$M$503,_calc!$E$118)))</f>
        <v/>
      </c>
    </row>
    <row r="117">
      <c r="A117" s="47">
        <f>IF(_calc!$E$119="","",IF(LEN(INDEX('Checks'!$B$4:$B$503,_calc!$E$119))=0,"",INDEX('Checks'!$B$4:$B$503,_calc!$E$119))&amp;" – "&amp;IF(LEN(INDEX('Checks'!$A$4:$A$503,_calc!$E$119))=0,"",INDEX('Checks'!$A$4:$A$503,_calc!$E$119)))</f>
        <v/>
      </c>
      <c r="B117" s="47">
        <f>IF(_calc!$E$119="","",IF(ISNUMBER(INDEX('Checks'!$D$4:$D$503,_calc!$E$119)),TEXT(INDEX('Checks'!$D$4:$D$503,_calc!$E$119),"yyyy-mm-dd"),""))</f>
        <v/>
      </c>
      <c r="C117" s="47">
        <f>IF(_calc!$E$119="","",IF(LEN(INDEX('Checks'!$B$4:$B$503,_calc!$E$119))=0,"",INDEX('Checks'!$B$4:$B$503,_calc!$E$119)))</f>
        <v/>
      </c>
      <c r="D117" s="47">
        <f>IF(_calc!$E$119="","",IF(ISNUMBER(INDEX('Checks'!$C$4:$C$503,_calc!$E$119)),TEXT(INDEX('Checks'!$C$4:$C$503,_calc!$E$119),"yyyy-mm-dd"),""))</f>
        <v/>
      </c>
      <c r="E117" s="47">
        <f>IF(_calc!$E$119="","",IF(LEN(INDEX('Checks'!$L$4:$L$503,_calc!$E$119))=0,"",INDEX('Checks'!$L$4:$L$503,_calc!$E$119)))</f>
        <v/>
      </c>
      <c r="F117" s="47">
        <f>IF(_calc!$E$119="","",TRIM(IF(LEN(IF(LEN(INDEX('Checks'!$I$4:$I$503,_calc!$E$119))=0,"",INDEX('Checks'!$I$4:$I$503,_calc!$E$119)))=0,"","Contractor: "&amp;IF(LEN(INDEX('Checks'!$I$4:$I$503,_calc!$E$119))=0,"",INDEX('Checks'!$I$4:$I$503,_calc!$E$119))&amp;". ")&amp;IF(LEN(IF(LEN(INDEX('Checks'!$J$4:$J$503,_calc!$E$119))=0,"",INDEX('Checks'!$J$4:$J$503,_calc!$E$119)))=0,"","Ref: "&amp;IF(LEN(INDEX('Checks'!$J$4:$J$503,_calc!$E$119))=0,"",INDEX('Checks'!$J$4:$J$503,_calc!$E$119))&amp;". ")&amp;IF(LEN(IF(ISNUMBER(INDEX('Checks'!$K$4:$K$503,_calc!$E$119)),TEXT(INDEX('Checks'!$K$4:$K$503,_calc!$E$119),"yyyy-mm-dd"),""))=0,"","Copy to tenant: "&amp;IF(ISNUMBER(INDEX('Checks'!$K$4:$K$503,_calc!$E$119)),TEXT(INDEX('Checks'!$K$4:$K$503,_calc!$E$119),"yyyy-mm-dd"),"")&amp;". ")&amp;IF(LEN(IF(LEN(INDEX('Checks'!$P$4:$P$503,_calc!$E$119))=0,"",INDEX('Checks'!$P$4:$P$503,_calc!$E$119)))=0,"",IF(LEN(INDEX('Checks'!$P$4:$P$503,_calc!$E$119))=0,"",INDEX('Checks'!$P$4:$P$503,_calc!$E$119)))))</f>
        <v/>
      </c>
      <c r="G117" s="47">
        <f>IF(_calc!$E$119="","",IF(LEN(INDEX('Checks'!$N$4:$N$503,_calc!$E$119))=0,"",INDEX('Checks'!$N$4:$N$503,_calc!$E$119)))</f>
        <v/>
      </c>
      <c r="K117" s="47">
        <f>IF(_calc!$E$119="","",IF(LEN(INDEX('Checks'!$M$4:$M$503,_calc!$E$119))=0,"",INDEX('Checks'!$M$4:$M$503,_calc!$E$119)))</f>
        <v/>
      </c>
    </row>
    <row r="118">
      <c r="A118" s="47">
        <f>IF(_calc!$E$120="","",IF(LEN(INDEX('Checks'!$B$4:$B$503,_calc!$E$120))=0,"",INDEX('Checks'!$B$4:$B$503,_calc!$E$120))&amp;" – "&amp;IF(LEN(INDEX('Checks'!$A$4:$A$503,_calc!$E$120))=0,"",INDEX('Checks'!$A$4:$A$503,_calc!$E$120)))</f>
        <v/>
      </c>
      <c r="B118" s="47">
        <f>IF(_calc!$E$120="","",IF(ISNUMBER(INDEX('Checks'!$D$4:$D$503,_calc!$E$120)),TEXT(INDEX('Checks'!$D$4:$D$503,_calc!$E$120),"yyyy-mm-dd"),""))</f>
        <v/>
      </c>
      <c r="C118" s="47">
        <f>IF(_calc!$E$120="","",IF(LEN(INDEX('Checks'!$B$4:$B$503,_calc!$E$120))=0,"",INDEX('Checks'!$B$4:$B$503,_calc!$E$120)))</f>
        <v/>
      </c>
      <c r="D118" s="47">
        <f>IF(_calc!$E$120="","",IF(ISNUMBER(INDEX('Checks'!$C$4:$C$503,_calc!$E$120)),TEXT(INDEX('Checks'!$C$4:$C$503,_calc!$E$120),"yyyy-mm-dd"),""))</f>
        <v/>
      </c>
      <c r="E118" s="47">
        <f>IF(_calc!$E$120="","",IF(LEN(INDEX('Checks'!$L$4:$L$503,_calc!$E$120))=0,"",INDEX('Checks'!$L$4:$L$503,_calc!$E$120)))</f>
        <v/>
      </c>
      <c r="F118" s="47">
        <f>IF(_calc!$E$120="","",TRIM(IF(LEN(IF(LEN(INDEX('Checks'!$I$4:$I$503,_calc!$E$120))=0,"",INDEX('Checks'!$I$4:$I$503,_calc!$E$120)))=0,"","Contractor: "&amp;IF(LEN(INDEX('Checks'!$I$4:$I$503,_calc!$E$120))=0,"",INDEX('Checks'!$I$4:$I$503,_calc!$E$120))&amp;". ")&amp;IF(LEN(IF(LEN(INDEX('Checks'!$J$4:$J$503,_calc!$E$120))=0,"",INDEX('Checks'!$J$4:$J$503,_calc!$E$120)))=0,"","Ref: "&amp;IF(LEN(INDEX('Checks'!$J$4:$J$503,_calc!$E$120))=0,"",INDEX('Checks'!$J$4:$J$503,_calc!$E$120))&amp;". ")&amp;IF(LEN(IF(ISNUMBER(INDEX('Checks'!$K$4:$K$503,_calc!$E$120)),TEXT(INDEX('Checks'!$K$4:$K$503,_calc!$E$120),"yyyy-mm-dd"),""))=0,"","Copy to tenant: "&amp;IF(ISNUMBER(INDEX('Checks'!$K$4:$K$503,_calc!$E$120)),TEXT(INDEX('Checks'!$K$4:$K$503,_calc!$E$120),"yyyy-mm-dd"),"")&amp;". ")&amp;IF(LEN(IF(LEN(INDEX('Checks'!$P$4:$P$503,_calc!$E$120))=0,"",INDEX('Checks'!$P$4:$P$503,_calc!$E$120)))=0,"",IF(LEN(INDEX('Checks'!$P$4:$P$503,_calc!$E$120))=0,"",INDEX('Checks'!$P$4:$P$503,_calc!$E$120)))))</f>
        <v/>
      </c>
      <c r="G118" s="47">
        <f>IF(_calc!$E$120="","",IF(LEN(INDEX('Checks'!$N$4:$N$503,_calc!$E$120))=0,"",INDEX('Checks'!$N$4:$N$503,_calc!$E$120)))</f>
        <v/>
      </c>
      <c r="K118" s="47">
        <f>IF(_calc!$E$120="","",IF(LEN(INDEX('Checks'!$M$4:$M$503,_calc!$E$120))=0,"",INDEX('Checks'!$M$4:$M$503,_calc!$E$120)))</f>
        <v/>
      </c>
    </row>
    <row r="119">
      <c r="A119" s="47">
        <f>IF(_calc!$E$121="","",IF(LEN(INDEX('Checks'!$B$4:$B$503,_calc!$E$121))=0,"",INDEX('Checks'!$B$4:$B$503,_calc!$E$121))&amp;" – "&amp;IF(LEN(INDEX('Checks'!$A$4:$A$503,_calc!$E$121))=0,"",INDEX('Checks'!$A$4:$A$503,_calc!$E$121)))</f>
        <v/>
      </c>
      <c r="B119" s="47">
        <f>IF(_calc!$E$121="","",IF(ISNUMBER(INDEX('Checks'!$D$4:$D$503,_calc!$E$121)),TEXT(INDEX('Checks'!$D$4:$D$503,_calc!$E$121),"yyyy-mm-dd"),""))</f>
        <v/>
      </c>
      <c r="C119" s="47">
        <f>IF(_calc!$E$121="","",IF(LEN(INDEX('Checks'!$B$4:$B$503,_calc!$E$121))=0,"",INDEX('Checks'!$B$4:$B$503,_calc!$E$121)))</f>
        <v/>
      </c>
      <c r="D119" s="47">
        <f>IF(_calc!$E$121="","",IF(ISNUMBER(INDEX('Checks'!$C$4:$C$503,_calc!$E$121)),TEXT(INDEX('Checks'!$C$4:$C$503,_calc!$E$121),"yyyy-mm-dd"),""))</f>
        <v/>
      </c>
      <c r="E119" s="47">
        <f>IF(_calc!$E$121="","",IF(LEN(INDEX('Checks'!$L$4:$L$503,_calc!$E$121))=0,"",INDEX('Checks'!$L$4:$L$503,_calc!$E$121)))</f>
        <v/>
      </c>
      <c r="F119" s="47">
        <f>IF(_calc!$E$121="","",TRIM(IF(LEN(IF(LEN(INDEX('Checks'!$I$4:$I$503,_calc!$E$121))=0,"",INDEX('Checks'!$I$4:$I$503,_calc!$E$121)))=0,"","Contractor: "&amp;IF(LEN(INDEX('Checks'!$I$4:$I$503,_calc!$E$121))=0,"",INDEX('Checks'!$I$4:$I$503,_calc!$E$121))&amp;". ")&amp;IF(LEN(IF(LEN(INDEX('Checks'!$J$4:$J$503,_calc!$E$121))=0,"",INDEX('Checks'!$J$4:$J$503,_calc!$E$121)))=0,"","Ref: "&amp;IF(LEN(INDEX('Checks'!$J$4:$J$503,_calc!$E$121))=0,"",INDEX('Checks'!$J$4:$J$503,_calc!$E$121))&amp;". ")&amp;IF(LEN(IF(ISNUMBER(INDEX('Checks'!$K$4:$K$503,_calc!$E$121)),TEXT(INDEX('Checks'!$K$4:$K$503,_calc!$E$121),"yyyy-mm-dd"),""))=0,"","Copy to tenant: "&amp;IF(ISNUMBER(INDEX('Checks'!$K$4:$K$503,_calc!$E$121)),TEXT(INDEX('Checks'!$K$4:$K$503,_calc!$E$121),"yyyy-mm-dd"),"")&amp;". ")&amp;IF(LEN(IF(LEN(INDEX('Checks'!$P$4:$P$503,_calc!$E$121))=0,"",INDEX('Checks'!$P$4:$P$503,_calc!$E$121)))=0,"",IF(LEN(INDEX('Checks'!$P$4:$P$503,_calc!$E$121))=0,"",INDEX('Checks'!$P$4:$P$503,_calc!$E$121)))))</f>
        <v/>
      </c>
      <c r="G119" s="47">
        <f>IF(_calc!$E$121="","",IF(LEN(INDEX('Checks'!$N$4:$N$503,_calc!$E$121))=0,"",INDEX('Checks'!$N$4:$N$503,_calc!$E$121)))</f>
        <v/>
      </c>
      <c r="K119" s="47">
        <f>IF(_calc!$E$121="","",IF(LEN(INDEX('Checks'!$M$4:$M$503,_calc!$E$121))=0,"",INDEX('Checks'!$M$4:$M$503,_calc!$E$121)))</f>
        <v/>
      </c>
    </row>
    <row r="120">
      <c r="A120" s="47">
        <f>IF(_calc!$E$122="","",IF(LEN(INDEX('Checks'!$B$4:$B$503,_calc!$E$122))=0,"",INDEX('Checks'!$B$4:$B$503,_calc!$E$122))&amp;" – "&amp;IF(LEN(INDEX('Checks'!$A$4:$A$503,_calc!$E$122))=0,"",INDEX('Checks'!$A$4:$A$503,_calc!$E$122)))</f>
        <v/>
      </c>
      <c r="B120" s="47">
        <f>IF(_calc!$E$122="","",IF(ISNUMBER(INDEX('Checks'!$D$4:$D$503,_calc!$E$122)),TEXT(INDEX('Checks'!$D$4:$D$503,_calc!$E$122),"yyyy-mm-dd"),""))</f>
        <v/>
      </c>
      <c r="C120" s="47">
        <f>IF(_calc!$E$122="","",IF(LEN(INDEX('Checks'!$B$4:$B$503,_calc!$E$122))=0,"",INDEX('Checks'!$B$4:$B$503,_calc!$E$122)))</f>
        <v/>
      </c>
      <c r="D120" s="47">
        <f>IF(_calc!$E$122="","",IF(ISNUMBER(INDEX('Checks'!$C$4:$C$503,_calc!$E$122)),TEXT(INDEX('Checks'!$C$4:$C$503,_calc!$E$122),"yyyy-mm-dd"),""))</f>
        <v/>
      </c>
      <c r="E120" s="47">
        <f>IF(_calc!$E$122="","",IF(LEN(INDEX('Checks'!$L$4:$L$503,_calc!$E$122))=0,"",INDEX('Checks'!$L$4:$L$503,_calc!$E$122)))</f>
        <v/>
      </c>
      <c r="F120" s="47">
        <f>IF(_calc!$E$122="","",TRIM(IF(LEN(IF(LEN(INDEX('Checks'!$I$4:$I$503,_calc!$E$122))=0,"",INDEX('Checks'!$I$4:$I$503,_calc!$E$122)))=0,"","Contractor: "&amp;IF(LEN(INDEX('Checks'!$I$4:$I$503,_calc!$E$122))=0,"",INDEX('Checks'!$I$4:$I$503,_calc!$E$122))&amp;". ")&amp;IF(LEN(IF(LEN(INDEX('Checks'!$J$4:$J$503,_calc!$E$122))=0,"",INDEX('Checks'!$J$4:$J$503,_calc!$E$122)))=0,"","Ref: "&amp;IF(LEN(INDEX('Checks'!$J$4:$J$503,_calc!$E$122))=0,"",INDEX('Checks'!$J$4:$J$503,_calc!$E$122))&amp;". ")&amp;IF(LEN(IF(ISNUMBER(INDEX('Checks'!$K$4:$K$503,_calc!$E$122)),TEXT(INDEX('Checks'!$K$4:$K$503,_calc!$E$122),"yyyy-mm-dd"),""))=0,"","Copy to tenant: "&amp;IF(ISNUMBER(INDEX('Checks'!$K$4:$K$503,_calc!$E$122)),TEXT(INDEX('Checks'!$K$4:$K$503,_calc!$E$122),"yyyy-mm-dd"),"")&amp;". ")&amp;IF(LEN(IF(LEN(INDEX('Checks'!$P$4:$P$503,_calc!$E$122))=0,"",INDEX('Checks'!$P$4:$P$503,_calc!$E$122)))=0,"",IF(LEN(INDEX('Checks'!$P$4:$P$503,_calc!$E$122))=0,"",INDEX('Checks'!$P$4:$P$503,_calc!$E$122)))))</f>
        <v/>
      </c>
      <c r="G120" s="47">
        <f>IF(_calc!$E$122="","",IF(LEN(INDEX('Checks'!$N$4:$N$503,_calc!$E$122))=0,"",INDEX('Checks'!$N$4:$N$503,_calc!$E$122)))</f>
        <v/>
      </c>
      <c r="K120" s="47">
        <f>IF(_calc!$E$122="","",IF(LEN(INDEX('Checks'!$M$4:$M$503,_calc!$E$122))=0,"",INDEX('Checks'!$M$4:$M$503,_calc!$E$122)))</f>
        <v/>
      </c>
    </row>
    <row r="121">
      <c r="A121" s="47">
        <f>IF(_calc!$E$123="","",IF(LEN(INDEX('Checks'!$B$4:$B$503,_calc!$E$123))=0,"",INDEX('Checks'!$B$4:$B$503,_calc!$E$123))&amp;" – "&amp;IF(LEN(INDEX('Checks'!$A$4:$A$503,_calc!$E$123))=0,"",INDEX('Checks'!$A$4:$A$503,_calc!$E$123)))</f>
        <v/>
      </c>
      <c r="B121" s="47">
        <f>IF(_calc!$E$123="","",IF(ISNUMBER(INDEX('Checks'!$D$4:$D$503,_calc!$E$123)),TEXT(INDEX('Checks'!$D$4:$D$503,_calc!$E$123),"yyyy-mm-dd"),""))</f>
        <v/>
      </c>
      <c r="C121" s="47">
        <f>IF(_calc!$E$123="","",IF(LEN(INDEX('Checks'!$B$4:$B$503,_calc!$E$123))=0,"",INDEX('Checks'!$B$4:$B$503,_calc!$E$123)))</f>
        <v/>
      </c>
      <c r="D121" s="47">
        <f>IF(_calc!$E$123="","",IF(ISNUMBER(INDEX('Checks'!$C$4:$C$503,_calc!$E$123)),TEXT(INDEX('Checks'!$C$4:$C$503,_calc!$E$123),"yyyy-mm-dd"),""))</f>
        <v/>
      </c>
      <c r="E121" s="47">
        <f>IF(_calc!$E$123="","",IF(LEN(INDEX('Checks'!$L$4:$L$503,_calc!$E$123))=0,"",INDEX('Checks'!$L$4:$L$503,_calc!$E$123)))</f>
        <v/>
      </c>
      <c r="F121" s="47">
        <f>IF(_calc!$E$123="","",TRIM(IF(LEN(IF(LEN(INDEX('Checks'!$I$4:$I$503,_calc!$E$123))=0,"",INDEX('Checks'!$I$4:$I$503,_calc!$E$123)))=0,"","Contractor: "&amp;IF(LEN(INDEX('Checks'!$I$4:$I$503,_calc!$E$123))=0,"",INDEX('Checks'!$I$4:$I$503,_calc!$E$123))&amp;". ")&amp;IF(LEN(IF(LEN(INDEX('Checks'!$J$4:$J$503,_calc!$E$123))=0,"",INDEX('Checks'!$J$4:$J$503,_calc!$E$123)))=0,"","Ref: "&amp;IF(LEN(INDEX('Checks'!$J$4:$J$503,_calc!$E$123))=0,"",INDEX('Checks'!$J$4:$J$503,_calc!$E$123))&amp;". ")&amp;IF(LEN(IF(ISNUMBER(INDEX('Checks'!$K$4:$K$503,_calc!$E$123)),TEXT(INDEX('Checks'!$K$4:$K$503,_calc!$E$123),"yyyy-mm-dd"),""))=0,"","Copy to tenant: "&amp;IF(ISNUMBER(INDEX('Checks'!$K$4:$K$503,_calc!$E$123)),TEXT(INDEX('Checks'!$K$4:$K$503,_calc!$E$123),"yyyy-mm-dd"),"")&amp;". ")&amp;IF(LEN(IF(LEN(INDEX('Checks'!$P$4:$P$503,_calc!$E$123))=0,"",INDEX('Checks'!$P$4:$P$503,_calc!$E$123)))=0,"",IF(LEN(INDEX('Checks'!$P$4:$P$503,_calc!$E$123))=0,"",INDEX('Checks'!$P$4:$P$503,_calc!$E$123)))))</f>
        <v/>
      </c>
      <c r="G121" s="47">
        <f>IF(_calc!$E$123="","",IF(LEN(INDEX('Checks'!$N$4:$N$503,_calc!$E$123))=0,"",INDEX('Checks'!$N$4:$N$503,_calc!$E$123)))</f>
        <v/>
      </c>
      <c r="K121" s="47">
        <f>IF(_calc!$E$123="","",IF(LEN(INDEX('Checks'!$M$4:$M$503,_calc!$E$123))=0,"",INDEX('Checks'!$M$4:$M$503,_calc!$E$123)))</f>
        <v/>
      </c>
    </row>
    <row r="122">
      <c r="A122" s="47">
        <f>IF(_calc!$E$124="","",IF(LEN(INDEX('Checks'!$B$4:$B$503,_calc!$E$124))=0,"",INDEX('Checks'!$B$4:$B$503,_calc!$E$124))&amp;" – "&amp;IF(LEN(INDEX('Checks'!$A$4:$A$503,_calc!$E$124))=0,"",INDEX('Checks'!$A$4:$A$503,_calc!$E$124)))</f>
        <v/>
      </c>
      <c r="B122" s="47">
        <f>IF(_calc!$E$124="","",IF(ISNUMBER(INDEX('Checks'!$D$4:$D$503,_calc!$E$124)),TEXT(INDEX('Checks'!$D$4:$D$503,_calc!$E$124),"yyyy-mm-dd"),""))</f>
        <v/>
      </c>
      <c r="C122" s="47">
        <f>IF(_calc!$E$124="","",IF(LEN(INDEX('Checks'!$B$4:$B$503,_calc!$E$124))=0,"",INDEX('Checks'!$B$4:$B$503,_calc!$E$124)))</f>
        <v/>
      </c>
      <c r="D122" s="47">
        <f>IF(_calc!$E$124="","",IF(ISNUMBER(INDEX('Checks'!$C$4:$C$503,_calc!$E$124)),TEXT(INDEX('Checks'!$C$4:$C$503,_calc!$E$124),"yyyy-mm-dd"),""))</f>
        <v/>
      </c>
      <c r="E122" s="47">
        <f>IF(_calc!$E$124="","",IF(LEN(INDEX('Checks'!$L$4:$L$503,_calc!$E$124))=0,"",INDEX('Checks'!$L$4:$L$503,_calc!$E$124)))</f>
        <v/>
      </c>
      <c r="F122" s="47">
        <f>IF(_calc!$E$124="","",TRIM(IF(LEN(IF(LEN(INDEX('Checks'!$I$4:$I$503,_calc!$E$124))=0,"",INDEX('Checks'!$I$4:$I$503,_calc!$E$124)))=0,"","Contractor: "&amp;IF(LEN(INDEX('Checks'!$I$4:$I$503,_calc!$E$124))=0,"",INDEX('Checks'!$I$4:$I$503,_calc!$E$124))&amp;". ")&amp;IF(LEN(IF(LEN(INDEX('Checks'!$J$4:$J$503,_calc!$E$124))=0,"",INDEX('Checks'!$J$4:$J$503,_calc!$E$124)))=0,"","Ref: "&amp;IF(LEN(INDEX('Checks'!$J$4:$J$503,_calc!$E$124))=0,"",INDEX('Checks'!$J$4:$J$503,_calc!$E$124))&amp;". ")&amp;IF(LEN(IF(ISNUMBER(INDEX('Checks'!$K$4:$K$503,_calc!$E$124)),TEXT(INDEX('Checks'!$K$4:$K$503,_calc!$E$124),"yyyy-mm-dd"),""))=0,"","Copy to tenant: "&amp;IF(ISNUMBER(INDEX('Checks'!$K$4:$K$503,_calc!$E$124)),TEXT(INDEX('Checks'!$K$4:$K$503,_calc!$E$124),"yyyy-mm-dd"),"")&amp;". ")&amp;IF(LEN(IF(LEN(INDEX('Checks'!$P$4:$P$503,_calc!$E$124))=0,"",INDEX('Checks'!$P$4:$P$503,_calc!$E$124)))=0,"",IF(LEN(INDEX('Checks'!$P$4:$P$503,_calc!$E$124))=0,"",INDEX('Checks'!$P$4:$P$503,_calc!$E$124)))))</f>
        <v/>
      </c>
      <c r="G122" s="47">
        <f>IF(_calc!$E$124="","",IF(LEN(INDEX('Checks'!$N$4:$N$503,_calc!$E$124))=0,"",INDEX('Checks'!$N$4:$N$503,_calc!$E$124)))</f>
        <v/>
      </c>
      <c r="K122" s="47">
        <f>IF(_calc!$E$124="","",IF(LEN(INDEX('Checks'!$M$4:$M$503,_calc!$E$124))=0,"",INDEX('Checks'!$M$4:$M$503,_calc!$E$124)))</f>
        <v/>
      </c>
    </row>
    <row r="123">
      <c r="A123" s="47">
        <f>IF(_calc!$E$125="","",IF(LEN(INDEX('Checks'!$B$4:$B$503,_calc!$E$125))=0,"",INDEX('Checks'!$B$4:$B$503,_calc!$E$125))&amp;" – "&amp;IF(LEN(INDEX('Checks'!$A$4:$A$503,_calc!$E$125))=0,"",INDEX('Checks'!$A$4:$A$503,_calc!$E$125)))</f>
        <v/>
      </c>
      <c r="B123" s="47">
        <f>IF(_calc!$E$125="","",IF(ISNUMBER(INDEX('Checks'!$D$4:$D$503,_calc!$E$125)),TEXT(INDEX('Checks'!$D$4:$D$503,_calc!$E$125),"yyyy-mm-dd"),""))</f>
        <v/>
      </c>
      <c r="C123" s="47">
        <f>IF(_calc!$E$125="","",IF(LEN(INDEX('Checks'!$B$4:$B$503,_calc!$E$125))=0,"",INDEX('Checks'!$B$4:$B$503,_calc!$E$125)))</f>
        <v/>
      </c>
      <c r="D123" s="47">
        <f>IF(_calc!$E$125="","",IF(ISNUMBER(INDEX('Checks'!$C$4:$C$503,_calc!$E$125)),TEXT(INDEX('Checks'!$C$4:$C$503,_calc!$E$125),"yyyy-mm-dd"),""))</f>
        <v/>
      </c>
      <c r="E123" s="47">
        <f>IF(_calc!$E$125="","",IF(LEN(INDEX('Checks'!$L$4:$L$503,_calc!$E$125))=0,"",INDEX('Checks'!$L$4:$L$503,_calc!$E$125)))</f>
        <v/>
      </c>
      <c r="F123" s="47">
        <f>IF(_calc!$E$125="","",TRIM(IF(LEN(IF(LEN(INDEX('Checks'!$I$4:$I$503,_calc!$E$125))=0,"",INDEX('Checks'!$I$4:$I$503,_calc!$E$125)))=0,"","Contractor: "&amp;IF(LEN(INDEX('Checks'!$I$4:$I$503,_calc!$E$125))=0,"",INDEX('Checks'!$I$4:$I$503,_calc!$E$125))&amp;". ")&amp;IF(LEN(IF(LEN(INDEX('Checks'!$J$4:$J$503,_calc!$E$125))=0,"",INDEX('Checks'!$J$4:$J$503,_calc!$E$125)))=0,"","Ref: "&amp;IF(LEN(INDEX('Checks'!$J$4:$J$503,_calc!$E$125))=0,"",INDEX('Checks'!$J$4:$J$503,_calc!$E$125))&amp;". ")&amp;IF(LEN(IF(ISNUMBER(INDEX('Checks'!$K$4:$K$503,_calc!$E$125)),TEXT(INDEX('Checks'!$K$4:$K$503,_calc!$E$125),"yyyy-mm-dd"),""))=0,"","Copy to tenant: "&amp;IF(ISNUMBER(INDEX('Checks'!$K$4:$K$503,_calc!$E$125)),TEXT(INDEX('Checks'!$K$4:$K$503,_calc!$E$125),"yyyy-mm-dd"),"")&amp;". ")&amp;IF(LEN(IF(LEN(INDEX('Checks'!$P$4:$P$503,_calc!$E$125))=0,"",INDEX('Checks'!$P$4:$P$503,_calc!$E$125)))=0,"",IF(LEN(INDEX('Checks'!$P$4:$P$503,_calc!$E$125))=0,"",INDEX('Checks'!$P$4:$P$503,_calc!$E$125)))))</f>
        <v/>
      </c>
      <c r="G123" s="47">
        <f>IF(_calc!$E$125="","",IF(LEN(INDEX('Checks'!$N$4:$N$503,_calc!$E$125))=0,"",INDEX('Checks'!$N$4:$N$503,_calc!$E$125)))</f>
        <v/>
      </c>
      <c r="K123" s="47">
        <f>IF(_calc!$E$125="","",IF(LEN(INDEX('Checks'!$M$4:$M$503,_calc!$E$125))=0,"",INDEX('Checks'!$M$4:$M$503,_calc!$E$125)))</f>
        <v/>
      </c>
    </row>
    <row r="124">
      <c r="A124" s="47">
        <f>IF(_calc!$E$126="","",IF(LEN(INDEX('Checks'!$B$4:$B$503,_calc!$E$126))=0,"",INDEX('Checks'!$B$4:$B$503,_calc!$E$126))&amp;" – "&amp;IF(LEN(INDEX('Checks'!$A$4:$A$503,_calc!$E$126))=0,"",INDEX('Checks'!$A$4:$A$503,_calc!$E$126)))</f>
        <v/>
      </c>
      <c r="B124" s="47">
        <f>IF(_calc!$E$126="","",IF(ISNUMBER(INDEX('Checks'!$D$4:$D$503,_calc!$E$126)),TEXT(INDEX('Checks'!$D$4:$D$503,_calc!$E$126),"yyyy-mm-dd"),""))</f>
        <v/>
      </c>
      <c r="C124" s="47">
        <f>IF(_calc!$E$126="","",IF(LEN(INDEX('Checks'!$B$4:$B$503,_calc!$E$126))=0,"",INDEX('Checks'!$B$4:$B$503,_calc!$E$126)))</f>
        <v/>
      </c>
      <c r="D124" s="47">
        <f>IF(_calc!$E$126="","",IF(ISNUMBER(INDEX('Checks'!$C$4:$C$503,_calc!$E$126)),TEXT(INDEX('Checks'!$C$4:$C$503,_calc!$E$126),"yyyy-mm-dd"),""))</f>
        <v/>
      </c>
      <c r="E124" s="47">
        <f>IF(_calc!$E$126="","",IF(LEN(INDEX('Checks'!$L$4:$L$503,_calc!$E$126))=0,"",INDEX('Checks'!$L$4:$L$503,_calc!$E$126)))</f>
        <v/>
      </c>
      <c r="F124" s="47">
        <f>IF(_calc!$E$126="","",TRIM(IF(LEN(IF(LEN(INDEX('Checks'!$I$4:$I$503,_calc!$E$126))=0,"",INDEX('Checks'!$I$4:$I$503,_calc!$E$126)))=0,"","Contractor: "&amp;IF(LEN(INDEX('Checks'!$I$4:$I$503,_calc!$E$126))=0,"",INDEX('Checks'!$I$4:$I$503,_calc!$E$126))&amp;". ")&amp;IF(LEN(IF(LEN(INDEX('Checks'!$J$4:$J$503,_calc!$E$126))=0,"",INDEX('Checks'!$J$4:$J$503,_calc!$E$126)))=0,"","Ref: "&amp;IF(LEN(INDEX('Checks'!$J$4:$J$503,_calc!$E$126))=0,"",INDEX('Checks'!$J$4:$J$503,_calc!$E$126))&amp;". ")&amp;IF(LEN(IF(ISNUMBER(INDEX('Checks'!$K$4:$K$503,_calc!$E$126)),TEXT(INDEX('Checks'!$K$4:$K$503,_calc!$E$126),"yyyy-mm-dd"),""))=0,"","Copy to tenant: "&amp;IF(ISNUMBER(INDEX('Checks'!$K$4:$K$503,_calc!$E$126)),TEXT(INDEX('Checks'!$K$4:$K$503,_calc!$E$126),"yyyy-mm-dd"),"")&amp;". ")&amp;IF(LEN(IF(LEN(INDEX('Checks'!$P$4:$P$503,_calc!$E$126))=0,"",INDEX('Checks'!$P$4:$P$503,_calc!$E$126)))=0,"",IF(LEN(INDEX('Checks'!$P$4:$P$503,_calc!$E$126))=0,"",INDEX('Checks'!$P$4:$P$503,_calc!$E$126)))))</f>
        <v/>
      </c>
      <c r="G124" s="47">
        <f>IF(_calc!$E$126="","",IF(LEN(INDEX('Checks'!$N$4:$N$503,_calc!$E$126))=0,"",INDEX('Checks'!$N$4:$N$503,_calc!$E$126)))</f>
        <v/>
      </c>
      <c r="K124" s="47">
        <f>IF(_calc!$E$126="","",IF(LEN(INDEX('Checks'!$M$4:$M$503,_calc!$E$126))=0,"",INDEX('Checks'!$M$4:$M$503,_calc!$E$126)))</f>
        <v/>
      </c>
    </row>
    <row r="125">
      <c r="A125" s="47">
        <f>IF(_calc!$E$127="","",IF(LEN(INDEX('Checks'!$B$4:$B$503,_calc!$E$127))=0,"",INDEX('Checks'!$B$4:$B$503,_calc!$E$127))&amp;" – "&amp;IF(LEN(INDEX('Checks'!$A$4:$A$503,_calc!$E$127))=0,"",INDEX('Checks'!$A$4:$A$503,_calc!$E$127)))</f>
        <v/>
      </c>
      <c r="B125" s="47">
        <f>IF(_calc!$E$127="","",IF(ISNUMBER(INDEX('Checks'!$D$4:$D$503,_calc!$E$127)),TEXT(INDEX('Checks'!$D$4:$D$503,_calc!$E$127),"yyyy-mm-dd"),""))</f>
        <v/>
      </c>
      <c r="C125" s="47">
        <f>IF(_calc!$E$127="","",IF(LEN(INDEX('Checks'!$B$4:$B$503,_calc!$E$127))=0,"",INDEX('Checks'!$B$4:$B$503,_calc!$E$127)))</f>
        <v/>
      </c>
      <c r="D125" s="47">
        <f>IF(_calc!$E$127="","",IF(ISNUMBER(INDEX('Checks'!$C$4:$C$503,_calc!$E$127)),TEXT(INDEX('Checks'!$C$4:$C$503,_calc!$E$127),"yyyy-mm-dd"),""))</f>
        <v/>
      </c>
      <c r="E125" s="47">
        <f>IF(_calc!$E$127="","",IF(LEN(INDEX('Checks'!$L$4:$L$503,_calc!$E$127))=0,"",INDEX('Checks'!$L$4:$L$503,_calc!$E$127)))</f>
        <v/>
      </c>
      <c r="F125" s="47">
        <f>IF(_calc!$E$127="","",TRIM(IF(LEN(IF(LEN(INDEX('Checks'!$I$4:$I$503,_calc!$E$127))=0,"",INDEX('Checks'!$I$4:$I$503,_calc!$E$127)))=0,"","Contractor: "&amp;IF(LEN(INDEX('Checks'!$I$4:$I$503,_calc!$E$127))=0,"",INDEX('Checks'!$I$4:$I$503,_calc!$E$127))&amp;". ")&amp;IF(LEN(IF(LEN(INDEX('Checks'!$J$4:$J$503,_calc!$E$127))=0,"",INDEX('Checks'!$J$4:$J$503,_calc!$E$127)))=0,"","Ref: "&amp;IF(LEN(INDEX('Checks'!$J$4:$J$503,_calc!$E$127))=0,"",INDEX('Checks'!$J$4:$J$503,_calc!$E$127))&amp;". ")&amp;IF(LEN(IF(ISNUMBER(INDEX('Checks'!$K$4:$K$503,_calc!$E$127)),TEXT(INDEX('Checks'!$K$4:$K$503,_calc!$E$127),"yyyy-mm-dd"),""))=0,"","Copy to tenant: "&amp;IF(ISNUMBER(INDEX('Checks'!$K$4:$K$503,_calc!$E$127)),TEXT(INDEX('Checks'!$K$4:$K$503,_calc!$E$127),"yyyy-mm-dd"),"")&amp;". ")&amp;IF(LEN(IF(LEN(INDEX('Checks'!$P$4:$P$503,_calc!$E$127))=0,"",INDEX('Checks'!$P$4:$P$503,_calc!$E$127)))=0,"",IF(LEN(INDEX('Checks'!$P$4:$P$503,_calc!$E$127))=0,"",INDEX('Checks'!$P$4:$P$503,_calc!$E$127)))))</f>
        <v/>
      </c>
      <c r="G125" s="47">
        <f>IF(_calc!$E$127="","",IF(LEN(INDEX('Checks'!$N$4:$N$503,_calc!$E$127))=0,"",INDEX('Checks'!$N$4:$N$503,_calc!$E$127)))</f>
        <v/>
      </c>
      <c r="K125" s="47">
        <f>IF(_calc!$E$127="","",IF(LEN(INDEX('Checks'!$M$4:$M$503,_calc!$E$127))=0,"",INDEX('Checks'!$M$4:$M$503,_calc!$E$127)))</f>
        <v/>
      </c>
    </row>
    <row r="126">
      <c r="A126" s="47">
        <f>IF(_calc!$E$128="","",IF(LEN(INDEX('Checks'!$B$4:$B$503,_calc!$E$128))=0,"",INDEX('Checks'!$B$4:$B$503,_calc!$E$128))&amp;" – "&amp;IF(LEN(INDEX('Checks'!$A$4:$A$503,_calc!$E$128))=0,"",INDEX('Checks'!$A$4:$A$503,_calc!$E$128)))</f>
        <v/>
      </c>
      <c r="B126" s="47">
        <f>IF(_calc!$E$128="","",IF(ISNUMBER(INDEX('Checks'!$D$4:$D$503,_calc!$E$128)),TEXT(INDEX('Checks'!$D$4:$D$503,_calc!$E$128),"yyyy-mm-dd"),""))</f>
        <v/>
      </c>
      <c r="C126" s="47">
        <f>IF(_calc!$E$128="","",IF(LEN(INDEX('Checks'!$B$4:$B$503,_calc!$E$128))=0,"",INDEX('Checks'!$B$4:$B$503,_calc!$E$128)))</f>
        <v/>
      </c>
      <c r="D126" s="47">
        <f>IF(_calc!$E$128="","",IF(ISNUMBER(INDEX('Checks'!$C$4:$C$503,_calc!$E$128)),TEXT(INDEX('Checks'!$C$4:$C$503,_calc!$E$128),"yyyy-mm-dd"),""))</f>
        <v/>
      </c>
      <c r="E126" s="47">
        <f>IF(_calc!$E$128="","",IF(LEN(INDEX('Checks'!$L$4:$L$503,_calc!$E$128))=0,"",INDEX('Checks'!$L$4:$L$503,_calc!$E$128)))</f>
        <v/>
      </c>
      <c r="F126" s="47">
        <f>IF(_calc!$E$128="","",TRIM(IF(LEN(IF(LEN(INDEX('Checks'!$I$4:$I$503,_calc!$E$128))=0,"",INDEX('Checks'!$I$4:$I$503,_calc!$E$128)))=0,"","Contractor: "&amp;IF(LEN(INDEX('Checks'!$I$4:$I$503,_calc!$E$128))=0,"",INDEX('Checks'!$I$4:$I$503,_calc!$E$128))&amp;". ")&amp;IF(LEN(IF(LEN(INDEX('Checks'!$J$4:$J$503,_calc!$E$128))=0,"",INDEX('Checks'!$J$4:$J$503,_calc!$E$128)))=0,"","Ref: "&amp;IF(LEN(INDEX('Checks'!$J$4:$J$503,_calc!$E$128))=0,"",INDEX('Checks'!$J$4:$J$503,_calc!$E$128))&amp;". ")&amp;IF(LEN(IF(ISNUMBER(INDEX('Checks'!$K$4:$K$503,_calc!$E$128)),TEXT(INDEX('Checks'!$K$4:$K$503,_calc!$E$128),"yyyy-mm-dd"),""))=0,"","Copy to tenant: "&amp;IF(ISNUMBER(INDEX('Checks'!$K$4:$K$503,_calc!$E$128)),TEXT(INDEX('Checks'!$K$4:$K$503,_calc!$E$128),"yyyy-mm-dd"),"")&amp;". ")&amp;IF(LEN(IF(LEN(INDEX('Checks'!$P$4:$P$503,_calc!$E$128))=0,"",INDEX('Checks'!$P$4:$P$503,_calc!$E$128)))=0,"",IF(LEN(INDEX('Checks'!$P$4:$P$503,_calc!$E$128))=0,"",INDEX('Checks'!$P$4:$P$503,_calc!$E$128)))))</f>
        <v/>
      </c>
      <c r="G126" s="47">
        <f>IF(_calc!$E$128="","",IF(LEN(INDEX('Checks'!$N$4:$N$503,_calc!$E$128))=0,"",INDEX('Checks'!$N$4:$N$503,_calc!$E$128)))</f>
        <v/>
      </c>
      <c r="K126" s="47">
        <f>IF(_calc!$E$128="","",IF(LEN(INDEX('Checks'!$M$4:$M$503,_calc!$E$128))=0,"",INDEX('Checks'!$M$4:$M$503,_calc!$E$128)))</f>
        <v/>
      </c>
    </row>
    <row r="127">
      <c r="A127" s="47">
        <f>IF(_calc!$E$129="","",IF(LEN(INDEX('Checks'!$B$4:$B$503,_calc!$E$129))=0,"",INDEX('Checks'!$B$4:$B$503,_calc!$E$129))&amp;" – "&amp;IF(LEN(INDEX('Checks'!$A$4:$A$503,_calc!$E$129))=0,"",INDEX('Checks'!$A$4:$A$503,_calc!$E$129)))</f>
        <v/>
      </c>
      <c r="B127" s="47">
        <f>IF(_calc!$E$129="","",IF(ISNUMBER(INDEX('Checks'!$D$4:$D$503,_calc!$E$129)),TEXT(INDEX('Checks'!$D$4:$D$503,_calc!$E$129),"yyyy-mm-dd"),""))</f>
        <v/>
      </c>
      <c r="C127" s="47">
        <f>IF(_calc!$E$129="","",IF(LEN(INDEX('Checks'!$B$4:$B$503,_calc!$E$129))=0,"",INDEX('Checks'!$B$4:$B$503,_calc!$E$129)))</f>
        <v/>
      </c>
      <c r="D127" s="47">
        <f>IF(_calc!$E$129="","",IF(ISNUMBER(INDEX('Checks'!$C$4:$C$503,_calc!$E$129)),TEXT(INDEX('Checks'!$C$4:$C$503,_calc!$E$129),"yyyy-mm-dd"),""))</f>
        <v/>
      </c>
      <c r="E127" s="47">
        <f>IF(_calc!$E$129="","",IF(LEN(INDEX('Checks'!$L$4:$L$503,_calc!$E$129))=0,"",INDEX('Checks'!$L$4:$L$503,_calc!$E$129)))</f>
        <v/>
      </c>
      <c r="F127" s="47">
        <f>IF(_calc!$E$129="","",TRIM(IF(LEN(IF(LEN(INDEX('Checks'!$I$4:$I$503,_calc!$E$129))=0,"",INDEX('Checks'!$I$4:$I$503,_calc!$E$129)))=0,"","Contractor: "&amp;IF(LEN(INDEX('Checks'!$I$4:$I$503,_calc!$E$129))=0,"",INDEX('Checks'!$I$4:$I$503,_calc!$E$129))&amp;". ")&amp;IF(LEN(IF(LEN(INDEX('Checks'!$J$4:$J$503,_calc!$E$129))=0,"",INDEX('Checks'!$J$4:$J$503,_calc!$E$129)))=0,"","Ref: "&amp;IF(LEN(INDEX('Checks'!$J$4:$J$503,_calc!$E$129))=0,"",INDEX('Checks'!$J$4:$J$503,_calc!$E$129))&amp;". ")&amp;IF(LEN(IF(ISNUMBER(INDEX('Checks'!$K$4:$K$503,_calc!$E$129)),TEXT(INDEX('Checks'!$K$4:$K$503,_calc!$E$129),"yyyy-mm-dd"),""))=0,"","Copy to tenant: "&amp;IF(ISNUMBER(INDEX('Checks'!$K$4:$K$503,_calc!$E$129)),TEXT(INDEX('Checks'!$K$4:$K$503,_calc!$E$129),"yyyy-mm-dd"),"")&amp;". ")&amp;IF(LEN(IF(LEN(INDEX('Checks'!$P$4:$P$503,_calc!$E$129))=0,"",INDEX('Checks'!$P$4:$P$503,_calc!$E$129)))=0,"",IF(LEN(INDEX('Checks'!$P$4:$P$503,_calc!$E$129))=0,"",INDEX('Checks'!$P$4:$P$503,_calc!$E$129)))))</f>
        <v/>
      </c>
      <c r="G127" s="47">
        <f>IF(_calc!$E$129="","",IF(LEN(INDEX('Checks'!$N$4:$N$503,_calc!$E$129))=0,"",INDEX('Checks'!$N$4:$N$503,_calc!$E$129)))</f>
        <v/>
      </c>
      <c r="K127" s="47">
        <f>IF(_calc!$E$129="","",IF(LEN(INDEX('Checks'!$M$4:$M$503,_calc!$E$129))=0,"",INDEX('Checks'!$M$4:$M$503,_calc!$E$129)))</f>
        <v/>
      </c>
    </row>
    <row r="128">
      <c r="A128" s="47">
        <f>IF(_calc!$E$130="","",IF(LEN(INDEX('Checks'!$B$4:$B$503,_calc!$E$130))=0,"",INDEX('Checks'!$B$4:$B$503,_calc!$E$130))&amp;" – "&amp;IF(LEN(INDEX('Checks'!$A$4:$A$503,_calc!$E$130))=0,"",INDEX('Checks'!$A$4:$A$503,_calc!$E$130)))</f>
        <v/>
      </c>
      <c r="B128" s="47">
        <f>IF(_calc!$E$130="","",IF(ISNUMBER(INDEX('Checks'!$D$4:$D$503,_calc!$E$130)),TEXT(INDEX('Checks'!$D$4:$D$503,_calc!$E$130),"yyyy-mm-dd"),""))</f>
        <v/>
      </c>
      <c r="C128" s="47">
        <f>IF(_calc!$E$130="","",IF(LEN(INDEX('Checks'!$B$4:$B$503,_calc!$E$130))=0,"",INDEX('Checks'!$B$4:$B$503,_calc!$E$130)))</f>
        <v/>
      </c>
      <c r="D128" s="47">
        <f>IF(_calc!$E$130="","",IF(ISNUMBER(INDEX('Checks'!$C$4:$C$503,_calc!$E$130)),TEXT(INDEX('Checks'!$C$4:$C$503,_calc!$E$130),"yyyy-mm-dd"),""))</f>
        <v/>
      </c>
      <c r="E128" s="47">
        <f>IF(_calc!$E$130="","",IF(LEN(INDEX('Checks'!$L$4:$L$503,_calc!$E$130))=0,"",INDEX('Checks'!$L$4:$L$503,_calc!$E$130)))</f>
        <v/>
      </c>
      <c r="F128" s="47">
        <f>IF(_calc!$E$130="","",TRIM(IF(LEN(IF(LEN(INDEX('Checks'!$I$4:$I$503,_calc!$E$130))=0,"",INDEX('Checks'!$I$4:$I$503,_calc!$E$130)))=0,"","Contractor: "&amp;IF(LEN(INDEX('Checks'!$I$4:$I$503,_calc!$E$130))=0,"",INDEX('Checks'!$I$4:$I$503,_calc!$E$130))&amp;". ")&amp;IF(LEN(IF(LEN(INDEX('Checks'!$J$4:$J$503,_calc!$E$130))=0,"",INDEX('Checks'!$J$4:$J$503,_calc!$E$130)))=0,"","Ref: "&amp;IF(LEN(INDEX('Checks'!$J$4:$J$503,_calc!$E$130))=0,"",INDEX('Checks'!$J$4:$J$503,_calc!$E$130))&amp;". ")&amp;IF(LEN(IF(ISNUMBER(INDEX('Checks'!$K$4:$K$503,_calc!$E$130)),TEXT(INDEX('Checks'!$K$4:$K$503,_calc!$E$130),"yyyy-mm-dd"),""))=0,"","Copy to tenant: "&amp;IF(ISNUMBER(INDEX('Checks'!$K$4:$K$503,_calc!$E$130)),TEXT(INDEX('Checks'!$K$4:$K$503,_calc!$E$130),"yyyy-mm-dd"),"")&amp;". ")&amp;IF(LEN(IF(LEN(INDEX('Checks'!$P$4:$P$503,_calc!$E$130))=0,"",INDEX('Checks'!$P$4:$P$503,_calc!$E$130)))=0,"",IF(LEN(INDEX('Checks'!$P$4:$P$503,_calc!$E$130))=0,"",INDEX('Checks'!$P$4:$P$503,_calc!$E$130)))))</f>
        <v/>
      </c>
      <c r="G128" s="47">
        <f>IF(_calc!$E$130="","",IF(LEN(INDEX('Checks'!$N$4:$N$503,_calc!$E$130))=0,"",INDEX('Checks'!$N$4:$N$503,_calc!$E$130)))</f>
        <v/>
      </c>
      <c r="K128" s="47">
        <f>IF(_calc!$E$130="","",IF(LEN(INDEX('Checks'!$M$4:$M$503,_calc!$E$130))=0,"",INDEX('Checks'!$M$4:$M$503,_calc!$E$130)))</f>
        <v/>
      </c>
    </row>
    <row r="129">
      <c r="A129" s="47">
        <f>IF(_calc!$E$131="","",IF(LEN(INDEX('Checks'!$B$4:$B$503,_calc!$E$131))=0,"",INDEX('Checks'!$B$4:$B$503,_calc!$E$131))&amp;" – "&amp;IF(LEN(INDEX('Checks'!$A$4:$A$503,_calc!$E$131))=0,"",INDEX('Checks'!$A$4:$A$503,_calc!$E$131)))</f>
        <v/>
      </c>
      <c r="B129" s="47">
        <f>IF(_calc!$E$131="","",IF(ISNUMBER(INDEX('Checks'!$D$4:$D$503,_calc!$E$131)),TEXT(INDEX('Checks'!$D$4:$D$503,_calc!$E$131),"yyyy-mm-dd"),""))</f>
        <v/>
      </c>
      <c r="C129" s="47">
        <f>IF(_calc!$E$131="","",IF(LEN(INDEX('Checks'!$B$4:$B$503,_calc!$E$131))=0,"",INDEX('Checks'!$B$4:$B$503,_calc!$E$131)))</f>
        <v/>
      </c>
      <c r="D129" s="47">
        <f>IF(_calc!$E$131="","",IF(ISNUMBER(INDEX('Checks'!$C$4:$C$503,_calc!$E$131)),TEXT(INDEX('Checks'!$C$4:$C$503,_calc!$E$131),"yyyy-mm-dd"),""))</f>
        <v/>
      </c>
      <c r="E129" s="47">
        <f>IF(_calc!$E$131="","",IF(LEN(INDEX('Checks'!$L$4:$L$503,_calc!$E$131))=0,"",INDEX('Checks'!$L$4:$L$503,_calc!$E$131)))</f>
        <v/>
      </c>
      <c r="F129" s="47">
        <f>IF(_calc!$E$131="","",TRIM(IF(LEN(IF(LEN(INDEX('Checks'!$I$4:$I$503,_calc!$E$131))=0,"",INDEX('Checks'!$I$4:$I$503,_calc!$E$131)))=0,"","Contractor: "&amp;IF(LEN(INDEX('Checks'!$I$4:$I$503,_calc!$E$131))=0,"",INDEX('Checks'!$I$4:$I$503,_calc!$E$131))&amp;". ")&amp;IF(LEN(IF(LEN(INDEX('Checks'!$J$4:$J$503,_calc!$E$131))=0,"",INDEX('Checks'!$J$4:$J$503,_calc!$E$131)))=0,"","Ref: "&amp;IF(LEN(INDEX('Checks'!$J$4:$J$503,_calc!$E$131))=0,"",INDEX('Checks'!$J$4:$J$503,_calc!$E$131))&amp;". ")&amp;IF(LEN(IF(ISNUMBER(INDEX('Checks'!$K$4:$K$503,_calc!$E$131)),TEXT(INDEX('Checks'!$K$4:$K$503,_calc!$E$131),"yyyy-mm-dd"),""))=0,"","Copy to tenant: "&amp;IF(ISNUMBER(INDEX('Checks'!$K$4:$K$503,_calc!$E$131)),TEXT(INDEX('Checks'!$K$4:$K$503,_calc!$E$131),"yyyy-mm-dd"),"")&amp;". ")&amp;IF(LEN(IF(LEN(INDEX('Checks'!$P$4:$P$503,_calc!$E$131))=0,"",INDEX('Checks'!$P$4:$P$503,_calc!$E$131)))=0,"",IF(LEN(INDEX('Checks'!$P$4:$P$503,_calc!$E$131))=0,"",INDEX('Checks'!$P$4:$P$503,_calc!$E$131)))))</f>
        <v/>
      </c>
      <c r="G129" s="47">
        <f>IF(_calc!$E$131="","",IF(LEN(INDEX('Checks'!$N$4:$N$503,_calc!$E$131))=0,"",INDEX('Checks'!$N$4:$N$503,_calc!$E$131)))</f>
        <v/>
      </c>
      <c r="K129" s="47">
        <f>IF(_calc!$E$131="","",IF(LEN(INDEX('Checks'!$M$4:$M$503,_calc!$E$131))=0,"",INDEX('Checks'!$M$4:$M$503,_calc!$E$131)))</f>
        <v/>
      </c>
    </row>
    <row r="130">
      <c r="A130" s="47">
        <f>IF(_calc!$E$132="","",IF(LEN(INDEX('Checks'!$B$4:$B$503,_calc!$E$132))=0,"",INDEX('Checks'!$B$4:$B$503,_calc!$E$132))&amp;" – "&amp;IF(LEN(INDEX('Checks'!$A$4:$A$503,_calc!$E$132))=0,"",INDEX('Checks'!$A$4:$A$503,_calc!$E$132)))</f>
        <v/>
      </c>
      <c r="B130" s="47">
        <f>IF(_calc!$E$132="","",IF(ISNUMBER(INDEX('Checks'!$D$4:$D$503,_calc!$E$132)),TEXT(INDEX('Checks'!$D$4:$D$503,_calc!$E$132),"yyyy-mm-dd"),""))</f>
        <v/>
      </c>
      <c r="C130" s="47">
        <f>IF(_calc!$E$132="","",IF(LEN(INDEX('Checks'!$B$4:$B$503,_calc!$E$132))=0,"",INDEX('Checks'!$B$4:$B$503,_calc!$E$132)))</f>
        <v/>
      </c>
      <c r="D130" s="47">
        <f>IF(_calc!$E$132="","",IF(ISNUMBER(INDEX('Checks'!$C$4:$C$503,_calc!$E$132)),TEXT(INDEX('Checks'!$C$4:$C$503,_calc!$E$132),"yyyy-mm-dd"),""))</f>
        <v/>
      </c>
      <c r="E130" s="47">
        <f>IF(_calc!$E$132="","",IF(LEN(INDEX('Checks'!$L$4:$L$503,_calc!$E$132))=0,"",INDEX('Checks'!$L$4:$L$503,_calc!$E$132)))</f>
        <v/>
      </c>
      <c r="F130" s="47">
        <f>IF(_calc!$E$132="","",TRIM(IF(LEN(IF(LEN(INDEX('Checks'!$I$4:$I$503,_calc!$E$132))=0,"",INDEX('Checks'!$I$4:$I$503,_calc!$E$132)))=0,"","Contractor: "&amp;IF(LEN(INDEX('Checks'!$I$4:$I$503,_calc!$E$132))=0,"",INDEX('Checks'!$I$4:$I$503,_calc!$E$132))&amp;". ")&amp;IF(LEN(IF(LEN(INDEX('Checks'!$J$4:$J$503,_calc!$E$132))=0,"",INDEX('Checks'!$J$4:$J$503,_calc!$E$132)))=0,"","Ref: "&amp;IF(LEN(INDEX('Checks'!$J$4:$J$503,_calc!$E$132))=0,"",INDEX('Checks'!$J$4:$J$503,_calc!$E$132))&amp;". ")&amp;IF(LEN(IF(ISNUMBER(INDEX('Checks'!$K$4:$K$503,_calc!$E$132)),TEXT(INDEX('Checks'!$K$4:$K$503,_calc!$E$132),"yyyy-mm-dd"),""))=0,"","Copy to tenant: "&amp;IF(ISNUMBER(INDEX('Checks'!$K$4:$K$503,_calc!$E$132)),TEXT(INDEX('Checks'!$K$4:$K$503,_calc!$E$132),"yyyy-mm-dd"),"")&amp;". ")&amp;IF(LEN(IF(LEN(INDEX('Checks'!$P$4:$P$503,_calc!$E$132))=0,"",INDEX('Checks'!$P$4:$P$503,_calc!$E$132)))=0,"",IF(LEN(INDEX('Checks'!$P$4:$P$503,_calc!$E$132))=0,"",INDEX('Checks'!$P$4:$P$503,_calc!$E$132)))))</f>
        <v/>
      </c>
      <c r="G130" s="47">
        <f>IF(_calc!$E$132="","",IF(LEN(INDEX('Checks'!$N$4:$N$503,_calc!$E$132))=0,"",INDEX('Checks'!$N$4:$N$503,_calc!$E$132)))</f>
        <v/>
      </c>
      <c r="K130" s="47">
        <f>IF(_calc!$E$132="","",IF(LEN(INDEX('Checks'!$M$4:$M$503,_calc!$E$132))=0,"",INDEX('Checks'!$M$4:$M$503,_calc!$E$132)))</f>
        <v/>
      </c>
    </row>
    <row r="131">
      <c r="A131" s="47">
        <f>IF(_calc!$E$133="","",IF(LEN(INDEX('Checks'!$B$4:$B$503,_calc!$E$133))=0,"",INDEX('Checks'!$B$4:$B$503,_calc!$E$133))&amp;" – "&amp;IF(LEN(INDEX('Checks'!$A$4:$A$503,_calc!$E$133))=0,"",INDEX('Checks'!$A$4:$A$503,_calc!$E$133)))</f>
        <v/>
      </c>
      <c r="B131" s="47">
        <f>IF(_calc!$E$133="","",IF(ISNUMBER(INDEX('Checks'!$D$4:$D$503,_calc!$E$133)),TEXT(INDEX('Checks'!$D$4:$D$503,_calc!$E$133),"yyyy-mm-dd"),""))</f>
        <v/>
      </c>
      <c r="C131" s="47">
        <f>IF(_calc!$E$133="","",IF(LEN(INDEX('Checks'!$B$4:$B$503,_calc!$E$133))=0,"",INDEX('Checks'!$B$4:$B$503,_calc!$E$133)))</f>
        <v/>
      </c>
      <c r="D131" s="47">
        <f>IF(_calc!$E$133="","",IF(ISNUMBER(INDEX('Checks'!$C$4:$C$503,_calc!$E$133)),TEXT(INDEX('Checks'!$C$4:$C$503,_calc!$E$133),"yyyy-mm-dd"),""))</f>
        <v/>
      </c>
      <c r="E131" s="47">
        <f>IF(_calc!$E$133="","",IF(LEN(INDEX('Checks'!$L$4:$L$503,_calc!$E$133))=0,"",INDEX('Checks'!$L$4:$L$503,_calc!$E$133)))</f>
        <v/>
      </c>
      <c r="F131" s="47">
        <f>IF(_calc!$E$133="","",TRIM(IF(LEN(IF(LEN(INDEX('Checks'!$I$4:$I$503,_calc!$E$133))=0,"",INDEX('Checks'!$I$4:$I$503,_calc!$E$133)))=0,"","Contractor: "&amp;IF(LEN(INDEX('Checks'!$I$4:$I$503,_calc!$E$133))=0,"",INDEX('Checks'!$I$4:$I$503,_calc!$E$133))&amp;". ")&amp;IF(LEN(IF(LEN(INDEX('Checks'!$J$4:$J$503,_calc!$E$133))=0,"",INDEX('Checks'!$J$4:$J$503,_calc!$E$133)))=0,"","Ref: "&amp;IF(LEN(INDEX('Checks'!$J$4:$J$503,_calc!$E$133))=0,"",INDEX('Checks'!$J$4:$J$503,_calc!$E$133))&amp;". ")&amp;IF(LEN(IF(ISNUMBER(INDEX('Checks'!$K$4:$K$503,_calc!$E$133)),TEXT(INDEX('Checks'!$K$4:$K$503,_calc!$E$133),"yyyy-mm-dd"),""))=0,"","Copy to tenant: "&amp;IF(ISNUMBER(INDEX('Checks'!$K$4:$K$503,_calc!$E$133)),TEXT(INDEX('Checks'!$K$4:$K$503,_calc!$E$133),"yyyy-mm-dd"),"")&amp;". ")&amp;IF(LEN(IF(LEN(INDEX('Checks'!$P$4:$P$503,_calc!$E$133))=0,"",INDEX('Checks'!$P$4:$P$503,_calc!$E$133)))=0,"",IF(LEN(INDEX('Checks'!$P$4:$P$503,_calc!$E$133))=0,"",INDEX('Checks'!$P$4:$P$503,_calc!$E$133)))))</f>
        <v/>
      </c>
      <c r="G131" s="47">
        <f>IF(_calc!$E$133="","",IF(LEN(INDEX('Checks'!$N$4:$N$503,_calc!$E$133))=0,"",INDEX('Checks'!$N$4:$N$503,_calc!$E$133)))</f>
        <v/>
      </c>
      <c r="K131" s="47">
        <f>IF(_calc!$E$133="","",IF(LEN(INDEX('Checks'!$M$4:$M$503,_calc!$E$133))=0,"",INDEX('Checks'!$M$4:$M$503,_calc!$E$133)))</f>
        <v/>
      </c>
    </row>
    <row r="132">
      <c r="A132" s="47">
        <f>IF(_calc!$E$134="","",IF(LEN(INDEX('Checks'!$B$4:$B$503,_calc!$E$134))=0,"",INDEX('Checks'!$B$4:$B$503,_calc!$E$134))&amp;" – "&amp;IF(LEN(INDEX('Checks'!$A$4:$A$503,_calc!$E$134))=0,"",INDEX('Checks'!$A$4:$A$503,_calc!$E$134)))</f>
        <v/>
      </c>
      <c r="B132" s="47">
        <f>IF(_calc!$E$134="","",IF(ISNUMBER(INDEX('Checks'!$D$4:$D$503,_calc!$E$134)),TEXT(INDEX('Checks'!$D$4:$D$503,_calc!$E$134),"yyyy-mm-dd"),""))</f>
        <v/>
      </c>
      <c r="C132" s="47">
        <f>IF(_calc!$E$134="","",IF(LEN(INDEX('Checks'!$B$4:$B$503,_calc!$E$134))=0,"",INDEX('Checks'!$B$4:$B$503,_calc!$E$134)))</f>
        <v/>
      </c>
      <c r="D132" s="47">
        <f>IF(_calc!$E$134="","",IF(ISNUMBER(INDEX('Checks'!$C$4:$C$503,_calc!$E$134)),TEXT(INDEX('Checks'!$C$4:$C$503,_calc!$E$134),"yyyy-mm-dd"),""))</f>
        <v/>
      </c>
      <c r="E132" s="47">
        <f>IF(_calc!$E$134="","",IF(LEN(INDEX('Checks'!$L$4:$L$503,_calc!$E$134))=0,"",INDEX('Checks'!$L$4:$L$503,_calc!$E$134)))</f>
        <v/>
      </c>
      <c r="F132" s="47">
        <f>IF(_calc!$E$134="","",TRIM(IF(LEN(IF(LEN(INDEX('Checks'!$I$4:$I$503,_calc!$E$134))=0,"",INDEX('Checks'!$I$4:$I$503,_calc!$E$134)))=0,"","Contractor: "&amp;IF(LEN(INDEX('Checks'!$I$4:$I$503,_calc!$E$134))=0,"",INDEX('Checks'!$I$4:$I$503,_calc!$E$134))&amp;". ")&amp;IF(LEN(IF(LEN(INDEX('Checks'!$J$4:$J$503,_calc!$E$134))=0,"",INDEX('Checks'!$J$4:$J$503,_calc!$E$134)))=0,"","Ref: "&amp;IF(LEN(INDEX('Checks'!$J$4:$J$503,_calc!$E$134))=0,"",INDEX('Checks'!$J$4:$J$503,_calc!$E$134))&amp;". ")&amp;IF(LEN(IF(ISNUMBER(INDEX('Checks'!$K$4:$K$503,_calc!$E$134)),TEXT(INDEX('Checks'!$K$4:$K$503,_calc!$E$134),"yyyy-mm-dd"),""))=0,"","Copy to tenant: "&amp;IF(ISNUMBER(INDEX('Checks'!$K$4:$K$503,_calc!$E$134)),TEXT(INDEX('Checks'!$K$4:$K$503,_calc!$E$134),"yyyy-mm-dd"),"")&amp;". ")&amp;IF(LEN(IF(LEN(INDEX('Checks'!$P$4:$P$503,_calc!$E$134))=0,"",INDEX('Checks'!$P$4:$P$503,_calc!$E$134)))=0,"",IF(LEN(INDEX('Checks'!$P$4:$P$503,_calc!$E$134))=0,"",INDEX('Checks'!$P$4:$P$503,_calc!$E$134)))))</f>
        <v/>
      </c>
      <c r="G132" s="47">
        <f>IF(_calc!$E$134="","",IF(LEN(INDEX('Checks'!$N$4:$N$503,_calc!$E$134))=0,"",INDEX('Checks'!$N$4:$N$503,_calc!$E$134)))</f>
        <v/>
      </c>
      <c r="K132" s="47">
        <f>IF(_calc!$E$134="","",IF(LEN(INDEX('Checks'!$M$4:$M$503,_calc!$E$134))=0,"",INDEX('Checks'!$M$4:$M$503,_calc!$E$134)))</f>
        <v/>
      </c>
    </row>
    <row r="133">
      <c r="A133" s="47">
        <f>IF(_calc!$E$135="","",IF(LEN(INDEX('Checks'!$B$4:$B$503,_calc!$E$135))=0,"",INDEX('Checks'!$B$4:$B$503,_calc!$E$135))&amp;" – "&amp;IF(LEN(INDEX('Checks'!$A$4:$A$503,_calc!$E$135))=0,"",INDEX('Checks'!$A$4:$A$503,_calc!$E$135)))</f>
        <v/>
      </c>
      <c r="B133" s="47">
        <f>IF(_calc!$E$135="","",IF(ISNUMBER(INDEX('Checks'!$D$4:$D$503,_calc!$E$135)),TEXT(INDEX('Checks'!$D$4:$D$503,_calc!$E$135),"yyyy-mm-dd"),""))</f>
        <v/>
      </c>
      <c r="C133" s="47">
        <f>IF(_calc!$E$135="","",IF(LEN(INDEX('Checks'!$B$4:$B$503,_calc!$E$135))=0,"",INDEX('Checks'!$B$4:$B$503,_calc!$E$135)))</f>
        <v/>
      </c>
      <c r="D133" s="47">
        <f>IF(_calc!$E$135="","",IF(ISNUMBER(INDEX('Checks'!$C$4:$C$503,_calc!$E$135)),TEXT(INDEX('Checks'!$C$4:$C$503,_calc!$E$135),"yyyy-mm-dd"),""))</f>
        <v/>
      </c>
      <c r="E133" s="47">
        <f>IF(_calc!$E$135="","",IF(LEN(INDEX('Checks'!$L$4:$L$503,_calc!$E$135))=0,"",INDEX('Checks'!$L$4:$L$503,_calc!$E$135)))</f>
        <v/>
      </c>
      <c r="F133" s="47">
        <f>IF(_calc!$E$135="","",TRIM(IF(LEN(IF(LEN(INDEX('Checks'!$I$4:$I$503,_calc!$E$135))=0,"",INDEX('Checks'!$I$4:$I$503,_calc!$E$135)))=0,"","Contractor: "&amp;IF(LEN(INDEX('Checks'!$I$4:$I$503,_calc!$E$135))=0,"",INDEX('Checks'!$I$4:$I$503,_calc!$E$135))&amp;". ")&amp;IF(LEN(IF(LEN(INDEX('Checks'!$J$4:$J$503,_calc!$E$135))=0,"",INDEX('Checks'!$J$4:$J$503,_calc!$E$135)))=0,"","Ref: "&amp;IF(LEN(INDEX('Checks'!$J$4:$J$503,_calc!$E$135))=0,"",INDEX('Checks'!$J$4:$J$503,_calc!$E$135))&amp;". ")&amp;IF(LEN(IF(ISNUMBER(INDEX('Checks'!$K$4:$K$503,_calc!$E$135)),TEXT(INDEX('Checks'!$K$4:$K$503,_calc!$E$135),"yyyy-mm-dd"),""))=0,"","Copy to tenant: "&amp;IF(ISNUMBER(INDEX('Checks'!$K$4:$K$503,_calc!$E$135)),TEXT(INDEX('Checks'!$K$4:$K$503,_calc!$E$135),"yyyy-mm-dd"),"")&amp;". ")&amp;IF(LEN(IF(LEN(INDEX('Checks'!$P$4:$P$503,_calc!$E$135))=0,"",INDEX('Checks'!$P$4:$P$503,_calc!$E$135)))=0,"",IF(LEN(INDEX('Checks'!$P$4:$P$503,_calc!$E$135))=0,"",INDEX('Checks'!$P$4:$P$503,_calc!$E$135)))))</f>
        <v/>
      </c>
      <c r="G133" s="47">
        <f>IF(_calc!$E$135="","",IF(LEN(INDEX('Checks'!$N$4:$N$503,_calc!$E$135))=0,"",INDEX('Checks'!$N$4:$N$503,_calc!$E$135)))</f>
        <v/>
      </c>
      <c r="K133" s="47">
        <f>IF(_calc!$E$135="","",IF(LEN(INDEX('Checks'!$M$4:$M$503,_calc!$E$135))=0,"",INDEX('Checks'!$M$4:$M$503,_calc!$E$135)))</f>
        <v/>
      </c>
    </row>
    <row r="134">
      <c r="A134" s="47">
        <f>IF(_calc!$E$136="","",IF(LEN(INDEX('Checks'!$B$4:$B$503,_calc!$E$136))=0,"",INDEX('Checks'!$B$4:$B$503,_calc!$E$136))&amp;" – "&amp;IF(LEN(INDEX('Checks'!$A$4:$A$503,_calc!$E$136))=0,"",INDEX('Checks'!$A$4:$A$503,_calc!$E$136)))</f>
        <v/>
      </c>
      <c r="B134" s="47">
        <f>IF(_calc!$E$136="","",IF(ISNUMBER(INDEX('Checks'!$D$4:$D$503,_calc!$E$136)),TEXT(INDEX('Checks'!$D$4:$D$503,_calc!$E$136),"yyyy-mm-dd"),""))</f>
        <v/>
      </c>
      <c r="C134" s="47">
        <f>IF(_calc!$E$136="","",IF(LEN(INDEX('Checks'!$B$4:$B$503,_calc!$E$136))=0,"",INDEX('Checks'!$B$4:$B$503,_calc!$E$136)))</f>
        <v/>
      </c>
      <c r="D134" s="47">
        <f>IF(_calc!$E$136="","",IF(ISNUMBER(INDEX('Checks'!$C$4:$C$503,_calc!$E$136)),TEXT(INDEX('Checks'!$C$4:$C$503,_calc!$E$136),"yyyy-mm-dd"),""))</f>
        <v/>
      </c>
      <c r="E134" s="47">
        <f>IF(_calc!$E$136="","",IF(LEN(INDEX('Checks'!$L$4:$L$503,_calc!$E$136))=0,"",INDEX('Checks'!$L$4:$L$503,_calc!$E$136)))</f>
        <v/>
      </c>
      <c r="F134" s="47">
        <f>IF(_calc!$E$136="","",TRIM(IF(LEN(IF(LEN(INDEX('Checks'!$I$4:$I$503,_calc!$E$136))=0,"",INDEX('Checks'!$I$4:$I$503,_calc!$E$136)))=0,"","Contractor: "&amp;IF(LEN(INDEX('Checks'!$I$4:$I$503,_calc!$E$136))=0,"",INDEX('Checks'!$I$4:$I$503,_calc!$E$136))&amp;". ")&amp;IF(LEN(IF(LEN(INDEX('Checks'!$J$4:$J$503,_calc!$E$136))=0,"",INDEX('Checks'!$J$4:$J$503,_calc!$E$136)))=0,"","Ref: "&amp;IF(LEN(INDEX('Checks'!$J$4:$J$503,_calc!$E$136))=0,"",INDEX('Checks'!$J$4:$J$503,_calc!$E$136))&amp;". ")&amp;IF(LEN(IF(ISNUMBER(INDEX('Checks'!$K$4:$K$503,_calc!$E$136)),TEXT(INDEX('Checks'!$K$4:$K$503,_calc!$E$136),"yyyy-mm-dd"),""))=0,"","Copy to tenant: "&amp;IF(ISNUMBER(INDEX('Checks'!$K$4:$K$503,_calc!$E$136)),TEXT(INDEX('Checks'!$K$4:$K$503,_calc!$E$136),"yyyy-mm-dd"),"")&amp;". ")&amp;IF(LEN(IF(LEN(INDEX('Checks'!$P$4:$P$503,_calc!$E$136))=0,"",INDEX('Checks'!$P$4:$P$503,_calc!$E$136)))=0,"",IF(LEN(INDEX('Checks'!$P$4:$P$503,_calc!$E$136))=0,"",INDEX('Checks'!$P$4:$P$503,_calc!$E$136)))))</f>
        <v/>
      </c>
      <c r="G134" s="47">
        <f>IF(_calc!$E$136="","",IF(LEN(INDEX('Checks'!$N$4:$N$503,_calc!$E$136))=0,"",INDEX('Checks'!$N$4:$N$503,_calc!$E$136)))</f>
        <v/>
      </c>
      <c r="K134" s="47">
        <f>IF(_calc!$E$136="","",IF(LEN(INDEX('Checks'!$M$4:$M$503,_calc!$E$136))=0,"",INDEX('Checks'!$M$4:$M$503,_calc!$E$136)))</f>
        <v/>
      </c>
    </row>
    <row r="135">
      <c r="A135" s="47">
        <f>IF(_calc!$E$137="","",IF(LEN(INDEX('Checks'!$B$4:$B$503,_calc!$E$137))=0,"",INDEX('Checks'!$B$4:$B$503,_calc!$E$137))&amp;" – "&amp;IF(LEN(INDEX('Checks'!$A$4:$A$503,_calc!$E$137))=0,"",INDEX('Checks'!$A$4:$A$503,_calc!$E$137)))</f>
        <v/>
      </c>
      <c r="B135" s="47">
        <f>IF(_calc!$E$137="","",IF(ISNUMBER(INDEX('Checks'!$D$4:$D$503,_calc!$E$137)),TEXT(INDEX('Checks'!$D$4:$D$503,_calc!$E$137),"yyyy-mm-dd"),""))</f>
        <v/>
      </c>
      <c r="C135" s="47">
        <f>IF(_calc!$E$137="","",IF(LEN(INDEX('Checks'!$B$4:$B$503,_calc!$E$137))=0,"",INDEX('Checks'!$B$4:$B$503,_calc!$E$137)))</f>
        <v/>
      </c>
      <c r="D135" s="47">
        <f>IF(_calc!$E$137="","",IF(ISNUMBER(INDEX('Checks'!$C$4:$C$503,_calc!$E$137)),TEXT(INDEX('Checks'!$C$4:$C$503,_calc!$E$137),"yyyy-mm-dd"),""))</f>
        <v/>
      </c>
      <c r="E135" s="47">
        <f>IF(_calc!$E$137="","",IF(LEN(INDEX('Checks'!$L$4:$L$503,_calc!$E$137))=0,"",INDEX('Checks'!$L$4:$L$503,_calc!$E$137)))</f>
        <v/>
      </c>
      <c r="F135" s="47">
        <f>IF(_calc!$E$137="","",TRIM(IF(LEN(IF(LEN(INDEX('Checks'!$I$4:$I$503,_calc!$E$137))=0,"",INDEX('Checks'!$I$4:$I$503,_calc!$E$137)))=0,"","Contractor: "&amp;IF(LEN(INDEX('Checks'!$I$4:$I$503,_calc!$E$137))=0,"",INDEX('Checks'!$I$4:$I$503,_calc!$E$137))&amp;". ")&amp;IF(LEN(IF(LEN(INDEX('Checks'!$J$4:$J$503,_calc!$E$137))=0,"",INDEX('Checks'!$J$4:$J$503,_calc!$E$137)))=0,"","Ref: "&amp;IF(LEN(INDEX('Checks'!$J$4:$J$503,_calc!$E$137))=0,"",INDEX('Checks'!$J$4:$J$503,_calc!$E$137))&amp;". ")&amp;IF(LEN(IF(ISNUMBER(INDEX('Checks'!$K$4:$K$503,_calc!$E$137)),TEXT(INDEX('Checks'!$K$4:$K$503,_calc!$E$137),"yyyy-mm-dd"),""))=0,"","Copy to tenant: "&amp;IF(ISNUMBER(INDEX('Checks'!$K$4:$K$503,_calc!$E$137)),TEXT(INDEX('Checks'!$K$4:$K$503,_calc!$E$137),"yyyy-mm-dd"),"")&amp;". ")&amp;IF(LEN(IF(LEN(INDEX('Checks'!$P$4:$P$503,_calc!$E$137))=0,"",INDEX('Checks'!$P$4:$P$503,_calc!$E$137)))=0,"",IF(LEN(INDEX('Checks'!$P$4:$P$503,_calc!$E$137))=0,"",INDEX('Checks'!$P$4:$P$503,_calc!$E$137)))))</f>
        <v/>
      </c>
      <c r="G135" s="47">
        <f>IF(_calc!$E$137="","",IF(LEN(INDEX('Checks'!$N$4:$N$503,_calc!$E$137))=0,"",INDEX('Checks'!$N$4:$N$503,_calc!$E$137)))</f>
        <v/>
      </c>
      <c r="K135" s="47">
        <f>IF(_calc!$E$137="","",IF(LEN(INDEX('Checks'!$M$4:$M$503,_calc!$E$137))=0,"",INDEX('Checks'!$M$4:$M$503,_calc!$E$137)))</f>
        <v/>
      </c>
    </row>
    <row r="136">
      <c r="A136" s="47">
        <f>IF(_calc!$E$138="","",IF(LEN(INDEX('Checks'!$B$4:$B$503,_calc!$E$138))=0,"",INDEX('Checks'!$B$4:$B$503,_calc!$E$138))&amp;" – "&amp;IF(LEN(INDEX('Checks'!$A$4:$A$503,_calc!$E$138))=0,"",INDEX('Checks'!$A$4:$A$503,_calc!$E$138)))</f>
        <v/>
      </c>
      <c r="B136" s="47">
        <f>IF(_calc!$E$138="","",IF(ISNUMBER(INDEX('Checks'!$D$4:$D$503,_calc!$E$138)),TEXT(INDEX('Checks'!$D$4:$D$503,_calc!$E$138),"yyyy-mm-dd"),""))</f>
        <v/>
      </c>
      <c r="C136" s="47">
        <f>IF(_calc!$E$138="","",IF(LEN(INDEX('Checks'!$B$4:$B$503,_calc!$E$138))=0,"",INDEX('Checks'!$B$4:$B$503,_calc!$E$138)))</f>
        <v/>
      </c>
      <c r="D136" s="47">
        <f>IF(_calc!$E$138="","",IF(ISNUMBER(INDEX('Checks'!$C$4:$C$503,_calc!$E$138)),TEXT(INDEX('Checks'!$C$4:$C$503,_calc!$E$138),"yyyy-mm-dd"),""))</f>
        <v/>
      </c>
      <c r="E136" s="47">
        <f>IF(_calc!$E$138="","",IF(LEN(INDEX('Checks'!$L$4:$L$503,_calc!$E$138))=0,"",INDEX('Checks'!$L$4:$L$503,_calc!$E$138)))</f>
        <v/>
      </c>
      <c r="F136" s="47">
        <f>IF(_calc!$E$138="","",TRIM(IF(LEN(IF(LEN(INDEX('Checks'!$I$4:$I$503,_calc!$E$138))=0,"",INDEX('Checks'!$I$4:$I$503,_calc!$E$138)))=0,"","Contractor: "&amp;IF(LEN(INDEX('Checks'!$I$4:$I$503,_calc!$E$138))=0,"",INDEX('Checks'!$I$4:$I$503,_calc!$E$138))&amp;". ")&amp;IF(LEN(IF(LEN(INDEX('Checks'!$J$4:$J$503,_calc!$E$138))=0,"",INDEX('Checks'!$J$4:$J$503,_calc!$E$138)))=0,"","Ref: "&amp;IF(LEN(INDEX('Checks'!$J$4:$J$503,_calc!$E$138))=0,"",INDEX('Checks'!$J$4:$J$503,_calc!$E$138))&amp;". ")&amp;IF(LEN(IF(ISNUMBER(INDEX('Checks'!$K$4:$K$503,_calc!$E$138)),TEXT(INDEX('Checks'!$K$4:$K$503,_calc!$E$138),"yyyy-mm-dd"),""))=0,"","Copy to tenant: "&amp;IF(ISNUMBER(INDEX('Checks'!$K$4:$K$503,_calc!$E$138)),TEXT(INDEX('Checks'!$K$4:$K$503,_calc!$E$138),"yyyy-mm-dd"),"")&amp;". ")&amp;IF(LEN(IF(LEN(INDEX('Checks'!$P$4:$P$503,_calc!$E$138))=0,"",INDEX('Checks'!$P$4:$P$503,_calc!$E$138)))=0,"",IF(LEN(INDEX('Checks'!$P$4:$P$503,_calc!$E$138))=0,"",INDEX('Checks'!$P$4:$P$503,_calc!$E$138)))))</f>
        <v/>
      </c>
      <c r="G136" s="47">
        <f>IF(_calc!$E$138="","",IF(LEN(INDEX('Checks'!$N$4:$N$503,_calc!$E$138))=0,"",INDEX('Checks'!$N$4:$N$503,_calc!$E$138)))</f>
        <v/>
      </c>
      <c r="K136" s="47">
        <f>IF(_calc!$E$138="","",IF(LEN(INDEX('Checks'!$M$4:$M$503,_calc!$E$138))=0,"",INDEX('Checks'!$M$4:$M$503,_calc!$E$138)))</f>
        <v/>
      </c>
    </row>
    <row r="137">
      <c r="A137" s="47">
        <f>IF(_calc!$E$139="","",IF(LEN(INDEX('Checks'!$B$4:$B$503,_calc!$E$139))=0,"",INDEX('Checks'!$B$4:$B$503,_calc!$E$139))&amp;" – "&amp;IF(LEN(INDEX('Checks'!$A$4:$A$503,_calc!$E$139))=0,"",INDEX('Checks'!$A$4:$A$503,_calc!$E$139)))</f>
        <v/>
      </c>
      <c r="B137" s="47">
        <f>IF(_calc!$E$139="","",IF(ISNUMBER(INDEX('Checks'!$D$4:$D$503,_calc!$E$139)),TEXT(INDEX('Checks'!$D$4:$D$503,_calc!$E$139),"yyyy-mm-dd"),""))</f>
        <v/>
      </c>
      <c r="C137" s="47">
        <f>IF(_calc!$E$139="","",IF(LEN(INDEX('Checks'!$B$4:$B$503,_calc!$E$139))=0,"",INDEX('Checks'!$B$4:$B$503,_calc!$E$139)))</f>
        <v/>
      </c>
      <c r="D137" s="47">
        <f>IF(_calc!$E$139="","",IF(ISNUMBER(INDEX('Checks'!$C$4:$C$503,_calc!$E$139)),TEXT(INDEX('Checks'!$C$4:$C$503,_calc!$E$139),"yyyy-mm-dd"),""))</f>
        <v/>
      </c>
      <c r="E137" s="47">
        <f>IF(_calc!$E$139="","",IF(LEN(INDEX('Checks'!$L$4:$L$503,_calc!$E$139))=0,"",INDEX('Checks'!$L$4:$L$503,_calc!$E$139)))</f>
        <v/>
      </c>
      <c r="F137" s="47">
        <f>IF(_calc!$E$139="","",TRIM(IF(LEN(IF(LEN(INDEX('Checks'!$I$4:$I$503,_calc!$E$139))=0,"",INDEX('Checks'!$I$4:$I$503,_calc!$E$139)))=0,"","Contractor: "&amp;IF(LEN(INDEX('Checks'!$I$4:$I$503,_calc!$E$139))=0,"",INDEX('Checks'!$I$4:$I$503,_calc!$E$139))&amp;". ")&amp;IF(LEN(IF(LEN(INDEX('Checks'!$J$4:$J$503,_calc!$E$139))=0,"",INDEX('Checks'!$J$4:$J$503,_calc!$E$139)))=0,"","Ref: "&amp;IF(LEN(INDEX('Checks'!$J$4:$J$503,_calc!$E$139))=0,"",INDEX('Checks'!$J$4:$J$503,_calc!$E$139))&amp;". ")&amp;IF(LEN(IF(ISNUMBER(INDEX('Checks'!$K$4:$K$503,_calc!$E$139)),TEXT(INDEX('Checks'!$K$4:$K$503,_calc!$E$139),"yyyy-mm-dd"),""))=0,"","Copy to tenant: "&amp;IF(ISNUMBER(INDEX('Checks'!$K$4:$K$503,_calc!$E$139)),TEXT(INDEX('Checks'!$K$4:$K$503,_calc!$E$139),"yyyy-mm-dd"),"")&amp;". ")&amp;IF(LEN(IF(LEN(INDEX('Checks'!$P$4:$P$503,_calc!$E$139))=0,"",INDEX('Checks'!$P$4:$P$503,_calc!$E$139)))=0,"",IF(LEN(INDEX('Checks'!$P$4:$P$503,_calc!$E$139))=0,"",INDEX('Checks'!$P$4:$P$503,_calc!$E$139)))))</f>
        <v/>
      </c>
      <c r="G137" s="47">
        <f>IF(_calc!$E$139="","",IF(LEN(INDEX('Checks'!$N$4:$N$503,_calc!$E$139))=0,"",INDEX('Checks'!$N$4:$N$503,_calc!$E$139)))</f>
        <v/>
      </c>
      <c r="K137" s="47">
        <f>IF(_calc!$E$139="","",IF(LEN(INDEX('Checks'!$M$4:$M$503,_calc!$E$139))=0,"",INDEX('Checks'!$M$4:$M$503,_calc!$E$139)))</f>
        <v/>
      </c>
    </row>
    <row r="138">
      <c r="A138" s="47">
        <f>IF(_calc!$E$140="","",IF(LEN(INDEX('Checks'!$B$4:$B$503,_calc!$E$140))=0,"",INDEX('Checks'!$B$4:$B$503,_calc!$E$140))&amp;" – "&amp;IF(LEN(INDEX('Checks'!$A$4:$A$503,_calc!$E$140))=0,"",INDEX('Checks'!$A$4:$A$503,_calc!$E$140)))</f>
        <v/>
      </c>
      <c r="B138" s="47">
        <f>IF(_calc!$E$140="","",IF(ISNUMBER(INDEX('Checks'!$D$4:$D$503,_calc!$E$140)),TEXT(INDEX('Checks'!$D$4:$D$503,_calc!$E$140),"yyyy-mm-dd"),""))</f>
        <v/>
      </c>
      <c r="C138" s="47">
        <f>IF(_calc!$E$140="","",IF(LEN(INDEX('Checks'!$B$4:$B$503,_calc!$E$140))=0,"",INDEX('Checks'!$B$4:$B$503,_calc!$E$140)))</f>
        <v/>
      </c>
      <c r="D138" s="47">
        <f>IF(_calc!$E$140="","",IF(ISNUMBER(INDEX('Checks'!$C$4:$C$503,_calc!$E$140)),TEXT(INDEX('Checks'!$C$4:$C$503,_calc!$E$140),"yyyy-mm-dd"),""))</f>
        <v/>
      </c>
      <c r="E138" s="47">
        <f>IF(_calc!$E$140="","",IF(LEN(INDEX('Checks'!$L$4:$L$503,_calc!$E$140))=0,"",INDEX('Checks'!$L$4:$L$503,_calc!$E$140)))</f>
        <v/>
      </c>
      <c r="F138" s="47">
        <f>IF(_calc!$E$140="","",TRIM(IF(LEN(IF(LEN(INDEX('Checks'!$I$4:$I$503,_calc!$E$140))=0,"",INDEX('Checks'!$I$4:$I$503,_calc!$E$140)))=0,"","Contractor: "&amp;IF(LEN(INDEX('Checks'!$I$4:$I$503,_calc!$E$140))=0,"",INDEX('Checks'!$I$4:$I$503,_calc!$E$140))&amp;". ")&amp;IF(LEN(IF(LEN(INDEX('Checks'!$J$4:$J$503,_calc!$E$140))=0,"",INDEX('Checks'!$J$4:$J$503,_calc!$E$140)))=0,"","Ref: "&amp;IF(LEN(INDEX('Checks'!$J$4:$J$503,_calc!$E$140))=0,"",INDEX('Checks'!$J$4:$J$503,_calc!$E$140))&amp;". ")&amp;IF(LEN(IF(ISNUMBER(INDEX('Checks'!$K$4:$K$503,_calc!$E$140)),TEXT(INDEX('Checks'!$K$4:$K$503,_calc!$E$140),"yyyy-mm-dd"),""))=0,"","Copy to tenant: "&amp;IF(ISNUMBER(INDEX('Checks'!$K$4:$K$503,_calc!$E$140)),TEXT(INDEX('Checks'!$K$4:$K$503,_calc!$E$140),"yyyy-mm-dd"),"")&amp;". ")&amp;IF(LEN(IF(LEN(INDEX('Checks'!$P$4:$P$503,_calc!$E$140))=0,"",INDEX('Checks'!$P$4:$P$503,_calc!$E$140)))=0,"",IF(LEN(INDEX('Checks'!$P$4:$P$503,_calc!$E$140))=0,"",INDEX('Checks'!$P$4:$P$503,_calc!$E$140)))))</f>
        <v/>
      </c>
      <c r="G138" s="47">
        <f>IF(_calc!$E$140="","",IF(LEN(INDEX('Checks'!$N$4:$N$503,_calc!$E$140))=0,"",INDEX('Checks'!$N$4:$N$503,_calc!$E$140)))</f>
        <v/>
      </c>
      <c r="K138" s="47">
        <f>IF(_calc!$E$140="","",IF(LEN(INDEX('Checks'!$M$4:$M$503,_calc!$E$140))=0,"",INDEX('Checks'!$M$4:$M$503,_calc!$E$140)))</f>
        <v/>
      </c>
    </row>
    <row r="139">
      <c r="A139" s="47">
        <f>IF(_calc!$E$141="","",IF(LEN(INDEX('Checks'!$B$4:$B$503,_calc!$E$141))=0,"",INDEX('Checks'!$B$4:$B$503,_calc!$E$141))&amp;" – "&amp;IF(LEN(INDEX('Checks'!$A$4:$A$503,_calc!$E$141))=0,"",INDEX('Checks'!$A$4:$A$503,_calc!$E$141)))</f>
        <v/>
      </c>
      <c r="B139" s="47">
        <f>IF(_calc!$E$141="","",IF(ISNUMBER(INDEX('Checks'!$D$4:$D$503,_calc!$E$141)),TEXT(INDEX('Checks'!$D$4:$D$503,_calc!$E$141),"yyyy-mm-dd"),""))</f>
        <v/>
      </c>
      <c r="C139" s="47">
        <f>IF(_calc!$E$141="","",IF(LEN(INDEX('Checks'!$B$4:$B$503,_calc!$E$141))=0,"",INDEX('Checks'!$B$4:$B$503,_calc!$E$141)))</f>
        <v/>
      </c>
      <c r="D139" s="47">
        <f>IF(_calc!$E$141="","",IF(ISNUMBER(INDEX('Checks'!$C$4:$C$503,_calc!$E$141)),TEXT(INDEX('Checks'!$C$4:$C$503,_calc!$E$141),"yyyy-mm-dd"),""))</f>
        <v/>
      </c>
      <c r="E139" s="47">
        <f>IF(_calc!$E$141="","",IF(LEN(INDEX('Checks'!$L$4:$L$503,_calc!$E$141))=0,"",INDEX('Checks'!$L$4:$L$503,_calc!$E$141)))</f>
        <v/>
      </c>
      <c r="F139" s="47">
        <f>IF(_calc!$E$141="","",TRIM(IF(LEN(IF(LEN(INDEX('Checks'!$I$4:$I$503,_calc!$E$141))=0,"",INDEX('Checks'!$I$4:$I$503,_calc!$E$141)))=0,"","Contractor: "&amp;IF(LEN(INDEX('Checks'!$I$4:$I$503,_calc!$E$141))=0,"",INDEX('Checks'!$I$4:$I$503,_calc!$E$141))&amp;". ")&amp;IF(LEN(IF(LEN(INDEX('Checks'!$J$4:$J$503,_calc!$E$141))=0,"",INDEX('Checks'!$J$4:$J$503,_calc!$E$141)))=0,"","Ref: "&amp;IF(LEN(INDEX('Checks'!$J$4:$J$503,_calc!$E$141))=0,"",INDEX('Checks'!$J$4:$J$503,_calc!$E$141))&amp;". ")&amp;IF(LEN(IF(ISNUMBER(INDEX('Checks'!$K$4:$K$503,_calc!$E$141)),TEXT(INDEX('Checks'!$K$4:$K$503,_calc!$E$141),"yyyy-mm-dd"),""))=0,"","Copy to tenant: "&amp;IF(ISNUMBER(INDEX('Checks'!$K$4:$K$503,_calc!$E$141)),TEXT(INDEX('Checks'!$K$4:$K$503,_calc!$E$141),"yyyy-mm-dd"),"")&amp;". ")&amp;IF(LEN(IF(LEN(INDEX('Checks'!$P$4:$P$503,_calc!$E$141))=0,"",INDEX('Checks'!$P$4:$P$503,_calc!$E$141)))=0,"",IF(LEN(INDEX('Checks'!$P$4:$P$503,_calc!$E$141))=0,"",INDEX('Checks'!$P$4:$P$503,_calc!$E$141)))))</f>
        <v/>
      </c>
      <c r="G139" s="47">
        <f>IF(_calc!$E$141="","",IF(LEN(INDEX('Checks'!$N$4:$N$503,_calc!$E$141))=0,"",INDEX('Checks'!$N$4:$N$503,_calc!$E$141)))</f>
        <v/>
      </c>
      <c r="K139" s="47">
        <f>IF(_calc!$E$141="","",IF(LEN(INDEX('Checks'!$M$4:$M$503,_calc!$E$141))=0,"",INDEX('Checks'!$M$4:$M$503,_calc!$E$141)))</f>
        <v/>
      </c>
    </row>
    <row r="140">
      <c r="A140" s="47">
        <f>IF(_calc!$E$142="","",IF(LEN(INDEX('Checks'!$B$4:$B$503,_calc!$E$142))=0,"",INDEX('Checks'!$B$4:$B$503,_calc!$E$142))&amp;" – "&amp;IF(LEN(INDEX('Checks'!$A$4:$A$503,_calc!$E$142))=0,"",INDEX('Checks'!$A$4:$A$503,_calc!$E$142)))</f>
        <v/>
      </c>
      <c r="B140" s="47">
        <f>IF(_calc!$E$142="","",IF(ISNUMBER(INDEX('Checks'!$D$4:$D$503,_calc!$E$142)),TEXT(INDEX('Checks'!$D$4:$D$503,_calc!$E$142),"yyyy-mm-dd"),""))</f>
        <v/>
      </c>
      <c r="C140" s="47">
        <f>IF(_calc!$E$142="","",IF(LEN(INDEX('Checks'!$B$4:$B$503,_calc!$E$142))=0,"",INDEX('Checks'!$B$4:$B$503,_calc!$E$142)))</f>
        <v/>
      </c>
      <c r="D140" s="47">
        <f>IF(_calc!$E$142="","",IF(ISNUMBER(INDEX('Checks'!$C$4:$C$503,_calc!$E$142)),TEXT(INDEX('Checks'!$C$4:$C$503,_calc!$E$142),"yyyy-mm-dd"),""))</f>
        <v/>
      </c>
      <c r="E140" s="47">
        <f>IF(_calc!$E$142="","",IF(LEN(INDEX('Checks'!$L$4:$L$503,_calc!$E$142))=0,"",INDEX('Checks'!$L$4:$L$503,_calc!$E$142)))</f>
        <v/>
      </c>
      <c r="F140" s="47">
        <f>IF(_calc!$E$142="","",TRIM(IF(LEN(IF(LEN(INDEX('Checks'!$I$4:$I$503,_calc!$E$142))=0,"",INDEX('Checks'!$I$4:$I$503,_calc!$E$142)))=0,"","Contractor: "&amp;IF(LEN(INDEX('Checks'!$I$4:$I$503,_calc!$E$142))=0,"",INDEX('Checks'!$I$4:$I$503,_calc!$E$142))&amp;". ")&amp;IF(LEN(IF(LEN(INDEX('Checks'!$J$4:$J$503,_calc!$E$142))=0,"",INDEX('Checks'!$J$4:$J$503,_calc!$E$142)))=0,"","Ref: "&amp;IF(LEN(INDEX('Checks'!$J$4:$J$503,_calc!$E$142))=0,"",INDEX('Checks'!$J$4:$J$503,_calc!$E$142))&amp;". ")&amp;IF(LEN(IF(ISNUMBER(INDEX('Checks'!$K$4:$K$503,_calc!$E$142)),TEXT(INDEX('Checks'!$K$4:$K$503,_calc!$E$142),"yyyy-mm-dd"),""))=0,"","Copy to tenant: "&amp;IF(ISNUMBER(INDEX('Checks'!$K$4:$K$503,_calc!$E$142)),TEXT(INDEX('Checks'!$K$4:$K$503,_calc!$E$142),"yyyy-mm-dd"),"")&amp;". ")&amp;IF(LEN(IF(LEN(INDEX('Checks'!$P$4:$P$503,_calc!$E$142))=0,"",INDEX('Checks'!$P$4:$P$503,_calc!$E$142)))=0,"",IF(LEN(INDEX('Checks'!$P$4:$P$503,_calc!$E$142))=0,"",INDEX('Checks'!$P$4:$P$503,_calc!$E$142)))))</f>
        <v/>
      </c>
      <c r="G140" s="47">
        <f>IF(_calc!$E$142="","",IF(LEN(INDEX('Checks'!$N$4:$N$503,_calc!$E$142))=0,"",INDEX('Checks'!$N$4:$N$503,_calc!$E$142)))</f>
        <v/>
      </c>
      <c r="K140" s="47">
        <f>IF(_calc!$E$142="","",IF(LEN(INDEX('Checks'!$M$4:$M$503,_calc!$E$142))=0,"",INDEX('Checks'!$M$4:$M$503,_calc!$E$142)))</f>
        <v/>
      </c>
    </row>
    <row r="141">
      <c r="A141" s="47">
        <f>IF(_calc!$E$143="","",IF(LEN(INDEX('Checks'!$B$4:$B$503,_calc!$E$143))=0,"",INDEX('Checks'!$B$4:$B$503,_calc!$E$143))&amp;" – "&amp;IF(LEN(INDEX('Checks'!$A$4:$A$503,_calc!$E$143))=0,"",INDEX('Checks'!$A$4:$A$503,_calc!$E$143)))</f>
        <v/>
      </c>
      <c r="B141" s="47">
        <f>IF(_calc!$E$143="","",IF(ISNUMBER(INDEX('Checks'!$D$4:$D$503,_calc!$E$143)),TEXT(INDEX('Checks'!$D$4:$D$503,_calc!$E$143),"yyyy-mm-dd"),""))</f>
        <v/>
      </c>
      <c r="C141" s="47">
        <f>IF(_calc!$E$143="","",IF(LEN(INDEX('Checks'!$B$4:$B$503,_calc!$E$143))=0,"",INDEX('Checks'!$B$4:$B$503,_calc!$E$143)))</f>
        <v/>
      </c>
      <c r="D141" s="47">
        <f>IF(_calc!$E$143="","",IF(ISNUMBER(INDEX('Checks'!$C$4:$C$503,_calc!$E$143)),TEXT(INDEX('Checks'!$C$4:$C$503,_calc!$E$143),"yyyy-mm-dd"),""))</f>
        <v/>
      </c>
      <c r="E141" s="47">
        <f>IF(_calc!$E$143="","",IF(LEN(INDEX('Checks'!$L$4:$L$503,_calc!$E$143))=0,"",INDEX('Checks'!$L$4:$L$503,_calc!$E$143)))</f>
        <v/>
      </c>
      <c r="F141" s="47">
        <f>IF(_calc!$E$143="","",TRIM(IF(LEN(IF(LEN(INDEX('Checks'!$I$4:$I$503,_calc!$E$143))=0,"",INDEX('Checks'!$I$4:$I$503,_calc!$E$143)))=0,"","Contractor: "&amp;IF(LEN(INDEX('Checks'!$I$4:$I$503,_calc!$E$143))=0,"",INDEX('Checks'!$I$4:$I$503,_calc!$E$143))&amp;". ")&amp;IF(LEN(IF(LEN(INDEX('Checks'!$J$4:$J$503,_calc!$E$143))=0,"",INDEX('Checks'!$J$4:$J$503,_calc!$E$143)))=0,"","Ref: "&amp;IF(LEN(INDEX('Checks'!$J$4:$J$503,_calc!$E$143))=0,"",INDEX('Checks'!$J$4:$J$503,_calc!$E$143))&amp;". ")&amp;IF(LEN(IF(ISNUMBER(INDEX('Checks'!$K$4:$K$503,_calc!$E$143)),TEXT(INDEX('Checks'!$K$4:$K$503,_calc!$E$143),"yyyy-mm-dd"),""))=0,"","Copy to tenant: "&amp;IF(ISNUMBER(INDEX('Checks'!$K$4:$K$503,_calc!$E$143)),TEXT(INDEX('Checks'!$K$4:$K$503,_calc!$E$143),"yyyy-mm-dd"),"")&amp;". ")&amp;IF(LEN(IF(LEN(INDEX('Checks'!$P$4:$P$503,_calc!$E$143))=0,"",INDEX('Checks'!$P$4:$P$503,_calc!$E$143)))=0,"",IF(LEN(INDEX('Checks'!$P$4:$P$503,_calc!$E$143))=0,"",INDEX('Checks'!$P$4:$P$503,_calc!$E$143)))))</f>
        <v/>
      </c>
      <c r="G141" s="47">
        <f>IF(_calc!$E$143="","",IF(LEN(INDEX('Checks'!$N$4:$N$503,_calc!$E$143))=0,"",INDEX('Checks'!$N$4:$N$503,_calc!$E$143)))</f>
        <v/>
      </c>
      <c r="K141" s="47">
        <f>IF(_calc!$E$143="","",IF(LEN(INDEX('Checks'!$M$4:$M$503,_calc!$E$143))=0,"",INDEX('Checks'!$M$4:$M$503,_calc!$E$143)))</f>
        <v/>
      </c>
    </row>
    <row r="142">
      <c r="A142" s="47">
        <f>IF(_calc!$E$144="","",IF(LEN(INDEX('Checks'!$B$4:$B$503,_calc!$E$144))=0,"",INDEX('Checks'!$B$4:$B$503,_calc!$E$144))&amp;" – "&amp;IF(LEN(INDEX('Checks'!$A$4:$A$503,_calc!$E$144))=0,"",INDEX('Checks'!$A$4:$A$503,_calc!$E$144)))</f>
        <v/>
      </c>
      <c r="B142" s="47">
        <f>IF(_calc!$E$144="","",IF(ISNUMBER(INDEX('Checks'!$D$4:$D$503,_calc!$E$144)),TEXT(INDEX('Checks'!$D$4:$D$503,_calc!$E$144),"yyyy-mm-dd"),""))</f>
        <v/>
      </c>
      <c r="C142" s="47">
        <f>IF(_calc!$E$144="","",IF(LEN(INDEX('Checks'!$B$4:$B$503,_calc!$E$144))=0,"",INDEX('Checks'!$B$4:$B$503,_calc!$E$144)))</f>
        <v/>
      </c>
      <c r="D142" s="47">
        <f>IF(_calc!$E$144="","",IF(ISNUMBER(INDEX('Checks'!$C$4:$C$503,_calc!$E$144)),TEXT(INDEX('Checks'!$C$4:$C$503,_calc!$E$144),"yyyy-mm-dd"),""))</f>
        <v/>
      </c>
      <c r="E142" s="47">
        <f>IF(_calc!$E$144="","",IF(LEN(INDEX('Checks'!$L$4:$L$503,_calc!$E$144))=0,"",INDEX('Checks'!$L$4:$L$503,_calc!$E$144)))</f>
        <v/>
      </c>
      <c r="F142" s="47">
        <f>IF(_calc!$E$144="","",TRIM(IF(LEN(IF(LEN(INDEX('Checks'!$I$4:$I$503,_calc!$E$144))=0,"",INDEX('Checks'!$I$4:$I$503,_calc!$E$144)))=0,"","Contractor: "&amp;IF(LEN(INDEX('Checks'!$I$4:$I$503,_calc!$E$144))=0,"",INDEX('Checks'!$I$4:$I$503,_calc!$E$144))&amp;". ")&amp;IF(LEN(IF(LEN(INDEX('Checks'!$J$4:$J$503,_calc!$E$144))=0,"",INDEX('Checks'!$J$4:$J$503,_calc!$E$144)))=0,"","Ref: "&amp;IF(LEN(INDEX('Checks'!$J$4:$J$503,_calc!$E$144))=0,"",INDEX('Checks'!$J$4:$J$503,_calc!$E$144))&amp;". ")&amp;IF(LEN(IF(ISNUMBER(INDEX('Checks'!$K$4:$K$503,_calc!$E$144)),TEXT(INDEX('Checks'!$K$4:$K$503,_calc!$E$144),"yyyy-mm-dd"),""))=0,"","Copy to tenant: "&amp;IF(ISNUMBER(INDEX('Checks'!$K$4:$K$503,_calc!$E$144)),TEXT(INDEX('Checks'!$K$4:$K$503,_calc!$E$144),"yyyy-mm-dd"),"")&amp;". ")&amp;IF(LEN(IF(LEN(INDEX('Checks'!$P$4:$P$503,_calc!$E$144))=0,"",INDEX('Checks'!$P$4:$P$503,_calc!$E$144)))=0,"",IF(LEN(INDEX('Checks'!$P$4:$P$503,_calc!$E$144))=0,"",INDEX('Checks'!$P$4:$P$503,_calc!$E$144)))))</f>
        <v/>
      </c>
      <c r="G142" s="47">
        <f>IF(_calc!$E$144="","",IF(LEN(INDEX('Checks'!$N$4:$N$503,_calc!$E$144))=0,"",INDEX('Checks'!$N$4:$N$503,_calc!$E$144)))</f>
        <v/>
      </c>
      <c r="K142" s="47">
        <f>IF(_calc!$E$144="","",IF(LEN(INDEX('Checks'!$M$4:$M$503,_calc!$E$144))=0,"",INDEX('Checks'!$M$4:$M$503,_calc!$E$144)))</f>
        <v/>
      </c>
    </row>
    <row r="143">
      <c r="A143" s="47">
        <f>IF(_calc!$E$145="","",IF(LEN(INDEX('Checks'!$B$4:$B$503,_calc!$E$145))=0,"",INDEX('Checks'!$B$4:$B$503,_calc!$E$145))&amp;" – "&amp;IF(LEN(INDEX('Checks'!$A$4:$A$503,_calc!$E$145))=0,"",INDEX('Checks'!$A$4:$A$503,_calc!$E$145)))</f>
        <v/>
      </c>
      <c r="B143" s="47">
        <f>IF(_calc!$E$145="","",IF(ISNUMBER(INDEX('Checks'!$D$4:$D$503,_calc!$E$145)),TEXT(INDEX('Checks'!$D$4:$D$503,_calc!$E$145),"yyyy-mm-dd"),""))</f>
        <v/>
      </c>
      <c r="C143" s="47">
        <f>IF(_calc!$E$145="","",IF(LEN(INDEX('Checks'!$B$4:$B$503,_calc!$E$145))=0,"",INDEX('Checks'!$B$4:$B$503,_calc!$E$145)))</f>
        <v/>
      </c>
      <c r="D143" s="47">
        <f>IF(_calc!$E$145="","",IF(ISNUMBER(INDEX('Checks'!$C$4:$C$503,_calc!$E$145)),TEXT(INDEX('Checks'!$C$4:$C$503,_calc!$E$145),"yyyy-mm-dd"),""))</f>
        <v/>
      </c>
      <c r="E143" s="47">
        <f>IF(_calc!$E$145="","",IF(LEN(INDEX('Checks'!$L$4:$L$503,_calc!$E$145))=0,"",INDEX('Checks'!$L$4:$L$503,_calc!$E$145)))</f>
        <v/>
      </c>
      <c r="F143" s="47">
        <f>IF(_calc!$E$145="","",TRIM(IF(LEN(IF(LEN(INDEX('Checks'!$I$4:$I$503,_calc!$E$145))=0,"",INDEX('Checks'!$I$4:$I$503,_calc!$E$145)))=0,"","Contractor: "&amp;IF(LEN(INDEX('Checks'!$I$4:$I$503,_calc!$E$145))=0,"",INDEX('Checks'!$I$4:$I$503,_calc!$E$145))&amp;". ")&amp;IF(LEN(IF(LEN(INDEX('Checks'!$J$4:$J$503,_calc!$E$145))=0,"",INDEX('Checks'!$J$4:$J$503,_calc!$E$145)))=0,"","Ref: "&amp;IF(LEN(INDEX('Checks'!$J$4:$J$503,_calc!$E$145))=0,"",INDEX('Checks'!$J$4:$J$503,_calc!$E$145))&amp;". ")&amp;IF(LEN(IF(ISNUMBER(INDEX('Checks'!$K$4:$K$503,_calc!$E$145)),TEXT(INDEX('Checks'!$K$4:$K$503,_calc!$E$145),"yyyy-mm-dd"),""))=0,"","Copy to tenant: "&amp;IF(ISNUMBER(INDEX('Checks'!$K$4:$K$503,_calc!$E$145)),TEXT(INDEX('Checks'!$K$4:$K$503,_calc!$E$145),"yyyy-mm-dd"),"")&amp;". ")&amp;IF(LEN(IF(LEN(INDEX('Checks'!$P$4:$P$503,_calc!$E$145))=0,"",INDEX('Checks'!$P$4:$P$503,_calc!$E$145)))=0,"",IF(LEN(INDEX('Checks'!$P$4:$P$503,_calc!$E$145))=0,"",INDEX('Checks'!$P$4:$P$503,_calc!$E$145)))))</f>
        <v/>
      </c>
      <c r="G143" s="47">
        <f>IF(_calc!$E$145="","",IF(LEN(INDEX('Checks'!$N$4:$N$503,_calc!$E$145))=0,"",INDEX('Checks'!$N$4:$N$503,_calc!$E$145)))</f>
        <v/>
      </c>
      <c r="K143" s="47">
        <f>IF(_calc!$E$145="","",IF(LEN(INDEX('Checks'!$M$4:$M$503,_calc!$E$145))=0,"",INDEX('Checks'!$M$4:$M$503,_calc!$E$145)))</f>
        <v/>
      </c>
    </row>
    <row r="144">
      <c r="A144" s="47">
        <f>IF(_calc!$E$146="","",IF(LEN(INDEX('Checks'!$B$4:$B$503,_calc!$E$146))=0,"",INDEX('Checks'!$B$4:$B$503,_calc!$E$146))&amp;" – "&amp;IF(LEN(INDEX('Checks'!$A$4:$A$503,_calc!$E$146))=0,"",INDEX('Checks'!$A$4:$A$503,_calc!$E$146)))</f>
        <v/>
      </c>
      <c r="B144" s="47">
        <f>IF(_calc!$E$146="","",IF(ISNUMBER(INDEX('Checks'!$D$4:$D$503,_calc!$E$146)),TEXT(INDEX('Checks'!$D$4:$D$503,_calc!$E$146),"yyyy-mm-dd"),""))</f>
        <v/>
      </c>
      <c r="C144" s="47">
        <f>IF(_calc!$E$146="","",IF(LEN(INDEX('Checks'!$B$4:$B$503,_calc!$E$146))=0,"",INDEX('Checks'!$B$4:$B$503,_calc!$E$146)))</f>
        <v/>
      </c>
      <c r="D144" s="47">
        <f>IF(_calc!$E$146="","",IF(ISNUMBER(INDEX('Checks'!$C$4:$C$503,_calc!$E$146)),TEXT(INDEX('Checks'!$C$4:$C$503,_calc!$E$146),"yyyy-mm-dd"),""))</f>
        <v/>
      </c>
      <c r="E144" s="47">
        <f>IF(_calc!$E$146="","",IF(LEN(INDEX('Checks'!$L$4:$L$503,_calc!$E$146))=0,"",INDEX('Checks'!$L$4:$L$503,_calc!$E$146)))</f>
        <v/>
      </c>
      <c r="F144" s="47">
        <f>IF(_calc!$E$146="","",TRIM(IF(LEN(IF(LEN(INDEX('Checks'!$I$4:$I$503,_calc!$E$146))=0,"",INDEX('Checks'!$I$4:$I$503,_calc!$E$146)))=0,"","Contractor: "&amp;IF(LEN(INDEX('Checks'!$I$4:$I$503,_calc!$E$146))=0,"",INDEX('Checks'!$I$4:$I$503,_calc!$E$146))&amp;". ")&amp;IF(LEN(IF(LEN(INDEX('Checks'!$J$4:$J$503,_calc!$E$146))=0,"",INDEX('Checks'!$J$4:$J$503,_calc!$E$146)))=0,"","Ref: "&amp;IF(LEN(INDEX('Checks'!$J$4:$J$503,_calc!$E$146))=0,"",INDEX('Checks'!$J$4:$J$503,_calc!$E$146))&amp;". ")&amp;IF(LEN(IF(ISNUMBER(INDEX('Checks'!$K$4:$K$503,_calc!$E$146)),TEXT(INDEX('Checks'!$K$4:$K$503,_calc!$E$146),"yyyy-mm-dd"),""))=0,"","Copy to tenant: "&amp;IF(ISNUMBER(INDEX('Checks'!$K$4:$K$503,_calc!$E$146)),TEXT(INDEX('Checks'!$K$4:$K$503,_calc!$E$146),"yyyy-mm-dd"),"")&amp;". ")&amp;IF(LEN(IF(LEN(INDEX('Checks'!$P$4:$P$503,_calc!$E$146))=0,"",INDEX('Checks'!$P$4:$P$503,_calc!$E$146)))=0,"",IF(LEN(INDEX('Checks'!$P$4:$P$503,_calc!$E$146))=0,"",INDEX('Checks'!$P$4:$P$503,_calc!$E$146)))))</f>
        <v/>
      </c>
      <c r="G144" s="47">
        <f>IF(_calc!$E$146="","",IF(LEN(INDEX('Checks'!$N$4:$N$503,_calc!$E$146))=0,"",INDEX('Checks'!$N$4:$N$503,_calc!$E$146)))</f>
        <v/>
      </c>
      <c r="K144" s="47">
        <f>IF(_calc!$E$146="","",IF(LEN(INDEX('Checks'!$M$4:$M$503,_calc!$E$146))=0,"",INDEX('Checks'!$M$4:$M$503,_calc!$E$146)))</f>
        <v/>
      </c>
    </row>
    <row r="145">
      <c r="A145" s="47">
        <f>IF(_calc!$E$147="","",IF(LEN(INDEX('Checks'!$B$4:$B$503,_calc!$E$147))=0,"",INDEX('Checks'!$B$4:$B$503,_calc!$E$147))&amp;" – "&amp;IF(LEN(INDEX('Checks'!$A$4:$A$503,_calc!$E$147))=0,"",INDEX('Checks'!$A$4:$A$503,_calc!$E$147)))</f>
        <v/>
      </c>
      <c r="B145" s="47">
        <f>IF(_calc!$E$147="","",IF(ISNUMBER(INDEX('Checks'!$D$4:$D$503,_calc!$E$147)),TEXT(INDEX('Checks'!$D$4:$D$503,_calc!$E$147),"yyyy-mm-dd"),""))</f>
        <v/>
      </c>
      <c r="C145" s="47">
        <f>IF(_calc!$E$147="","",IF(LEN(INDEX('Checks'!$B$4:$B$503,_calc!$E$147))=0,"",INDEX('Checks'!$B$4:$B$503,_calc!$E$147)))</f>
        <v/>
      </c>
      <c r="D145" s="47">
        <f>IF(_calc!$E$147="","",IF(ISNUMBER(INDEX('Checks'!$C$4:$C$503,_calc!$E$147)),TEXT(INDEX('Checks'!$C$4:$C$503,_calc!$E$147),"yyyy-mm-dd"),""))</f>
        <v/>
      </c>
      <c r="E145" s="47">
        <f>IF(_calc!$E$147="","",IF(LEN(INDEX('Checks'!$L$4:$L$503,_calc!$E$147))=0,"",INDEX('Checks'!$L$4:$L$503,_calc!$E$147)))</f>
        <v/>
      </c>
      <c r="F145" s="47">
        <f>IF(_calc!$E$147="","",TRIM(IF(LEN(IF(LEN(INDEX('Checks'!$I$4:$I$503,_calc!$E$147))=0,"",INDEX('Checks'!$I$4:$I$503,_calc!$E$147)))=0,"","Contractor: "&amp;IF(LEN(INDEX('Checks'!$I$4:$I$503,_calc!$E$147))=0,"",INDEX('Checks'!$I$4:$I$503,_calc!$E$147))&amp;". ")&amp;IF(LEN(IF(LEN(INDEX('Checks'!$J$4:$J$503,_calc!$E$147))=0,"",INDEX('Checks'!$J$4:$J$503,_calc!$E$147)))=0,"","Ref: "&amp;IF(LEN(INDEX('Checks'!$J$4:$J$503,_calc!$E$147))=0,"",INDEX('Checks'!$J$4:$J$503,_calc!$E$147))&amp;". ")&amp;IF(LEN(IF(ISNUMBER(INDEX('Checks'!$K$4:$K$503,_calc!$E$147)),TEXT(INDEX('Checks'!$K$4:$K$503,_calc!$E$147),"yyyy-mm-dd"),""))=0,"","Copy to tenant: "&amp;IF(ISNUMBER(INDEX('Checks'!$K$4:$K$503,_calc!$E$147)),TEXT(INDEX('Checks'!$K$4:$K$503,_calc!$E$147),"yyyy-mm-dd"),"")&amp;". ")&amp;IF(LEN(IF(LEN(INDEX('Checks'!$P$4:$P$503,_calc!$E$147))=0,"",INDEX('Checks'!$P$4:$P$503,_calc!$E$147)))=0,"",IF(LEN(INDEX('Checks'!$P$4:$P$503,_calc!$E$147))=0,"",INDEX('Checks'!$P$4:$P$503,_calc!$E$147)))))</f>
        <v/>
      </c>
      <c r="G145" s="47">
        <f>IF(_calc!$E$147="","",IF(LEN(INDEX('Checks'!$N$4:$N$503,_calc!$E$147))=0,"",INDEX('Checks'!$N$4:$N$503,_calc!$E$147)))</f>
        <v/>
      </c>
      <c r="K145" s="47">
        <f>IF(_calc!$E$147="","",IF(LEN(INDEX('Checks'!$M$4:$M$503,_calc!$E$147))=0,"",INDEX('Checks'!$M$4:$M$503,_calc!$E$147)))</f>
        <v/>
      </c>
    </row>
    <row r="146">
      <c r="A146" s="47">
        <f>IF(_calc!$E$148="","",IF(LEN(INDEX('Checks'!$B$4:$B$503,_calc!$E$148))=0,"",INDEX('Checks'!$B$4:$B$503,_calc!$E$148))&amp;" – "&amp;IF(LEN(INDEX('Checks'!$A$4:$A$503,_calc!$E$148))=0,"",INDEX('Checks'!$A$4:$A$503,_calc!$E$148)))</f>
        <v/>
      </c>
      <c r="B146" s="47">
        <f>IF(_calc!$E$148="","",IF(ISNUMBER(INDEX('Checks'!$D$4:$D$503,_calc!$E$148)),TEXT(INDEX('Checks'!$D$4:$D$503,_calc!$E$148),"yyyy-mm-dd"),""))</f>
        <v/>
      </c>
      <c r="C146" s="47">
        <f>IF(_calc!$E$148="","",IF(LEN(INDEX('Checks'!$B$4:$B$503,_calc!$E$148))=0,"",INDEX('Checks'!$B$4:$B$503,_calc!$E$148)))</f>
        <v/>
      </c>
      <c r="D146" s="47">
        <f>IF(_calc!$E$148="","",IF(ISNUMBER(INDEX('Checks'!$C$4:$C$503,_calc!$E$148)),TEXT(INDEX('Checks'!$C$4:$C$503,_calc!$E$148),"yyyy-mm-dd"),""))</f>
        <v/>
      </c>
      <c r="E146" s="47">
        <f>IF(_calc!$E$148="","",IF(LEN(INDEX('Checks'!$L$4:$L$503,_calc!$E$148))=0,"",INDEX('Checks'!$L$4:$L$503,_calc!$E$148)))</f>
        <v/>
      </c>
      <c r="F146" s="47">
        <f>IF(_calc!$E$148="","",TRIM(IF(LEN(IF(LEN(INDEX('Checks'!$I$4:$I$503,_calc!$E$148))=0,"",INDEX('Checks'!$I$4:$I$503,_calc!$E$148)))=0,"","Contractor: "&amp;IF(LEN(INDEX('Checks'!$I$4:$I$503,_calc!$E$148))=0,"",INDEX('Checks'!$I$4:$I$503,_calc!$E$148))&amp;". ")&amp;IF(LEN(IF(LEN(INDEX('Checks'!$J$4:$J$503,_calc!$E$148))=0,"",INDEX('Checks'!$J$4:$J$503,_calc!$E$148)))=0,"","Ref: "&amp;IF(LEN(INDEX('Checks'!$J$4:$J$503,_calc!$E$148))=0,"",INDEX('Checks'!$J$4:$J$503,_calc!$E$148))&amp;". ")&amp;IF(LEN(IF(ISNUMBER(INDEX('Checks'!$K$4:$K$503,_calc!$E$148)),TEXT(INDEX('Checks'!$K$4:$K$503,_calc!$E$148),"yyyy-mm-dd"),""))=0,"","Copy to tenant: "&amp;IF(ISNUMBER(INDEX('Checks'!$K$4:$K$503,_calc!$E$148)),TEXT(INDEX('Checks'!$K$4:$K$503,_calc!$E$148),"yyyy-mm-dd"),"")&amp;". ")&amp;IF(LEN(IF(LEN(INDEX('Checks'!$P$4:$P$503,_calc!$E$148))=0,"",INDEX('Checks'!$P$4:$P$503,_calc!$E$148)))=0,"",IF(LEN(INDEX('Checks'!$P$4:$P$503,_calc!$E$148))=0,"",INDEX('Checks'!$P$4:$P$503,_calc!$E$148)))))</f>
        <v/>
      </c>
      <c r="G146" s="47">
        <f>IF(_calc!$E$148="","",IF(LEN(INDEX('Checks'!$N$4:$N$503,_calc!$E$148))=0,"",INDEX('Checks'!$N$4:$N$503,_calc!$E$148)))</f>
        <v/>
      </c>
      <c r="K146" s="47">
        <f>IF(_calc!$E$148="","",IF(LEN(INDEX('Checks'!$M$4:$M$503,_calc!$E$148))=0,"",INDEX('Checks'!$M$4:$M$503,_calc!$E$148)))</f>
        <v/>
      </c>
    </row>
    <row r="147">
      <c r="A147" s="47">
        <f>IF(_calc!$E$149="","",IF(LEN(INDEX('Checks'!$B$4:$B$503,_calc!$E$149))=0,"",INDEX('Checks'!$B$4:$B$503,_calc!$E$149))&amp;" – "&amp;IF(LEN(INDEX('Checks'!$A$4:$A$503,_calc!$E$149))=0,"",INDEX('Checks'!$A$4:$A$503,_calc!$E$149)))</f>
        <v/>
      </c>
      <c r="B147" s="47">
        <f>IF(_calc!$E$149="","",IF(ISNUMBER(INDEX('Checks'!$D$4:$D$503,_calc!$E$149)),TEXT(INDEX('Checks'!$D$4:$D$503,_calc!$E$149),"yyyy-mm-dd"),""))</f>
        <v/>
      </c>
      <c r="C147" s="47">
        <f>IF(_calc!$E$149="","",IF(LEN(INDEX('Checks'!$B$4:$B$503,_calc!$E$149))=0,"",INDEX('Checks'!$B$4:$B$503,_calc!$E$149)))</f>
        <v/>
      </c>
      <c r="D147" s="47">
        <f>IF(_calc!$E$149="","",IF(ISNUMBER(INDEX('Checks'!$C$4:$C$503,_calc!$E$149)),TEXT(INDEX('Checks'!$C$4:$C$503,_calc!$E$149),"yyyy-mm-dd"),""))</f>
        <v/>
      </c>
      <c r="E147" s="47">
        <f>IF(_calc!$E$149="","",IF(LEN(INDEX('Checks'!$L$4:$L$503,_calc!$E$149))=0,"",INDEX('Checks'!$L$4:$L$503,_calc!$E$149)))</f>
        <v/>
      </c>
      <c r="F147" s="47">
        <f>IF(_calc!$E$149="","",TRIM(IF(LEN(IF(LEN(INDEX('Checks'!$I$4:$I$503,_calc!$E$149))=0,"",INDEX('Checks'!$I$4:$I$503,_calc!$E$149)))=0,"","Contractor: "&amp;IF(LEN(INDEX('Checks'!$I$4:$I$503,_calc!$E$149))=0,"",INDEX('Checks'!$I$4:$I$503,_calc!$E$149))&amp;". ")&amp;IF(LEN(IF(LEN(INDEX('Checks'!$J$4:$J$503,_calc!$E$149))=0,"",INDEX('Checks'!$J$4:$J$503,_calc!$E$149)))=0,"","Ref: "&amp;IF(LEN(INDEX('Checks'!$J$4:$J$503,_calc!$E$149))=0,"",INDEX('Checks'!$J$4:$J$503,_calc!$E$149))&amp;". ")&amp;IF(LEN(IF(ISNUMBER(INDEX('Checks'!$K$4:$K$503,_calc!$E$149)),TEXT(INDEX('Checks'!$K$4:$K$503,_calc!$E$149),"yyyy-mm-dd"),""))=0,"","Copy to tenant: "&amp;IF(ISNUMBER(INDEX('Checks'!$K$4:$K$503,_calc!$E$149)),TEXT(INDEX('Checks'!$K$4:$K$503,_calc!$E$149),"yyyy-mm-dd"),"")&amp;". ")&amp;IF(LEN(IF(LEN(INDEX('Checks'!$P$4:$P$503,_calc!$E$149))=0,"",INDEX('Checks'!$P$4:$P$503,_calc!$E$149)))=0,"",IF(LEN(INDEX('Checks'!$P$4:$P$503,_calc!$E$149))=0,"",INDEX('Checks'!$P$4:$P$503,_calc!$E$149)))))</f>
        <v/>
      </c>
      <c r="G147" s="47">
        <f>IF(_calc!$E$149="","",IF(LEN(INDEX('Checks'!$N$4:$N$503,_calc!$E$149))=0,"",INDEX('Checks'!$N$4:$N$503,_calc!$E$149)))</f>
        <v/>
      </c>
      <c r="K147" s="47">
        <f>IF(_calc!$E$149="","",IF(LEN(INDEX('Checks'!$M$4:$M$503,_calc!$E$149))=0,"",INDEX('Checks'!$M$4:$M$503,_calc!$E$149)))</f>
        <v/>
      </c>
    </row>
    <row r="148">
      <c r="A148" s="47">
        <f>IF(_calc!$E$150="","",IF(LEN(INDEX('Checks'!$B$4:$B$503,_calc!$E$150))=0,"",INDEX('Checks'!$B$4:$B$503,_calc!$E$150))&amp;" – "&amp;IF(LEN(INDEX('Checks'!$A$4:$A$503,_calc!$E$150))=0,"",INDEX('Checks'!$A$4:$A$503,_calc!$E$150)))</f>
        <v/>
      </c>
      <c r="B148" s="47">
        <f>IF(_calc!$E$150="","",IF(ISNUMBER(INDEX('Checks'!$D$4:$D$503,_calc!$E$150)),TEXT(INDEX('Checks'!$D$4:$D$503,_calc!$E$150),"yyyy-mm-dd"),""))</f>
        <v/>
      </c>
      <c r="C148" s="47">
        <f>IF(_calc!$E$150="","",IF(LEN(INDEX('Checks'!$B$4:$B$503,_calc!$E$150))=0,"",INDEX('Checks'!$B$4:$B$503,_calc!$E$150)))</f>
        <v/>
      </c>
      <c r="D148" s="47">
        <f>IF(_calc!$E$150="","",IF(ISNUMBER(INDEX('Checks'!$C$4:$C$503,_calc!$E$150)),TEXT(INDEX('Checks'!$C$4:$C$503,_calc!$E$150),"yyyy-mm-dd"),""))</f>
        <v/>
      </c>
      <c r="E148" s="47">
        <f>IF(_calc!$E$150="","",IF(LEN(INDEX('Checks'!$L$4:$L$503,_calc!$E$150))=0,"",INDEX('Checks'!$L$4:$L$503,_calc!$E$150)))</f>
        <v/>
      </c>
      <c r="F148" s="47">
        <f>IF(_calc!$E$150="","",TRIM(IF(LEN(IF(LEN(INDEX('Checks'!$I$4:$I$503,_calc!$E$150))=0,"",INDEX('Checks'!$I$4:$I$503,_calc!$E$150)))=0,"","Contractor: "&amp;IF(LEN(INDEX('Checks'!$I$4:$I$503,_calc!$E$150))=0,"",INDEX('Checks'!$I$4:$I$503,_calc!$E$150))&amp;". ")&amp;IF(LEN(IF(LEN(INDEX('Checks'!$J$4:$J$503,_calc!$E$150))=0,"",INDEX('Checks'!$J$4:$J$503,_calc!$E$150)))=0,"","Ref: "&amp;IF(LEN(INDEX('Checks'!$J$4:$J$503,_calc!$E$150))=0,"",INDEX('Checks'!$J$4:$J$503,_calc!$E$150))&amp;". ")&amp;IF(LEN(IF(ISNUMBER(INDEX('Checks'!$K$4:$K$503,_calc!$E$150)),TEXT(INDEX('Checks'!$K$4:$K$503,_calc!$E$150),"yyyy-mm-dd"),""))=0,"","Copy to tenant: "&amp;IF(ISNUMBER(INDEX('Checks'!$K$4:$K$503,_calc!$E$150)),TEXT(INDEX('Checks'!$K$4:$K$503,_calc!$E$150),"yyyy-mm-dd"),"")&amp;". ")&amp;IF(LEN(IF(LEN(INDEX('Checks'!$P$4:$P$503,_calc!$E$150))=0,"",INDEX('Checks'!$P$4:$P$503,_calc!$E$150)))=0,"",IF(LEN(INDEX('Checks'!$P$4:$P$503,_calc!$E$150))=0,"",INDEX('Checks'!$P$4:$P$503,_calc!$E$150)))))</f>
        <v/>
      </c>
      <c r="G148" s="47">
        <f>IF(_calc!$E$150="","",IF(LEN(INDEX('Checks'!$N$4:$N$503,_calc!$E$150))=0,"",INDEX('Checks'!$N$4:$N$503,_calc!$E$150)))</f>
        <v/>
      </c>
      <c r="K148" s="47">
        <f>IF(_calc!$E$150="","",IF(LEN(INDEX('Checks'!$M$4:$M$503,_calc!$E$150))=0,"",INDEX('Checks'!$M$4:$M$503,_calc!$E$150)))</f>
        <v/>
      </c>
    </row>
    <row r="149">
      <c r="A149" s="47">
        <f>IF(_calc!$E$151="","",IF(LEN(INDEX('Checks'!$B$4:$B$503,_calc!$E$151))=0,"",INDEX('Checks'!$B$4:$B$503,_calc!$E$151))&amp;" – "&amp;IF(LEN(INDEX('Checks'!$A$4:$A$503,_calc!$E$151))=0,"",INDEX('Checks'!$A$4:$A$503,_calc!$E$151)))</f>
        <v/>
      </c>
      <c r="B149" s="47">
        <f>IF(_calc!$E$151="","",IF(ISNUMBER(INDEX('Checks'!$D$4:$D$503,_calc!$E$151)),TEXT(INDEX('Checks'!$D$4:$D$503,_calc!$E$151),"yyyy-mm-dd"),""))</f>
        <v/>
      </c>
      <c r="C149" s="47">
        <f>IF(_calc!$E$151="","",IF(LEN(INDEX('Checks'!$B$4:$B$503,_calc!$E$151))=0,"",INDEX('Checks'!$B$4:$B$503,_calc!$E$151)))</f>
        <v/>
      </c>
      <c r="D149" s="47">
        <f>IF(_calc!$E$151="","",IF(ISNUMBER(INDEX('Checks'!$C$4:$C$503,_calc!$E$151)),TEXT(INDEX('Checks'!$C$4:$C$503,_calc!$E$151),"yyyy-mm-dd"),""))</f>
        <v/>
      </c>
      <c r="E149" s="47">
        <f>IF(_calc!$E$151="","",IF(LEN(INDEX('Checks'!$L$4:$L$503,_calc!$E$151))=0,"",INDEX('Checks'!$L$4:$L$503,_calc!$E$151)))</f>
        <v/>
      </c>
      <c r="F149" s="47">
        <f>IF(_calc!$E$151="","",TRIM(IF(LEN(IF(LEN(INDEX('Checks'!$I$4:$I$503,_calc!$E$151))=0,"",INDEX('Checks'!$I$4:$I$503,_calc!$E$151)))=0,"","Contractor: "&amp;IF(LEN(INDEX('Checks'!$I$4:$I$503,_calc!$E$151))=0,"",INDEX('Checks'!$I$4:$I$503,_calc!$E$151))&amp;". ")&amp;IF(LEN(IF(LEN(INDEX('Checks'!$J$4:$J$503,_calc!$E$151))=0,"",INDEX('Checks'!$J$4:$J$503,_calc!$E$151)))=0,"","Ref: "&amp;IF(LEN(INDEX('Checks'!$J$4:$J$503,_calc!$E$151))=0,"",INDEX('Checks'!$J$4:$J$503,_calc!$E$151))&amp;". ")&amp;IF(LEN(IF(ISNUMBER(INDEX('Checks'!$K$4:$K$503,_calc!$E$151)),TEXT(INDEX('Checks'!$K$4:$K$503,_calc!$E$151),"yyyy-mm-dd"),""))=0,"","Copy to tenant: "&amp;IF(ISNUMBER(INDEX('Checks'!$K$4:$K$503,_calc!$E$151)),TEXT(INDEX('Checks'!$K$4:$K$503,_calc!$E$151),"yyyy-mm-dd"),"")&amp;". ")&amp;IF(LEN(IF(LEN(INDEX('Checks'!$P$4:$P$503,_calc!$E$151))=0,"",INDEX('Checks'!$P$4:$P$503,_calc!$E$151)))=0,"",IF(LEN(INDEX('Checks'!$P$4:$P$503,_calc!$E$151))=0,"",INDEX('Checks'!$P$4:$P$503,_calc!$E$151)))))</f>
        <v/>
      </c>
      <c r="G149" s="47">
        <f>IF(_calc!$E$151="","",IF(LEN(INDEX('Checks'!$N$4:$N$503,_calc!$E$151))=0,"",INDEX('Checks'!$N$4:$N$503,_calc!$E$151)))</f>
        <v/>
      </c>
      <c r="K149" s="47">
        <f>IF(_calc!$E$151="","",IF(LEN(INDEX('Checks'!$M$4:$M$503,_calc!$E$151))=0,"",INDEX('Checks'!$M$4:$M$503,_calc!$E$151)))</f>
        <v/>
      </c>
    </row>
    <row r="150">
      <c r="A150" s="47">
        <f>IF(_calc!$E$152="","",IF(LEN(INDEX('Checks'!$B$4:$B$503,_calc!$E$152))=0,"",INDEX('Checks'!$B$4:$B$503,_calc!$E$152))&amp;" – "&amp;IF(LEN(INDEX('Checks'!$A$4:$A$503,_calc!$E$152))=0,"",INDEX('Checks'!$A$4:$A$503,_calc!$E$152)))</f>
        <v/>
      </c>
      <c r="B150" s="47">
        <f>IF(_calc!$E$152="","",IF(ISNUMBER(INDEX('Checks'!$D$4:$D$503,_calc!$E$152)),TEXT(INDEX('Checks'!$D$4:$D$503,_calc!$E$152),"yyyy-mm-dd"),""))</f>
        <v/>
      </c>
      <c r="C150" s="47">
        <f>IF(_calc!$E$152="","",IF(LEN(INDEX('Checks'!$B$4:$B$503,_calc!$E$152))=0,"",INDEX('Checks'!$B$4:$B$503,_calc!$E$152)))</f>
        <v/>
      </c>
      <c r="D150" s="47">
        <f>IF(_calc!$E$152="","",IF(ISNUMBER(INDEX('Checks'!$C$4:$C$503,_calc!$E$152)),TEXT(INDEX('Checks'!$C$4:$C$503,_calc!$E$152),"yyyy-mm-dd"),""))</f>
        <v/>
      </c>
      <c r="E150" s="47">
        <f>IF(_calc!$E$152="","",IF(LEN(INDEX('Checks'!$L$4:$L$503,_calc!$E$152))=0,"",INDEX('Checks'!$L$4:$L$503,_calc!$E$152)))</f>
        <v/>
      </c>
      <c r="F150" s="47">
        <f>IF(_calc!$E$152="","",TRIM(IF(LEN(IF(LEN(INDEX('Checks'!$I$4:$I$503,_calc!$E$152))=0,"",INDEX('Checks'!$I$4:$I$503,_calc!$E$152)))=0,"","Contractor: "&amp;IF(LEN(INDEX('Checks'!$I$4:$I$503,_calc!$E$152))=0,"",INDEX('Checks'!$I$4:$I$503,_calc!$E$152))&amp;". ")&amp;IF(LEN(IF(LEN(INDEX('Checks'!$J$4:$J$503,_calc!$E$152))=0,"",INDEX('Checks'!$J$4:$J$503,_calc!$E$152)))=0,"","Ref: "&amp;IF(LEN(INDEX('Checks'!$J$4:$J$503,_calc!$E$152))=0,"",INDEX('Checks'!$J$4:$J$503,_calc!$E$152))&amp;". ")&amp;IF(LEN(IF(ISNUMBER(INDEX('Checks'!$K$4:$K$503,_calc!$E$152)),TEXT(INDEX('Checks'!$K$4:$K$503,_calc!$E$152),"yyyy-mm-dd"),""))=0,"","Copy to tenant: "&amp;IF(ISNUMBER(INDEX('Checks'!$K$4:$K$503,_calc!$E$152)),TEXT(INDEX('Checks'!$K$4:$K$503,_calc!$E$152),"yyyy-mm-dd"),"")&amp;". ")&amp;IF(LEN(IF(LEN(INDEX('Checks'!$P$4:$P$503,_calc!$E$152))=0,"",INDEX('Checks'!$P$4:$P$503,_calc!$E$152)))=0,"",IF(LEN(INDEX('Checks'!$P$4:$P$503,_calc!$E$152))=0,"",INDEX('Checks'!$P$4:$P$503,_calc!$E$152)))))</f>
        <v/>
      </c>
      <c r="G150" s="47">
        <f>IF(_calc!$E$152="","",IF(LEN(INDEX('Checks'!$N$4:$N$503,_calc!$E$152))=0,"",INDEX('Checks'!$N$4:$N$503,_calc!$E$152)))</f>
        <v/>
      </c>
      <c r="K150" s="47">
        <f>IF(_calc!$E$152="","",IF(LEN(INDEX('Checks'!$M$4:$M$503,_calc!$E$152))=0,"",INDEX('Checks'!$M$4:$M$503,_calc!$E$152)))</f>
        <v/>
      </c>
    </row>
    <row r="151">
      <c r="A151" s="47">
        <f>IF(_calc!$E$153="","",IF(LEN(INDEX('Checks'!$B$4:$B$503,_calc!$E$153))=0,"",INDEX('Checks'!$B$4:$B$503,_calc!$E$153))&amp;" – "&amp;IF(LEN(INDEX('Checks'!$A$4:$A$503,_calc!$E$153))=0,"",INDEX('Checks'!$A$4:$A$503,_calc!$E$153)))</f>
        <v/>
      </c>
      <c r="B151" s="47">
        <f>IF(_calc!$E$153="","",IF(ISNUMBER(INDEX('Checks'!$D$4:$D$503,_calc!$E$153)),TEXT(INDEX('Checks'!$D$4:$D$503,_calc!$E$153),"yyyy-mm-dd"),""))</f>
        <v/>
      </c>
      <c r="C151" s="47">
        <f>IF(_calc!$E$153="","",IF(LEN(INDEX('Checks'!$B$4:$B$503,_calc!$E$153))=0,"",INDEX('Checks'!$B$4:$B$503,_calc!$E$153)))</f>
        <v/>
      </c>
      <c r="D151" s="47">
        <f>IF(_calc!$E$153="","",IF(ISNUMBER(INDEX('Checks'!$C$4:$C$503,_calc!$E$153)),TEXT(INDEX('Checks'!$C$4:$C$503,_calc!$E$153),"yyyy-mm-dd"),""))</f>
        <v/>
      </c>
      <c r="E151" s="47">
        <f>IF(_calc!$E$153="","",IF(LEN(INDEX('Checks'!$L$4:$L$503,_calc!$E$153))=0,"",INDEX('Checks'!$L$4:$L$503,_calc!$E$153)))</f>
        <v/>
      </c>
      <c r="F151" s="47">
        <f>IF(_calc!$E$153="","",TRIM(IF(LEN(IF(LEN(INDEX('Checks'!$I$4:$I$503,_calc!$E$153))=0,"",INDEX('Checks'!$I$4:$I$503,_calc!$E$153)))=0,"","Contractor: "&amp;IF(LEN(INDEX('Checks'!$I$4:$I$503,_calc!$E$153))=0,"",INDEX('Checks'!$I$4:$I$503,_calc!$E$153))&amp;". ")&amp;IF(LEN(IF(LEN(INDEX('Checks'!$J$4:$J$503,_calc!$E$153))=0,"",INDEX('Checks'!$J$4:$J$503,_calc!$E$153)))=0,"","Ref: "&amp;IF(LEN(INDEX('Checks'!$J$4:$J$503,_calc!$E$153))=0,"",INDEX('Checks'!$J$4:$J$503,_calc!$E$153))&amp;". ")&amp;IF(LEN(IF(ISNUMBER(INDEX('Checks'!$K$4:$K$503,_calc!$E$153)),TEXT(INDEX('Checks'!$K$4:$K$503,_calc!$E$153),"yyyy-mm-dd"),""))=0,"","Copy to tenant: "&amp;IF(ISNUMBER(INDEX('Checks'!$K$4:$K$503,_calc!$E$153)),TEXT(INDEX('Checks'!$K$4:$K$503,_calc!$E$153),"yyyy-mm-dd"),"")&amp;". ")&amp;IF(LEN(IF(LEN(INDEX('Checks'!$P$4:$P$503,_calc!$E$153))=0,"",INDEX('Checks'!$P$4:$P$503,_calc!$E$153)))=0,"",IF(LEN(INDEX('Checks'!$P$4:$P$503,_calc!$E$153))=0,"",INDEX('Checks'!$P$4:$P$503,_calc!$E$153)))))</f>
        <v/>
      </c>
      <c r="G151" s="47">
        <f>IF(_calc!$E$153="","",IF(LEN(INDEX('Checks'!$N$4:$N$503,_calc!$E$153))=0,"",INDEX('Checks'!$N$4:$N$503,_calc!$E$153)))</f>
        <v/>
      </c>
      <c r="K151" s="47">
        <f>IF(_calc!$E$153="","",IF(LEN(INDEX('Checks'!$M$4:$M$503,_calc!$E$153))=0,"",INDEX('Checks'!$M$4:$M$503,_calc!$E$153)))</f>
        <v/>
      </c>
    </row>
    <row r="152">
      <c r="A152" s="47">
        <f>IF(_calc!$E$154="","",IF(LEN(INDEX('Checks'!$B$4:$B$503,_calc!$E$154))=0,"",INDEX('Checks'!$B$4:$B$503,_calc!$E$154))&amp;" – "&amp;IF(LEN(INDEX('Checks'!$A$4:$A$503,_calc!$E$154))=0,"",INDEX('Checks'!$A$4:$A$503,_calc!$E$154)))</f>
        <v/>
      </c>
      <c r="B152" s="47">
        <f>IF(_calc!$E$154="","",IF(ISNUMBER(INDEX('Checks'!$D$4:$D$503,_calc!$E$154)),TEXT(INDEX('Checks'!$D$4:$D$503,_calc!$E$154),"yyyy-mm-dd"),""))</f>
        <v/>
      </c>
      <c r="C152" s="47">
        <f>IF(_calc!$E$154="","",IF(LEN(INDEX('Checks'!$B$4:$B$503,_calc!$E$154))=0,"",INDEX('Checks'!$B$4:$B$503,_calc!$E$154)))</f>
        <v/>
      </c>
      <c r="D152" s="47">
        <f>IF(_calc!$E$154="","",IF(ISNUMBER(INDEX('Checks'!$C$4:$C$503,_calc!$E$154)),TEXT(INDEX('Checks'!$C$4:$C$503,_calc!$E$154),"yyyy-mm-dd"),""))</f>
        <v/>
      </c>
      <c r="E152" s="47">
        <f>IF(_calc!$E$154="","",IF(LEN(INDEX('Checks'!$L$4:$L$503,_calc!$E$154))=0,"",INDEX('Checks'!$L$4:$L$503,_calc!$E$154)))</f>
        <v/>
      </c>
      <c r="F152" s="47">
        <f>IF(_calc!$E$154="","",TRIM(IF(LEN(IF(LEN(INDEX('Checks'!$I$4:$I$503,_calc!$E$154))=0,"",INDEX('Checks'!$I$4:$I$503,_calc!$E$154)))=0,"","Contractor: "&amp;IF(LEN(INDEX('Checks'!$I$4:$I$503,_calc!$E$154))=0,"",INDEX('Checks'!$I$4:$I$503,_calc!$E$154))&amp;". ")&amp;IF(LEN(IF(LEN(INDEX('Checks'!$J$4:$J$503,_calc!$E$154))=0,"",INDEX('Checks'!$J$4:$J$503,_calc!$E$154)))=0,"","Ref: "&amp;IF(LEN(INDEX('Checks'!$J$4:$J$503,_calc!$E$154))=0,"",INDEX('Checks'!$J$4:$J$503,_calc!$E$154))&amp;". ")&amp;IF(LEN(IF(ISNUMBER(INDEX('Checks'!$K$4:$K$503,_calc!$E$154)),TEXT(INDEX('Checks'!$K$4:$K$503,_calc!$E$154),"yyyy-mm-dd"),""))=0,"","Copy to tenant: "&amp;IF(ISNUMBER(INDEX('Checks'!$K$4:$K$503,_calc!$E$154)),TEXT(INDEX('Checks'!$K$4:$K$503,_calc!$E$154),"yyyy-mm-dd"),"")&amp;". ")&amp;IF(LEN(IF(LEN(INDEX('Checks'!$P$4:$P$503,_calc!$E$154))=0,"",INDEX('Checks'!$P$4:$P$503,_calc!$E$154)))=0,"",IF(LEN(INDEX('Checks'!$P$4:$P$503,_calc!$E$154))=0,"",INDEX('Checks'!$P$4:$P$503,_calc!$E$154)))))</f>
        <v/>
      </c>
      <c r="G152" s="47">
        <f>IF(_calc!$E$154="","",IF(LEN(INDEX('Checks'!$N$4:$N$503,_calc!$E$154))=0,"",INDEX('Checks'!$N$4:$N$503,_calc!$E$154)))</f>
        <v/>
      </c>
      <c r="K152" s="47">
        <f>IF(_calc!$E$154="","",IF(LEN(INDEX('Checks'!$M$4:$M$503,_calc!$E$154))=0,"",INDEX('Checks'!$M$4:$M$503,_calc!$E$154)))</f>
        <v/>
      </c>
    </row>
    <row r="153">
      <c r="A153" s="47">
        <f>IF(_calc!$E$155="","",IF(LEN(INDEX('Checks'!$B$4:$B$503,_calc!$E$155))=0,"",INDEX('Checks'!$B$4:$B$503,_calc!$E$155))&amp;" – "&amp;IF(LEN(INDEX('Checks'!$A$4:$A$503,_calc!$E$155))=0,"",INDEX('Checks'!$A$4:$A$503,_calc!$E$155)))</f>
        <v/>
      </c>
      <c r="B153" s="47">
        <f>IF(_calc!$E$155="","",IF(ISNUMBER(INDEX('Checks'!$D$4:$D$503,_calc!$E$155)),TEXT(INDEX('Checks'!$D$4:$D$503,_calc!$E$155),"yyyy-mm-dd"),""))</f>
        <v/>
      </c>
      <c r="C153" s="47">
        <f>IF(_calc!$E$155="","",IF(LEN(INDEX('Checks'!$B$4:$B$503,_calc!$E$155))=0,"",INDEX('Checks'!$B$4:$B$503,_calc!$E$155)))</f>
        <v/>
      </c>
      <c r="D153" s="47">
        <f>IF(_calc!$E$155="","",IF(ISNUMBER(INDEX('Checks'!$C$4:$C$503,_calc!$E$155)),TEXT(INDEX('Checks'!$C$4:$C$503,_calc!$E$155),"yyyy-mm-dd"),""))</f>
        <v/>
      </c>
      <c r="E153" s="47">
        <f>IF(_calc!$E$155="","",IF(LEN(INDEX('Checks'!$L$4:$L$503,_calc!$E$155))=0,"",INDEX('Checks'!$L$4:$L$503,_calc!$E$155)))</f>
        <v/>
      </c>
      <c r="F153" s="47">
        <f>IF(_calc!$E$155="","",TRIM(IF(LEN(IF(LEN(INDEX('Checks'!$I$4:$I$503,_calc!$E$155))=0,"",INDEX('Checks'!$I$4:$I$503,_calc!$E$155)))=0,"","Contractor: "&amp;IF(LEN(INDEX('Checks'!$I$4:$I$503,_calc!$E$155))=0,"",INDEX('Checks'!$I$4:$I$503,_calc!$E$155))&amp;". ")&amp;IF(LEN(IF(LEN(INDEX('Checks'!$J$4:$J$503,_calc!$E$155))=0,"",INDEX('Checks'!$J$4:$J$503,_calc!$E$155)))=0,"","Ref: "&amp;IF(LEN(INDEX('Checks'!$J$4:$J$503,_calc!$E$155))=0,"",INDEX('Checks'!$J$4:$J$503,_calc!$E$155))&amp;". ")&amp;IF(LEN(IF(ISNUMBER(INDEX('Checks'!$K$4:$K$503,_calc!$E$155)),TEXT(INDEX('Checks'!$K$4:$K$503,_calc!$E$155),"yyyy-mm-dd"),""))=0,"","Copy to tenant: "&amp;IF(ISNUMBER(INDEX('Checks'!$K$4:$K$503,_calc!$E$155)),TEXT(INDEX('Checks'!$K$4:$K$503,_calc!$E$155),"yyyy-mm-dd"),"")&amp;". ")&amp;IF(LEN(IF(LEN(INDEX('Checks'!$P$4:$P$503,_calc!$E$155))=0,"",INDEX('Checks'!$P$4:$P$503,_calc!$E$155)))=0,"",IF(LEN(INDEX('Checks'!$P$4:$P$503,_calc!$E$155))=0,"",INDEX('Checks'!$P$4:$P$503,_calc!$E$155)))))</f>
        <v/>
      </c>
      <c r="G153" s="47">
        <f>IF(_calc!$E$155="","",IF(LEN(INDEX('Checks'!$N$4:$N$503,_calc!$E$155))=0,"",INDEX('Checks'!$N$4:$N$503,_calc!$E$155)))</f>
        <v/>
      </c>
      <c r="K153" s="47">
        <f>IF(_calc!$E$155="","",IF(LEN(INDEX('Checks'!$M$4:$M$503,_calc!$E$155))=0,"",INDEX('Checks'!$M$4:$M$503,_calc!$E$155)))</f>
        <v/>
      </c>
    </row>
    <row r="154">
      <c r="A154" s="47">
        <f>IF(_calc!$E$156="","",IF(LEN(INDEX('Checks'!$B$4:$B$503,_calc!$E$156))=0,"",INDEX('Checks'!$B$4:$B$503,_calc!$E$156))&amp;" – "&amp;IF(LEN(INDEX('Checks'!$A$4:$A$503,_calc!$E$156))=0,"",INDEX('Checks'!$A$4:$A$503,_calc!$E$156)))</f>
        <v/>
      </c>
      <c r="B154" s="47">
        <f>IF(_calc!$E$156="","",IF(ISNUMBER(INDEX('Checks'!$D$4:$D$503,_calc!$E$156)),TEXT(INDEX('Checks'!$D$4:$D$503,_calc!$E$156),"yyyy-mm-dd"),""))</f>
        <v/>
      </c>
      <c r="C154" s="47">
        <f>IF(_calc!$E$156="","",IF(LEN(INDEX('Checks'!$B$4:$B$503,_calc!$E$156))=0,"",INDEX('Checks'!$B$4:$B$503,_calc!$E$156)))</f>
        <v/>
      </c>
      <c r="D154" s="47">
        <f>IF(_calc!$E$156="","",IF(ISNUMBER(INDEX('Checks'!$C$4:$C$503,_calc!$E$156)),TEXT(INDEX('Checks'!$C$4:$C$503,_calc!$E$156),"yyyy-mm-dd"),""))</f>
        <v/>
      </c>
      <c r="E154" s="47">
        <f>IF(_calc!$E$156="","",IF(LEN(INDEX('Checks'!$L$4:$L$503,_calc!$E$156))=0,"",INDEX('Checks'!$L$4:$L$503,_calc!$E$156)))</f>
        <v/>
      </c>
      <c r="F154" s="47">
        <f>IF(_calc!$E$156="","",TRIM(IF(LEN(IF(LEN(INDEX('Checks'!$I$4:$I$503,_calc!$E$156))=0,"",INDEX('Checks'!$I$4:$I$503,_calc!$E$156)))=0,"","Contractor: "&amp;IF(LEN(INDEX('Checks'!$I$4:$I$503,_calc!$E$156))=0,"",INDEX('Checks'!$I$4:$I$503,_calc!$E$156))&amp;". ")&amp;IF(LEN(IF(LEN(INDEX('Checks'!$J$4:$J$503,_calc!$E$156))=0,"",INDEX('Checks'!$J$4:$J$503,_calc!$E$156)))=0,"","Ref: "&amp;IF(LEN(INDEX('Checks'!$J$4:$J$503,_calc!$E$156))=0,"",INDEX('Checks'!$J$4:$J$503,_calc!$E$156))&amp;". ")&amp;IF(LEN(IF(ISNUMBER(INDEX('Checks'!$K$4:$K$503,_calc!$E$156)),TEXT(INDEX('Checks'!$K$4:$K$503,_calc!$E$156),"yyyy-mm-dd"),""))=0,"","Copy to tenant: "&amp;IF(ISNUMBER(INDEX('Checks'!$K$4:$K$503,_calc!$E$156)),TEXT(INDEX('Checks'!$K$4:$K$503,_calc!$E$156),"yyyy-mm-dd"),"")&amp;". ")&amp;IF(LEN(IF(LEN(INDEX('Checks'!$P$4:$P$503,_calc!$E$156))=0,"",INDEX('Checks'!$P$4:$P$503,_calc!$E$156)))=0,"",IF(LEN(INDEX('Checks'!$P$4:$P$503,_calc!$E$156))=0,"",INDEX('Checks'!$P$4:$P$503,_calc!$E$156)))))</f>
        <v/>
      </c>
      <c r="G154" s="47">
        <f>IF(_calc!$E$156="","",IF(LEN(INDEX('Checks'!$N$4:$N$503,_calc!$E$156))=0,"",INDEX('Checks'!$N$4:$N$503,_calc!$E$156)))</f>
        <v/>
      </c>
      <c r="K154" s="47">
        <f>IF(_calc!$E$156="","",IF(LEN(INDEX('Checks'!$M$4:$M$503,_calc!$E$156))=0,"",INDEX('Checks'!$M$4:$M$503,_calc!$E$156)))</f>
        <v/>
      </c>
    </row>
    <row r="155">
      <c r="A155" s="47">
        <f>IF(_calc!$E$157="","",IF(LEN(INDEX('Checks'!$B$4:$B$503,_calc!$E$157))=0,"",INDEX('Checks'!$B$4:$B$503,_calc!$E$157))&amp;" – "&amp;IF(LEN(INDEX('Checks'!$A$4:$A$503,_calc!$E$157))=0,"",INDEX('Checks'!$A$4:$A$503,_calc!$E$157)))</f>
        <v/>
      </c>
      <c r="B155" s="47">
        <f>IF(_calc!$E$157="","",IF(ISNUMBER(INDEX('Checks'!$D$4:$D$503,_calc!$E$157)),TEXT(INDEX('Checks'!$D$4:$D$503,_calc!$E$157),"yyyy-mm-dd"),""))</f>
        <v/>
      </c>
      <c r="C155" s="47">
        <f>IF(_calc!$E$157="","",IF(LEN(INDEX('Checks'!$B$4:$B$503,_calc!$E$157))=0,"",INDEX('Checks'!$B$4:$B$503,_calc!$E$157)))</f>
        <v/>
      </c>
      <c r="D155" s="47">
        <f>IF(_calc!$E$157="","",IF(ISNUMBER(INDEX('Checks'!$C$4:$C$503,_calc!$E$157)),TEXT(INDEX('Checks'!$C$4:$C$503,_calc!$E$157),"yyyy-mm-dd"),""))</f>
        <v/>
      </c>
      <c r="E155" s="47">
        <f>IF(_calc!$E$157="","",IF(LEN(INDEX('Checks'!$L$4:$L$503,_calc!$E$157))=0,"",INDEX('Checks'!$L$4:$L$503,_calc!$E$157)))</f>
        <v/>
      </c>
      <c r="F155" s="47">
        <f>IF(_calc!$E$157="","",TRIM(IF(LEN(IF(LEN(INDEX('Checks'!$I$4:$I$503,_calc!$E$157))=0,"",INDEX('Checks'!$I$4:$I$503,_calc!$E$157)))=0,"","Contractor: "&amp;IF(LEN(INDEX('Checks'!$I$4:$I$503,_calc!$E$157))=0,"",INDEX('Checks'!$I$4:$I$503,_calc!$E$157))&amp;". ")&amp;IF(LEN(IF(LEN(INDEX('Checks'!$J$4:$J$503,_calc!$E$157))=0,"",INDEX('Checks'!$J$4:$J$503,_calc!$E$157)))=0,"","Ref: "&amp;IF(LEN(INDEX('Checks'!$J$4:$J$503,_calc!$E$157))=0,"",INDEX('Checks'!$J$4:$J$503,_calc!$E$157))&amp;". ")&amp;IF(LEN(IF(ISNUMBER(INDEX('Checks'!$K$4:$K$503,_calc!$E$157)),TEXT(INDEX('Checks'!$K$4:$K$503,_calc!$E$157),"yyyy-mm-dd"),""))=0,"","Copy to tenant: "&amp;IF(ISNUMBER(INDEX('Checks'!$K$4:$K$503,_calc!$E$157)),TEXT(INDEX('Checks'!$K$4:$K$503,_calc!$E$157),"yyyy-mm-dd"),"")&amp;". ")&amp;IF(LEN(IF(LEN(INDEX('Checks'!$P$4:$P$503,_calc!$E$157))=0,"",INDEX('Checks'!$P$4:$P$503,_calc!$E$157)))=0,"",IF(LEN(INDEX('Checks'!$P$4:$P$503,_calc!$E$157))=0,"",INDEX('Checks'!$P$4:$P$503,_calc!$E$157)))))</f>
        <v/>
      </c>
      <c r="G155" s="47">
        <f>IF(_calc!$E$157="","",IF(LEN(INDEX('Checks'!$N$4:$N$503,_calc!$E$157))=0,"",INDEX('Checks'!$N$4:$N$503,_calc!$E$157)))</f>
        <v/>
      </c>
      <c r="K155" s="47">
        <f>IF(_calc!$E$157="","",IF(LEN(INDEX('Checks'!$M$4:$M$503,_calc!$E$157))=0,"",INDEX('Checks'!$M$4:$M$503,_calc!$E$157)))</f>
        <v/>
      </c>
    </row>
    <row r="156">
      <c r="A156" s="47">
        <f>IF(_calc!$E$158="","",IF(LEN(INDEX('Checks'!$B$4:$B$503,_calc!$E$158))=0,"",INDEX('Checks'!$B$4:$B$503,_calc!$E$158))&amp;" – "&amp;IF(LEN(INDEX('Checks'!$A$4:$A$503,_calc!$E$158))=0,"",INDEX('Checks'!$A$4:$A$503,_calc!$E$158)))</f>
        <v/>
      </c>
      <c r="B156" s="47">
        <f>IF(_calc!$E$158="","",IF(ISNUMBER(INDEX('Checks'!$D$4:$D$503,_calc!$E$158)),TEXT(INDEX('Checks'!$D$4:$D$503,_calc!$E$158),"yyyy-mm-dd"),""))</f>
        <v/>
      </c>
      <c r="C156" s="47">
        <f>IF(_calc!$E$158="","",IF(LEN(INDEX('Checks'!$B$4:$B$503,_calc!$E$158))=0,"",INDEX('Checks'!$B$4:$B$503,_calc!$E$158)))</f>
        <v/>
      </c>
      <c r="D156" s="47">
        <f>IF(_calc!$E$158="","",IF(ISNUMBER(INDEX('Checks'!$C$4:$C$503,_calc!$E$158)),TEXT(INDEX('Checks'!$C$4:$C$503,_calc!$E$158),"yyyy-mm-dd"),""))</f>
        <v/>
      </c>
      <c r="E156" s="47">
        <f>IF(_calc!$E$158="","",IF(LEN(INDEX('Checks'!$L$4:$L$503,_calc!$E$158))=0,"",INDEX('Checks'!$L$4:$L$503,_calc!$E$158)))</f>
        <v/>
      </c>
      <c r="F156" s="47">
        <f>IF(_calc!$E$158="","",TRIM(IF(LEN(IF(LEN(INDEX('Checks'!$I$4:$I$503,_calc!$E$158))=0,"",INDEX('Checks'!$I$4:$I$503,_calc!$E$158)))=0,"","Contractor: "&amp;IF(LEN(INDEX('Checks'!$I$4:$I$503,_calc!$E$158))=0,"",INDEX('Checks'!$I$4:$I$503,_calc!$E$158))&amp;". ")&amp;IF(LEN(IF(LEN(INDEX('Checks'!$J$4:$J$503,_calc!$E$158))=0,"",INDEX('Checks'!$J$4:$J$503,_calc!$E$158)))=0,"","Ref: "&amp;IF(LEN(INDEX('Checks'!$J$4:$J$503,_calc!$E$158))=0,"",INDEX('Checks'!$J$4:$J$503,_calc!$E$158))&amp;". ")&amp;IF(LEN(IF(ISNUMBER(INDEX('Checks'!$K$4:$K$503,_calc!$E$158)),TEXT(INDEX('Checks'!$K$4:$K$503,_calc!$E$158),"yyyy-mm-dd"),""))=0,"","Copy to tenant: "&amp;IF(ISNUMBER(INDEX('Checks'!$K$4:$K$503,_calc!$E$158)),TEXT(INDEX('Checks'!$K$4:$K$503,_calc!$E$158),"yyyy-mm-dd"),"")&amp;". ")&amp;IF(LEN(IF(LEN(INDEX('Checks'!$P$4:$P$503,_calc!$E$158))=0,"",INDEX('Checks'!$P$4:$P$503,_calc!$E$158)))=0,"",IF(LEN(INDEX('Checks'!$P$4:$P$503,_calc!$E$158))=0,"",INDEX('Checks'!$P$4:$P$503,_calc!$E$158)))))</f>
        <v/>
      </c>
      <c r="G156" s="47">
        <f>IF(_calc!$E$158="","",IF(LEN(INDEX('Checks'!$N$4:$N$503,_calc!$E$158))=0,"",INDEX('Checks'!$N$4:$N$503,_calc!$E$158)))</f>
        <v/>
      </c>
      <c r="K156" s="47">
        <f>IF(_calc!$E$158="","",IF(LEN(INDEX('Checks'!$M$4:$M$503,_calc!$E$158))=0,"",INDEX('Checks'!$M$4:$M$503,_calc!$E$158)))</f>
        <v/>
      </c>
    </row>
    <row r="157">
      <c r="A157" s="47">
        <f>IF(_calc!$E$159="","",IF(LEN(INDEX('Checks'!$B$4:$B$503,_calc!$E$159))=0,"",INDEX('Checks'!$B$4:$B$503,_calc!$E$159))&amp;" – "&amp;IF(LEN(INDEX('Checks'!$A$4:$A$503,_calc!$E$159))=0,"",INDEX('Checks'!$A$4:$A$503,_calc!$E$159)))</f>
        <v/>
      </c>
      <c r="B157" s="47">
        <f>IF(_calc!$E$159="","",IF(ISNUMBER(INDEX('Checks'!$D$4:$D$503,_calc!$E$159)),TEXT(INDEX('Checks'!$D$4:$D$503,_calc!$E$159),"yyyy-mm-dd"),""))</f>
        <v/>
      </c>
      <c r="C157" s="47">
        <f>IF(_calc!$E$159="","",IF(LEN(INDEX('Checks'!$B$4:$B$503,_calc!$E$159))=0,"",INDEX('Checks'!$B$4:$B$503,_calc!$E$159)))</f>
        <v/>
      </c>
      <c r="D157" s="47">
        <f>IF(_calc!$E$159="","",IF(ISNUMBER(INDEX('Checks'!$C$4:$C$503,_calc!$E$159)),TEXT(INDEX('Checks'!$C$4:$C$503,_calc!$E$159),"yyyy-mm-dd"),""))</f>
        <v/>
      </c>
      <c r="E157" s="47">
        <f>IF(_calc!$E$159="","",IF(LEN(INDEX('Checks'!$L$4:$L$503,_calc!$E$159))=0,"",INDEX('Checks'!$L$4:$L$503,_calc!$E$159)))</f>
        <v/>
      </c>
      <c r="F157" s="47">
        <f>IF(_calc!$E$159="","",TRIM(IF(LEN(IF(LEN(INDEX('Checks'!$I$4:$I$503,_calc!$E$159))=0,"",INDEX('Checks'!$I$4:$I$503,_calc!$E$159)))=0,"","Contractor: "&amp;IF(LEN(INDEX('Checks'!$I$4:$I$503,_calc!$E$159))=0,"",INDEX('Checks'!$I$4:$I$503,_calc!$E$159))&amp;". ")&amp;IF(LEN(IF(LEN(INDEX('Checks'!$J$4:$J$503,_calc!$E$159))=0,"",INDEX('Checks'!$J$4:$J$503,_calc!$E$159)))=0,"","Ref: "&amp;IF(LEN(INDEX('Checks'!$J$4:$J$503,_calc!$E$159))=0,"",INDEX('Checks'!$J$4:$J$503,_calc!$E$159))&amp;". ")&amp;IF(LEN(IF(ISNUMBER(INDEX('Checks'!$K$4:$K$503,_calc!$E$159)),TEXT(INDEX('Checks'!$K$4:$K$503,_calc!$E$159),"yyyy-mm-dd"),""))=0,"","Copy to tenant: "&amp;IF(ISNUMBER(INDEX('Checks'!$K$4:$K$503,_calc!$E$159)),TEXT(INDEX('Checks'!$K$4:$K$503,_calc!$E$159),"yyyy-mm-dd"),"")&amp;". ")&amp;IF(LEN(IF(LEN(INDEX('Checks'!$P$4:$P$503,_calc!$E$159))=0,"",INDEX('Checks'!$P$4:$P$503,_calc!$E$159)))=0,"",IF(LEN(INDEX('Checks'!$P$4:$P$503,_calc!$E$159))=0,"",INDEX('Checks'!$P$4:$P$503,_calc!$E$159)))))</f>
        <v/>
      </c>
      <c r="G157" s="47">
        <f>IF(_calc!$E$159="","",IF(LEN(INDEX('Checks'!$N$4:$N$503,_calc!$E$159))=0,"",INDEX('Checks'!$N$4:$N$503,_calc!$E$159)))</f>
        <v/>
      </c>
      <c r="K157" s="47">
        <f>IF(_calc!$E$159="","",IF(LEN(INDEX('Checks'!$M$4:$M$503,_calc!$E$159))=0,"",INDEX('Checks'!$M$4:$M$503,_calc!$E$159)))</f>
        <v/>
      </c>
    </row>
    <row r="158">
      <c r="A158" s="47">
        <f>IF(_calc!$E$160="","",IF(LEN(INDEX('Checks'!$B$4:$B$503,_calc!$E$160))=0,"",INDEX('Checks'!$B$4:$B$503,_calc!$E$160))&amp;" – "&amp;IF(LEN(INDEX('Checks'!$A$4:$A$503,_calc!$E$160))=0,"",INDEX('Checks'!$A$4:$A$503,_calc!$E$160)))</f>
        <v/>
      </c>
      <c r="B158" s="47">
        <f>IF(_calc!$E$160="","",IF(ISNUMBER(INDEX('Checks'!$D$4:$D$503,_calc!$E$160)),TEXT(INDEX('Checks'!$D$4:$D$503,_calc!$E$160),"yyyy-mm-dd"),""))</f>
        <v/>
      </c>
      <c r="C158" s="47">
        <f>IF(_calc!$E$160="","",IF(LEN(INDEX('Checks'!$B$4:$B$503,_calc!$E$160))=0,"",INDEX('Checks'!$B$4:$B$503,_calc!$E$160)))</f>
        <v/>
      </c>
      <c r="D158" s="47">
        <f>IF(_calc!$E$160="","",IF(ISNUMBER(INDEX('Checks'!$C$4:$C$503,_calc!$E$160)),TEXT(INDEX('Checks'!$C$4:$C$503,_calc!$E$160),"yyyy-mm-dd"),""))</f>
        <v/>
      </c>
      <c r="E158" s="47">
        <f>IF(_calc!$E$160="","",IF(LEN(INDEX('Checks'!$L$4:$L$503,_calc!$E$160))=0,"",INDEX('Checks'!$L$4:$L$503,_calc!$E$160)))</f>
        <v/>
      </c>
      <c r="F158" s="47">
        <f>IF(_calc!$E$160="","",TRIM(IF(LEN(IF(LEN(INDEX('Checks'!$I$4:$I$503,_calc!$E$160))=0,"",INDEX('Checks'!$I$4:$I$503,_calc!$E$160)))=0,"","Contractor: "&amp;IF(LEN(INDEX('Checks'!$I$4:$I$503,_calc!$E$160))=0,"",INDEX('Checks'!$I$4:$I$503,_calc!$E$160))&amp;". ")&amp;IF(LEN(IF(LEN(INDEX('Checks'!$J$4:$J$503,_calc!$E$160))=0,"",INDEX('Checks'!$J$4:$J$503,_calc!$E$160)))=0,"","Ref: "&amp;IF(LEN(INDEX('Checks'!$J$4:$J$503,_calc!$E$160))=0,"",INDEX('Checks'!$J$4:$J$503,_calc!$E$160))&amp;". ")&amp;IF(LEN(IF(ISNUMBER(INDEX('Checks'!$K$4:$K$503,_calc!$E$160)),TEXT(INDEX('Checks'!$K$4:$K$503,_calc!$E$160),"yyyy-mm-dd"),""))=0,"","Copy to tenant: "&amp;IF(ISNUMBER(INDEX('Checks'!$K$4:$K$503,_calc!$E$160)),TEXT(INDEX('Checks'!$K$4:$K$503,_calc!$E$160),"yyyy-mm-dd"),"")&amp;". ")&amp;IF(LEN(IF(LEN(INDEX('Checks'!$P$4:$P$503,_calc!$E$160))=0,"",INDEX('Checks'!$P$4:$P$503,_calc!$E$160)))=0,"",IF(LEN(INDEX('Checks'!$P$4:$P$503,_calc!$E$160))=0,"",INDEX('Checks'!$P$4:$P$503,_calc!$E$160)))))</f>
        <v/>
      </c>
      <c r="G158" s="47">
        <f>IF(_calc!$E$160="","",IF(LEN(INDEX('Checks'!$N$4:$N$503,_calc!$E$160))=0,"",INDEX('Checks'!$N$4:$N$503,_calc!$E$160)))</f>
        <v/>
      </c>
      <c r="K158" s="47">
        <f>IF(_calc!$E$160="","",IF(LEN(INDEX('Checks'!$M$4:$M$503,_calc!$E$160))=0,"",INDEX('Checks'!$M$4:$M$503,_calc!$E$160)))</f>
        <v/>
      </c>
    </row>
    <row r="159">
      <c r="A159" s="47">
        <f>IF(_calc!$E$161="","",IF(LEN(INDEX('Checks'!$B$4:$B$503,_calc!$E$161))=0,"",INDEX('Checks'!$B$4:$B$503,_calc!$E$161))&amp;" – "&amp;IF(LEN(INDEX('Checks'!$A$4:$A$503,_calc!$E$161))=0,"",INDEX('Checks'!$A$4:$A$503,_calc!$E$161)))</f>
        <v/>
      </c>
      <c r="B159" s="47">
        <f>IF(_calc!$E$161="","",IF(ISNUMBER(INDEX('Checks'!$D$4:$D$503,_calc!$E$161)),TEXT(INDEX('Checks'!$D$4:$D$503,_calc!$E$161),"yyyy-mm-dd"),""))</f>
        <v/>
      </c>
      <c r="C159" s="47">
        <f>IF(_calc!$E$161="","",IF(LEN(INDEX('Checks'!$B$4:$B$503,_calc!$E$161))=0,"",INDEX('Checks'!$B$4:$B$503,_calc!$E$161)))</f>
        <v/>
      </c>
      <c r="D159" s="47">
        <f>IF(_calc!$E$161="","",IF(ISNUMBER(INDEX('Checks'!$C$4:$C$503,_calc!$E$161)),TEXT(INDEX('Checks'!$C$4:$C$503,_calc!$E$161),"yyyy-mm-dd"),""))</f>
        <v/>
      </c>
      <c r="E159" s="47">
        <f>IF(_calc!$E$161="","",IF(LEN(INDEX('Checks'!$L$4:$L$503,_calc!$E$161))=0,"",INDEX('Checks'!$L$4:$L$503,_calc!$E$161)))</f>
        <v/>
      </c>
      <c r="F159" s="47">
        <f>IF(_calc!$E$161="","",TRIM(IF(LEN(IF(LEN(INDEX('Checks'!$I$4:$I$503,_calc!$E$161))=0,"",INDEX('Checks'!$I$4:$I$503,_calc!$E$161)))=0,"","Contractor: "&amp;IF(LEN(INDEX('Checks'!$I$4:$I$503,_calc!$E$161))=0,"",INDEX('Checks'!$I$4:$I$503,_calc!$E$161))&amp;". ")&amp;IF(LEN(IF(LEN(INDEX('Checks'!$J$4:$J$503,_calc!$E$161))=0,"",INDEX('Checks'!$J$4:$J$503,_calc!$E$161)))=0,"","Ref: "&amp;IF(LEN(INDEX('Checks'!$J$4:$J$503,_calc!$E$161))=0,"",INDEX('Checks'!$J$4:$J$503,_calc!$E$161))&amp;". ")&amp;IF(LEN(IF(ISNUMBER(INDEX('Checks'!$K$4:$K$503,_calc!$E$161)),TEXT(INDEX('Checks'!$K$4:$K$503,_calc!$E$161),"yyyy-mm-dd"),""))=0,"","Copy to tenant: "&amp;IF(ISNUMBER(INDEX('Checks'!$K$4:$K$503,_calc!$E$161)),TEXT(INDEX('Checks'!$K$4:$K$503,_calc!$E$161),"yyyy-mm-dd"),"")&amp;". ")&amp;IF(LEN(IF(LEN(INDEX('Checks'!$P$4:$P$503,_calc!$E$161))=0,"",INDEX('Checks'!$P$4:$P$503,_calc!$E$161)))=0,"",IF(LEN(INDEX('Checks'!$P$4:$P$503,_calc!$E$161))=0,"",INDEX('Checks'!$P$4:$P$503,_calc!$E$161)))))</f>
        <v/>
      </c>
      <c r="G159" s="47">
        <f>IF(_calc!$E$161="","",IF(LEN(INDEX('Checks'!$N$4:$N$503,_calc!$E$161))=0,"",INDEX('Checks'!$N$4:$N$503,_calc!$E$161)))</f>
        <v/>
      </c>
      <c r="K159" s="47">
        <f>IF(_calc!$E$161="","",IF(LEN(INDEX('Checks'!$M$4:$M$503,_calc!$E$161))=0,"",INDEX('Checks'!$M$4:$M$503,_calc!$E$161)))</f>
        <v/>
      </c>
    </row>
    <row r="160">
      <c r="A160" s="47">
        <f>IF(_calc!$E$162="","",IF(LEN(INDEX('Checks'!$B$4:$B$503,_calc!$E$162))=0,"",INDEX('Checks'!$B$4:$B$503,_calc!$E$162))&amp;" – "&amp;IF(LEN(INDEX('Checks'!$A$4:$A$503,_calc!$E$162))=0,"",INDEX('Checks'!$A$4:$A$503,_calc!$E$162)))</f>
        <v/>
      </c>
      <c r="B160" s="47">
        <f>IF(_calc!$E$162="","",IF(ISNUMBER(INDEX('Checks'!$D$4:$D$503,_calc!$E$162)),TEXT(INDEX('Checks'!$D$4:$D$503,_calc!$E$162),"yyyy-mm-dd"),""))</f>
        <v/>
      </c>
      <c r="C160" s="47">
        <f>IF(_calc!$E$162="","",IF(LEN(INDEX('Checks'!$B$4:$B$503,_calc!$E$162))=0,"",INDEX('Checks'!$B$4:$B$503,_calc!$E$162)))</f>
        <v/>
      </c>
      <c r="D160" s="47">
        <f>IF(_calc!$E$162="","",IF(ISNUMBER(INDEX('Checks'!$C$4:$C$503,_calc!$E$162)),TEXT(INDEX('Checks'!$C$4:$C$503,_calc!$E$162),"yyyy-mm-dd"),""))</f>
        <v/>
      </c>
      <c r="E160" s="47">
        <f>IF(_calc!$E$162="","",IF(LEN(INDEX('Checks'!$L$4:$L$503,_calc!$E$162))=0,"",INDEX('Checks'!$L$4:$L$503,_calc!$E$162)))</f>
        <v/>
      </c>
      <c r="F160" s="47">
        <f>IF(_calc!$E$162="","",TRIM(IF(LEN(IF(LEN(INDEX('Checks'!$I$4:$I$503,_calc!$E$162))=0,"",INDEX('Checks'!$I$4:$I$503,_calc!$E$162)))=0,"","Contractor: "&amp;IF(LEN(INDEX('Checks'!$I$4:$I$503,_calc!$E$162))=0,"",INDEX('Checks'!$I$4:$I$503,_calc!$E$162))&amp;". ")&amp;IF(LEN(IF(LEN(INDEX('Checks'!$J$4:$J$503,_calc!$E$162))=0,"",INDEX('Checks'!$J$4:$J$503,_calc!$E$162)))=0,"","Ref: "&amp;IF(LEN(INDEX('Checks'!$J$4:$J$503,_calc!$E$162))=0,"",INDEX('Checks'!$J$4:$J$503,_calc!$E$162))&amp;". ")&amp;IF(LEN(IF(ISNUMBER(INDEX('Checks'!$K$4:$K$503,_calc!$E$162)),TEXT(INDEX('Checks'!$K$4:$K$503,_calc!$E$162),"yyyy-mm-dd"),""))=0,"","Copy to tenant: "&amp;IF(ISNUMBER(INDEX('Checks'!$K$4:$K$503,_calc!$E$162)),TEXT(INDEX('Checks'!$K$4:$K$503,_calc!$E$162),"yyyy-mm-dd"),"")&amp;". ")&amp;IF(LEN(IF(LEN(INDEX('Checks'!$P$4:$P$503,_calc!$E$162))=0,"",INDEX('Checks'!$P$4:$P$503,_calc!$E$162)))=0,"",IF(LEN(INDEX('Checks'!$P$4:$P$503,_calc!$E$162))=0,"",INDEX('Checks'!$P$4:$P$503,_calc!$E$162)))))</f>
        <v/>
      </c>
      <c r="G160" s="47">
        <f>IF(_calc!$E$162="","",IF(LEN(INDEX('Checks'!$N$4:$N$503,_calc!$E$162))=0,"",INDEX('Checks'!$N$4:$N$503,_calc!$E$162)))</f>
        <v/>
      </c>
      <c r="K160" s="47">
        <f>IF(_calc!$E$162="","",IF(LEN(INDEX('Checks'!$M$4:$M$503,_calc!$E$162))=0,"",INDEX('Checks'!$M$4:$M$503,_calc!$E$162)))</f>
        <v/>
      </c>
    </row>
    <row r="161">
      <c r="A161" s="47">
        <f>IF(_calc!$E$163="","",IF(LEN(INDEX('Checks'!$B$4:$B$503,_calc!$E$163))=0,"",INDEX('Checks'!$B$4:$B$503,_calc!$E$163))&amp;" – "&amp;IF(LEN(INDEX('Checks'!$A$4:$A$503,_calc!$E$163))=0,"",INDEX('Checks'!$A$4:$A$503,_calc!$E$163)))</f>
        <v/>
      </c>
      <c r="B161" s="47">
        <f>IF(_calc!$E$163="","",IF(ISNUMBER(INDEX('Checks'!$D$4:$D$503,_calc!$E$163)),TEXT(INDEX('Checks'!$D$4:$D$503,_calc!$E$163),"yyyy-mm-dd"),""))</f>
        <v/>
      </c>
      <c r="C161" s="47">
        <f>IF(_calc!$E$163="","",IF(LEN(INDEX('Checks'!$B$4:$B$503,_calc!$E$163))=0,"",INDEX('Checks'!$B$4:$B$503,_calc!$E$163)))</f>
        <v/>
      </c>
      <c r="D161" s="47">
        <f>IF(_calc!$E$163="","",IF(ISNUMBER(INDEX('Checks'!$C$4:$C$503,_calc!$E$163)),TEXT(INDEX('Checks'!$C$4:$C$503,_calc!$E$163),"yyyy-mm-dd"),""))</f>
        <v/>
      </c>
      <c r="E161" s="47">
        <f>IF(_calc!$E$163="","",IF(LEN(INDEX('Checks'!$L$4:$L$503,_calc!$E$163))=0,"",INDEX('Checks'!$L$4:$L$503,_calc!$E$163)))</f>
        <v/>
      </c>
      <c r="F161" s="47">
        <f>IF(_calc!$E$163="","",TRIM(IF(LEN(IF(LEN(INDEX('Checks'!$I$4:$I$503,_calc!$E$163))=0,"",INDEX('Checks'!$I$4:$I$503,_calc!$E$163)))=0,"","Contractor: "&amp;IF(LEN(INDEX('Checks'!$I$4:$I$503,_calc!$E$163))=0,"",INDEX('Checks'!$I$4:$I$503,_calc!$E$163))&amp;". ")&amp;IF(LEN(IF(LEN(INDEX('Checks'!$J$4:$J$503,_calc!$E$163))=0,"",INDEX('Checks'!$J$4:$J$503,_calc!$E$163)))=0,"","Ref: "&amp;IF(LEN(INDEX('Checks'!$J$4:$J$503,_calc!$E$163))=0,"",INDEX('Checks'!$J$4:$J$503,_calc!$E$163))&amp;". ")&amp;IF(LEN(IF(ISNUMBER(INDEX('Checks'!$K$4:$K$503,_calc!$E$163)),TEXT(INDEX('Checks'!$K$4:$K$503,_calc!$E$163),"yyyy-mm-dd"),""))=0,"","Copy to tenant: "&amp;IF(ISNUMBER(INDEX('Checks'!$K$4:$K$503,_calc!$E$163)),TEXT(INDEX('Checks'!$K$4:$K$503,_calc!$E$163),"yyyy-mm-dd"),"")&amp;". ")&amp;IF(LEN(IF(LEN(INDEX('Checks'!$P$4:$P$503,_calc!$E$163))=0,"",INDEX('Checks'!$P$4:$P$503,_calc!$E$163)))=0,"",IF(LEN(INDEX('Checks'!$P$4:$P$503,_calc!$E$163))=0,"",INDEX('Checks'!$P$4:$P$503,_calc!$E$163)))))</f>
        <v/>
      </c>
      <c r="G161" s="47">
        <f>IF(_calc!$E$163="","",IF(LEN(INDEX('Checks'!$N$4:$N$503,_calc!$E$163))=0,"",INDEX('Checks'!$N$4:$N$503,_calc!$E$163)))</f>
        <v/>
      </c>
      <c r="K161" s="47">
        <f>IF(_calc!$E$163="","",IF(LEN(INDEX('Checks'!$M$4:$M$503,_calc!$E$163))=0,"",INDEX('Checks'!$M$4:$M$503,_calc!$E$163)))</f>
        <v/>
      </c>
    </row>
    <row r="162">
      <c r="A162" s="47">
        <f>IF(_calc!$E$164="","",IF(LEN(INDEX('Checks'!$B$4:$B$503,_calc!$E$164))=0,"",INDEX('Checks'!$B$4:$B$503,_calc!$E$164))&amp;" – "&amp;IF(LEN(INDEX('Checks'!$A$4:$A$503,_calc!$E$164))=0,"",INDEX('Checks'!$A$4:$A$503,_calc!$E$164)))</f>
        <v/>
      </c>
      <c r="B162" s="47">
        <f>IF(_calc!$E$164="","",IF(ISNUMBER(INDEX('Checks'!$D$4:$D$503,_calc!$E$164)),TEXT(INDEX('Checks'!$D$4:$D$503,_calc!$E$164),"yyyy-mm-dd"),""))</f>
        <v/>
      </c>
      <c r="C162" s="47">
        <f>IF(_calc!$E$164="","",IF(LEN(INDEX('Checks'!$B$4:$B$503,_calc!$E$164))=0,"",INDEX('Checks'!$B$4:$B$503,_calc!$E$164)))</f>
        <v/>
      </c>
      <c r="D162" s="47">
        <f>IF(_calc!$E$164="","",IF(ISNUMBER(INDEX('Checks'!$C$4:$C$503,_calc!$E$164)),TEXT(INDEX('Checks'!$C$4:$C$503,_calc!$E$164),"yyyy-mm-dd"),""))</f>
        <v/>
      </c>
      <c r="E162" s="47">
        <f>IF(_calc!$E$164="","",IF(LEN(INDEX('Checks'!$L$4:$L$503,_calc!$E$164))=0,"",INDEX('Checks'!$L$4:$L$503,_calc!$E$164)))</f>
        <v/>
      </c>
      <c r="F162" s="47">
        <f>IF(_calc!$E$164="","",TRIM(IF(LEN(IF(LEN(INDEX('Checks'!$I$4:$I$503,_calc!$E$164))=0,"",INDEX('Checks'!$I$4:$I$503,_calc!$E$164)))=0,"","Contractor: "&amp;IF(LEN(INDEX('Checks'!$I$4:$I$503,_calc!$E$164))=0,"",INDEX('Checks'!$I$4:$I$503,_calc!$E$164))&amp;". ")&amp;IF(LEN(IF(LEN(INDEX('Checks'!$J$4:$J$503,_calc!$E$164))=0,"",INDEX('Checks'!$J$4:$J$503,_calc!$E$164)))=0,"","Ref: "&amp;IF(LEN(INDEX('Checks'!$J$4:$J$503,_calc!$E$164))=0,"",INDEX('Checks'!$J$4:$J$503,_calc!$E$164))&amp;". ")&amp;IF(LEN(IF(ISNUMBER(INDEX('Checks'!$K$4:$K$503,_calc!$E$164)),TEXT(INDEX('Checks'!$K$4:$K$503,_calc!$E$164),"yyyy-mm-dd"),""))=0,"","Copy to tenant: "&amp;IF(ISNUMBER(INDEX('Checks'!$K$4:$K$503,_calc!$E$164)),TEXT(INDEX('Checks'!$K$4:$K$503,_calc!$E$164),"yyyy-mm-dd"),"")&amp;". ")&amp;IF(LEN(IF(LEN(INDEX('Checks'!$P$4:$P$503,_calc!$E$164))=0,"",INDEX('Checks'!$P$4:$P$503,_calc!$E$164)))=0,"",IF(LEN(INDEX('Checks'!$P$4:$P$503,_calc!$E$164))=0,"",INDEX('Checks'!$P$4:$P$503,_calc!$E$164)))))</f>
        <v/>
      </c>
      <c r="G162" s="47">
        <f>IF(_calc!$E$164="","",IF(LEN(INDEX('Checks'!$N$4:$N$503,_calc!$E$164))=0,"",INDEX('Checks'!$N$4:$N$503,_calc!$E$164)))</f>
        <v/>
      </c>
      <c r="K162" s="47">
        <f>IF(_calc!$E$164="","",IF(LEN(INDEX('Checks'!$M$4:$M$503,_calc!$E$164))=0,"",INDEX('Checks'!$M$4:$M$503,_calc!$E$164)))</f>
        <v/>
      </c>
    </row>
    <row r="163">
      <c r="A163" s="47">
        <f>IF(_calc!$E$165="","",IF(LEN(INDEX('Checks'!$B$4:$B$503,_calc!$E$165))=0,"",INDEX('Checks'!$B$4:$B$503,_calc!$E$165))&amp;" – "&amp;IF(LEN(INDEX('Checks'!$A$4:$A$503,_calc!$E$165))=0,"",INDEX('Checks'!$A$4:$A$503,_calc!$E$165)))</f>
        <v/>
      </c>
      <c r="B163" s="47">
        <f>IF(_calc!$E$165="","",IF(ISNUMBER(INDEX('Checks'!$D$4:$D$503,_calc!$E$165)),TEXT(INDEX('Checks'!$D$4:$D$503,_calc!$E$165),"yyyy-mm-dd"),""))</f>
        <v/>
      </c>
      <c r="C163" s="47">
        <f>IF(_calc!$E$165="","",IF(LEN(INDEX('Checks'!$B$4:$B$503,_calc!$E$165))=0,"",INDEX('Checks'!$B$4:$B$503,_calc!$E$165)))</f>
        <v/>
      </c>
      <c r="D163" s="47">
        <f>IF(_calc!$E$165="","",IF(ISNUMBER(INDEX('Checks'!$C$4:$C$503,_calc!$E$165)),TEXT(INDEX('Checks'!$C$4:$C$503,_calc!$E$165),"yyyy-mm-dd"),""))</f>
        <v/>
      </c>
      <c r="E163" s="47">
        <f>IF(_calc!$E$165="","",IF(LEN(INDEX('Checks'!$L$4:$L$503,_calc!$E$165))=0,"",INDEX('Checks'!$L$4:$L$503,_calc!$E$165)))</f>
        <v/>
      </c>
      <c r="F163" s="47">
        <f>IF(_calc!$E$165="","",TRIM(IF(LEN(IF(LEN(INDEX('Checks'!$I$4:$I$503,_calc!$E$165))=0,"",INDEX('Checks'!$I$4:$I$503,_calc!$E$165)))=0,"","Contractor: "&amp;IF(LEN(INDEX('Checks'!$I$4:$I$503,_calc!$E$165))=0,"",INDEX('Checks'!$I$4:$I$503,_calc!$E$165))&amp;". ")&amp;IF(LEN(IF(LEN(INDEX('Checks'!$J$4:$J$503,_calc!$E$165))=0,"",INDEX('Checks'!$J$4:$J$503,_calc!$E$165)))=0,"","Ref: "&amp;IF(LEN(INDEX('Checks'!$J$4:$J$503,_calc!$E$165))=0,"",INDEX('Checks'!$J$4:$J$503,_calc!$E$165))&amp;". ")&amp;IF(LEN(IF(ISNUMBER(INDEX('Checks'!$K$4:$K$503,_calc!$E$165)),TEXT(INDEX('Checks'!$K$4:$K$503,_calc!$E$165),"yyyy-mm-dd"),""))=0,"","Copy to tenant: "&amp;IF(ISNUMBER(INDEX('Checks'!$K$4:$K$503,_calc!$E$165)),TEXT(INDEX('Checks'!$K$4:$K$503,_calc!$E$165),"yyyy-mm-dd"),"")&amp;". ")&amp;IF(LEN(IF(LEN(INDEX('Checks'!$P$4:$P$503,_calc!$E$165))=0,"",INDEX('Checks'!$P$4:$P$503,_calc!$E$165)))=0,"",IF(LEN(INDEX('Checks'!$P$4:$P$503,_calc!$E$165))=0,"",INDEX('Checks'!$P$4:$P$503,_calc!$E$165)))))</f>
        <v/>
      </c>
      <c r="G163" s="47">
        <f>IF(_calc!$E$165="","",IF(LEN(INDEX('Checks'!$N$4:$N$503,_calc!$E$165))=0,"",INDEX('Checks'!$N$4:$N$503,_calc!$E$165)))</f>
        <v/>
      </c>
      <c r="K163" s="47">
        <f>IF(_calc!$E$165="","",IF(LEN(INDEX('Checks'!$M$4:$M$503,_calc!$E$165))=0,"",INDEX('Checks'!$M$4:$M$503,_calc!$E$165)))</f>
        <v/>
      </c>
    </row>
    <row r="164">
      <c r="A164" s="47">
        <f>IF(_calc!$E$166="","",IF(LEN(INDEX('Checks'!$B$4:$B$503,_calc!$E$166))=0,"",INDEX('Checks'!$B$4:$B$503,_calc!$E$166))&amp;" – "&amp;IF(LEN(INDEX('Checks'!$A$4:$A$503,_calc!$E$166))=0,"",INDEX('Checks'!$A$4:$A$503,_calc!$E$166)))</f>
        <v/>
      </c>
      <c r="B164" s="47">
        <f>IF(_calc!$E$166="","",IF(ISNUMBER(INDEX('Checks'!$D$4:$D$503,_calc!$E$166)),TEXT(INDEX('Checks'!$D$4:$D$503,_calc!$E$166),"yyyy-mm-dd"),""))</f>
        <v/>
      </c>
      <c r="C164" s="47">
        <f>IF(_calc!$E$166="","",IF(LEN(INDEX('Checks'!$B$4:$B$503,_calc!$E$166))=0,"",INDEX('Checks'!$B$4:$B$503,_calc!$E$166)))</f>
        <v/>
      </c>
      <c r="D164" s="47">
        <f>IF(_calc!$E$166="","",IF(ISNUMBER(INDEX('Checks'!$C$4:$C$503,_calc!$E$166)),TEXT(INDEX('Checks'!$C$4:$C$503,_calc!$E$166),"yyyy-mm-dd"),""))</f>
        <v/>
      </c>
      <c r="E164" s="47">
        <f>IF(_calc!$E$166="","",IF(LEN(INDEX('Checks'!$L$4:$L$503,_calc!$E$166))=0,"",INDEX('Checks'!$L$4:$L$503,_calc!$E$166)))</f>
        <v/>
      </c>
      <c r="F164" s="47">
        <f>IF(_calc!$E$166="","",TRIM(IF(LEN(IF(LEN(INDEX('Checks'!$I$4:$I$503,_calc!$E$166))=0,"",INDEX('Checks'!$I$4:$I$503,_calc!$E$166)))=0,"","Contractor: "&amp;IF(LEN(INDEX('Checks'!$I$4:$I$503,_calc!$E$166))=0,"",INDEX('Checks'!$I$4:$I$503,_calc!$E$166))&amp;". ")&amp;IF(LEN(IF(LEN(INDEX('Checks'!$J$4:$J$503,_calc!$E$166))=0,"",INDEX('Checks'!$J$4:$J$503,_calc!$E$166)))=0,"","Ref: "&amp;IF(LEN(INDEX('Checks'!$J$4:$J$503,_calc!$E$166))=0,"",INDEX('Checks'!$J$4:$J$503,_calc!$E$166))&amp;". ")&amp;IF(LEN(IF(ISNUMBER(INDEX('Checks'!$K$4:$K$503,_calc!$E$166)),TEXT(INDEX('Checks'!$K$4:$K$503,_calc!$E$166),"yyyy-mm-dd"),""))=0,"","Copy to tenant: "&amp;IF(ISNUMBER(INDEX('Checks'!$K$4:$K$503,_calc!$E$166)),TEXT(INDEX('Checks'!$K$4:$K$503,_calc!$E$166),"yyyy-mm-dd"),"")&amp;". ")&amp;IF(LEN(IF(LEN(INDEX('Checks'!$P$4:$P$503,_calc!$E$166))=0,"",INDEX('Checks'!$P$4:$P$503,_calc!$E$166)))=0,"",IF(LEN(INDEX('Checks'!$P$4:$P$503,_calc!$E$166))=0,"",INDEX('Checks'!$P$4:$P$503,_calc!$E$166)))))</f>
        <v/>
      </c>
      <c r="G164" s="47">
        <f>IF(_calc!$E$166="","",IF(LEN(INDEX('Checks'!$N$4:$N$503,_calc!$E$166))=0,"",INDEX('Checks'!$N$4:$N$503,_calc!$E$166)))</f>
        <v/>
      </c>
      <c r="K164" s="47">
        <f>IF(_calc!$E$166="","",IF(LEN(INDEX('Checks'!$M$4:$M$503,_calc!$E$166))=0,"",INDEX('Checks'!$M$4:$M$503,_calc!$E$166)))</f>
        <v/>
      </c>
    </row>
    <row r="165">
      <c r="A165" s="47">
        <f>IF(_calc!$E$167="","",IF(LEN(INDEX('Checks'!$B$4:$B$503,_calc!$E$167))=0,"",INDEX('Checks'!$B$4:$B$503,_calc!$E$167))&amp;" – "&amp;IF(LEN(INDEX('Checks'!$A$4:$A$503,_calc!$E$167))=0,"",INDEX('Checks'!$A$4:$A$503,_calc!$E$167)))</f>
        <v/>
      </c>
      <c r="B165" s="47">
        <f>IF(_calc!$E$167="","",IF(ISNUMBER(INDEX('Checks'!$D$4:$D$503,_calc!$E$167)),TEXT(INDEX('Checks'!$D$4:$D$503,_calc!$E$167),"yyyy-mm-dd"),""))</f>
        <v/>
      </c>
      <c r="C165" s="47">
        <f>IF(_calc!$E$167="","",IF(LEN(INDEX('Checks'!$B$4:$B$503,_calc!$E$167))=0,"",INDEX('Checks'!$B$4:$B$503,_calc!$E$167)))</f>
        <v/>
      </c>
      <c r="D165" s="47">
        <f>IF(_calc!$E$167="","",IF(ISNUMBER(INDEX('Checks'!$C$4:$C$503,_calc!$E$167)),TEXT(INDEX('Checks'!$C$4:$C$503,_calc!$E$167),"yyyy-mm-dd"),""))</f>
        <v/>
      </c>
      <c r="E165" s="47">
        <f>IF(_calc!$E$167="","",IF(LEN(INDEX('Checks'!$L$4:$L$503,_calc!$E$167))=0,"",INDEX('Checks'!$L$4:$L$503,_calc!$E$167)))</f>
        <v/>
      </c>
      <c r="F165" s="47">
        <f>IF(_calc!$E$167="","",TRIM(IF(LEN(IF(LEN(INDEX('Checks'!$I$4:$I$503,_calc!$E$167))=0,"",INDEX('Checks'!$I$4:$I$503,_calc!$E$167)))=0,"","Contractor: "&amp;IF(LEN(INDEX('Checks'!$I$4:$I$503,_calc!$E$167))=0,"",INDEX('Checks'!$I$4:$I$503,_calc!$E$167))&amp;". ")&amp;IF(LEN(IF(LEN(INDEX('Checks'!$J$4:$J$503,_calc!$E$167))=0,"",INDEX('Checks'!$J$4:$J$503,_calc!$E$167)))=0,"","Ref: "&amp;IF(LEN(INDEX('Checks'!$J$4:$J$503,_calc!$E$167))=0,"",INDEX('Checks'!$J$4:$J$503,_calc!$E$167))&amp;". ")&amp;IF(LEN(IF(ISNUMBER(INDEX('Checks'!$K$4:$K$503,_calc!$E$167)),TEXT(INDEX('Checks'!$K$4:$K$503,_calc!$E$167),"yyyy-mm-dd"),""))=0,"","Copy to tenant: "&amp;IF(ISNUMBER(INDEX('Checks'!$K$4:$K$503,_calc!$E$167)),TEXT(INDEX('Checks'!$K$4:$K$503,_calc!$E$167),"yyyy-mm-dd"),"")&amp;". ")&amp;IF(LEN(IF(LEN(INDEX('Checks'!$P$4:$P$503,_calc!$E$167))=0,"",INDEX('Checks'!$P$4:$P$503,_calc!$E$167)))=0,"",IF(LEN(INDEX('Checks'!$P$4:$P$503,_calc!$E$167))=0,"",INDEX('Checks'!$P$4:$P$503,_calc!$E$167)))))</f>
        <v/>
      </c>
      <c r="G165" s="47">
        <f>IF(_calc!$E$167="","",IF(LEN(INDEX('Checks'!$N$4:$N$503,_calc!$E$167))=0,"",INDEX('Checks'!$N$4:$N$503,_calc!$E$167)))</f>
        <v/>
      </c>
      <c r="K165" s="47">
        <f>IF(_calc!$E$167="","",IF(LEN(INDEX('Checks'!$M$4:$M$503,_calc!$E$167))=0,"",INDEX('Checks'!$M$4:$M$503,_calc!$E$167)))</f>
        <v/>
      </c>
    </row>
    <row r="166">
      <c r="A166" s="47">
        <f>IF(_calc!$E$168="","",IF(LEN(INDEX('Checks'!$B$4:$B$503,_calc!$E$168))=0,"",INDEX('Checks'!$B$4:$B$503,_calc!$E$168))&amp;" – "&amp;IF(LEN(INDEX('Checks'!$A$4:$A$503,_calc!$E$168))=0,"",INDEX('Checks'!$A$4:$A$503,_calc!$E$168)))</f>
        <v/>
      </c>
      <c r="B166" s="47">
        <f>IF(_calc!$E$168="","",IF(ISNUMBER(INDEX('Checks'!$D$4:$D$503,_calc!$E$168)),TEXT(INDEX('Checks'!$D$4:$D$503,_calc!$E$168),"yyyy-mm-dd"),""))</f>
        <v/>
      </c>
      <c r="C166" s="47">
        <f>IF(_calc!$E$168="","",IF(LEN(INDEX('Checks'!$B$4:$B$503,_calc!$E$168))=0,"",INDEX('Checks'!$B$4:$B$503,_calc!$E$168)))</f>
        <v/>
      </c>
      <c r="D166" s="47">
        <f>IF(_calc!$E$168="","",IF(ISNUMBER(INDEX('Checks'!$C$4:$C$503,_calc!$E$168)),TEXT(INDEX('Checks'!$C$4:$C$503,_calc!$E$168),"yyyy-mm-dd"),""))</f>
        <v/>
      </c>
      <c r="E166" s="47">
        <f>IF(_calc!$E$168="","",IF(LEN(INDEX('Checks'!$L$4:$L$503,_calc!$E$168))=0,"",INDEX('Checks'!$L$4:$L$503,_calc!$E$168)))</f>
        <v/>
      </c>
      <c r="F166" s="47">
        <f>IF(_calc!$E$168="","",TRIM(IF(LEN(IF(LEN(INDEX('Checks'!$I$4:$I$503,_calc!$E$168))=0,"",INDEX('Checks'!$I$4:$I$503,_calc!$E$168)))=0,"","Contractor: "&amp;IF(LEN(INDEX('Checks'!$I$4:$I$503,_calc!$E$168))=0,"",INDEX('Checks'!$I$4:$I$503,_calc!$E$168))&amp;". ")&amp;IF(LEN(IF(LEN(INDEX('Checks'!$J$4:$J$503,_calc!$E$168))=0,"",INDEX('Checks'!$J$4:$J$503,_calc!$E$168)))=0,"","Ref: "&amp;IF(LEN(INDEX('Checks'!$J$4:$J$503,_calc!$E$168))=0,"",INDEX('Checks'!$J$4:$J$503,_calc!$E$168))&amp;". ")&amp;IF(LEN(IF(ISNUMBER(INDEX('Checks'!$K$4:$K$503,_calc!$E$168)),TEXT(INDEX('Checks'!$K$4:$K$503,_calc!$E$168),"yyyy-mm-dd"),""))=0,"","Copy to tenant: "&amp;IF(ISNUMBER(INDEX('Checks'!$K$4:$K$503,_calc!$E$168)),TEXT(INDEX('Checks'!$K$4:$K$503,_calc!$E$168),"yyyy-mm-dd"),"")&amp;". ")&amp;IF(LEN(IF(LEN(INDEX('Checks'!$P$4:$P$503,_calc!$E$168))=0,"",INDEX('Checks'!$P$4:$P$503,_calc!$E$168)))=0,"",IF(LEN(INDEX('Checks'!$P$4:$P$503,_calc!$E$168))=0,"",INDEX('Checks'!$P$4:$P$503,_calc!$E$168)))))</f>
        <v/>
      </c>
      <c r="G166" s="47">
        <f>IF(_calc!$E$168="","",IF(LEN(INDEX('Checks'!$N$4:$N$503,_calc!$E$168))=0,"",INDEX('Checks'!$N$4:$N$503,_calc!$E$168)))</f>
        <v/>
      </c>
      <c r="K166" s="47">
        <f>IF(_calc!$E$168="","",IF(LEN(INDEX('Checks'!$M$4:$M$503,_calc!$E$168))=0,"",INDEX('Checks'!$M$4:$M$503,_calc!$E$168)))</f>
        <v/>
      </c>
    </row>
    <row r="167">
      <c r="A167" s="47">
        <f>IF(_calc!$E$169="","",IF(LEN(INDEX('Checks'!$B$4:$B$503,_calc!$E$169))=0,"",INDEX('Checks'!$B$4:$B$503,_calc!$E$169))&amp;" – "&amp;IF(LEN(INDEX('Checks'!$A$4:$A$503,_calc!$E$169))=0,"",INDEX('Checks'!$A$4:$A$503,_calc!$E$169)))</f>
        <v/>
      </c>
      <c r="B167" s="47">
        <f>IF(_calc!$E$169="","",IF(ISNUMBER(INDEX('Checks'!$D$4:$D$503,_calc!$E$169)),TEXT(INDEX('Checks'!$D$4:$D$503,_calc!$E$169),"yyyy-mm-dd"),""))</f>
        <v/>
      </c>
      <c r="C167" s="47">
        <f>IF(_calc!$E$169="","",IF(LEN(INDEX('Checks'!$B$4:$B$503,_calc!$E$169))=0,"",INDEX('Checks'!$B$4:$B$503,_calc!$E$169)))</f>
        <v/>
      </c>
      <c r="D167" s="47">
        <f>IF(_calc!$E$169="","",IF(ISNUMBER(INDEX('Checks'!$C$4:$C$503,_calc!$E$169)),TEXT(INDEX('Checks'!$C$4:$C$503,_calc!$E$169),"yyyy-mm-dd"),""))</f>
        <v/>
      </c>
      <c r="E167" s="47">
        <f>IF(_calc!$E$169="","",IF(LEN(INDEX('Checks'!$L$4:$L$503,_calc!$E$169))=0,"",INDEX('Checks'!$L$4:$L$503,_calc!$E$169)))</f>
        <v/>
      </c>
      <c r="F167" s="47">
        <f>IF(_calc!$E$169="","",TRIM(IF(LEN(IF(LEN(INDEX('Checks'!$I$4:$I$503,_calc!$E$169))=0,"",INDEX('Checks'!$I$4:$I$503,_calc!$E$169)))=0,"","Contractor: "&amp;IF(LEN(INDEX('Checks'!$I$4:$I$503,_calc!$E$169))=0,"",INDEX('Checks'!$I$4:$I$503,_calc!$E$169))&amp;". ")&amp;IF(LEN(IF(LEN(INDEX('Checks'!$J$4:$J$503,_calc!$E$169))=0,"",INDEX('Checks'!$J$4:$J$503,_calc!$E$169)))=0,"","Ref: "&amp;IF(LEN(INDEX('Checks'!$J$4:$J$503,_calc!$E$169))=0,"",INDEX('Checks'!$J$4:$J$503,_calc!$E$169))&amp;". ")&amp;IF(LEN(IF(ISNUMBER(INDEX('Checks'!$K$4:$K$503,_calc!$E$169)),TEXT(INDEX('Checks'!$K$4:$K$503,_calc!$E$169),"yyyy-mm-dd"),""))=0,"","Copy to tenant: "&amp;IF(ISNUMBER(INDEX('Checks'!$K$4:$K$503,_calc!$E$169)),TEXT(INDEX('Checks'!$K$4:$K$503,_calc!$E$169),"yyyy-mm-dd"),"")&amp;". ")&amp;IF(LEN(IF(LEN(INDEX('Checks'!$P$4:$P$503,_calc!$E$169))=0,"",INDEX('Checks'!$P$4:$P$503,_calc!$E$169)))=0,"",IF(LEN(INDEX('Checks'!$P$4:$P$503,_calc!$E$169))=0,"",INDEX('Checks'!$P$4:$P$503,_calc!$E$169)))))</f>
        <v/>
      </c>
      <c r="G167" s="47">
        <f>IF(_calc!$E$169="","",IF(LEN(INDEX('Checks'!$N$4:$N$503,_calc!$E$169))=0,"",INDEX('Checks'!$N$4:$N$503,_calc!$E$169)))</f>
        <v/>
      </c>
      <c r="K167" s="47">
        <f>IF(_calc!$E$169="","",IF(LEN(INDEX('Checks'!$M$4:$M$503,_calc!$E$169))=0,"",INDEX('Checks'!$M$4:$M$503,_calc!$E$169)))</f>
        <v/>
      </c>
    </row>
    <row r="168">
      <c r="A168" s="47">
        <f>IF(_calc!$E$170="","",IF(LEN(INDEX('Checks'!$B$4:$B$503,_calc!$E$170))=0,"",INDEX('Checks'!$B$4:$B$503,_calc!$E$170))&amp;" – "&amp;IF(LEN(INDEX('Checks'!$A$4:$A$503,_calc!$E$170))=0,"",INDEX('Checks'!$A$4:$A$503,_calc!$E$170)))</f>
        <v/>
      </c>
      <c r="B168" s="47">
        <f>IF(_calc!$E$170="","",IF(ISNUMBER(INDEX('Checks'!$D$4:$D$503,_calc!$E$170)),TEXT(INDEX('Checks'!$D$4:$D$503,_calc!$E$170),"yyyy-mm-dd"),""))</f>
        <v/>
      </c>
      <c r="C168" s="47">
        <f>IF(_calc!$E$170="","",IF(LEN(INDEX('Checks'!$B$4:$B$503,_calc!$E$170))=0,"",INDEX('Checks'!$B$4:$B$503,_calc!$E$170)))</f>
        <v/>
      </c>
      <c r="D168" s="47">
        <f>IF(_calc!$E$170="","",IF(ISNUMBER(INDEX('Checks'!$C$4:$C$503,_calc!$E$170)),TEXT(INDEX('Checks'!$C$4:$C$503,_calc!$E$170),"yyyy-mm-dd"),""))</f>
        <v/>
      </c>
      <c r="E168" s="47">
        <f>IF(_calc!$E$170="","",IF(LEN(INDEX('Checks'!$L$4:$L$503,_calc!$E$170))=0,"",INDEX('Checks'!$L$4:$L$503,_calc!$E$170)))</f>
        <v/>
      </c>
      <c r="F168" s="47">
        <f>IF(_calc!$E$170="","",TRIM(IF(LEN(IF(LEN(INDEX('Checks'!$I$4:$I$503,_calc!$E$170))=0,"",INDEX('Checks'!$I$4:$I$503,_calc!$E$170)))=0,"","Contractor: "&amp;IF(LEN(INDEX('Checks'!$I$4:$I$503,_calc!$E$170))=0,"",INDEX('Checks'!$I$4:$I$503,_calc!$E$170))&amp;". ")&amp;IF(LEN(IF(LEN(INDEX('Checks'!$J$4:$J$503,_calc!$E$170))=0,"",INDEX('Checks'!$J$4:$J$503,_calc!$E$170)))=0,"","Ref: "&amp;IF(LEN(INDEX('Checks'!$J$4:$J$503,_calc!$E$170))=0,"",INDEX('Checks'!$J$4:$J$503,_calc!$E$170))&amp;". ")&amp;IF(LEN(IF(ISNUMBER(INDEX('Checks'!$K$4:$K$503,_calc!$E$170)),TEXT(INDEX('Checks'!$K$4:$K$503,_calc!$E$170),"yyyy-mm-dd"),""))=0,"","Copy to tenant: "&amp;IF(ISNUMBER(INDEX('Checks'!$K$4:$K$503,_calc!$E$170)),TEXT(INDEX('Checks'!$K$4:$K$503,_calc!$E$170),"yyyy-mm-dd"),"")&amp;". ")&amp;IF(LEN(IF(LEN(INDEX('Checks'!$P$4:$P$503,_calc!$E$170))=0,"",INDEX('Checks'!$P$4:$P$503,_calc!$E$170)))=0,"",IF(LEN(INDEX('Checks'!$P$4:$P$503,_calc!$E$170))=0,"",INDEX('Checks'!$P$4:$P$503,_calc!$E$170)))))</f>
        <v/>
      </c>
      <c r="G168" s="47">
        <f>IF(_calc!$E$170="","",IF(LEN(INDEX('Checks'!$N$4:$N$503,_calc!$E$170))=0,"",INDEX('Checks'!$N$4:$N$503,_calc!$E$170)))</f>
        <v/>
      </c>
      <c r="K168" s="47">
        <f>IF(_calc!$E$170="","",IF(LEN(INDEX('Checks'!$M$4:$M$503,_calc!$E$170))=0,"",INDEX('Checks'!$M$4:$M$503,_calc!$E$170)))</f>
        <v/>
      </c>
    </row>
    <row r="169">
      <c r="A169" s="47">
        <f>IF(_calc!$E$171="","",IF(LEN(INDEX('Checks'!$B$4:$B$503,_calc!$E$171))=0,"",INDEX('Checks'!$B$4:$B$503,_calc!$E$171))&amp;" – "&amp;IF(LEN(INDEX('Checks'!$A$4:$A$503,_calc!$E$171))=0,"",INDEX('Checks'!$A$4:$A$503,_calc!$E$171)))</f>
        <v/>
      </c>
      <c r="B169" s="47">
        <f>IF(_calc!$E$171="","",IF(ISNUMBER(INDEX('Checks'!$D$4:$D$503,_calc!$E$171)),TEXT(INDEX('Checks'!$D$4:$D$503,_calc!$E$171),"yyyy-mm-dd"),""))</f>
        <v/>
      </c>
      <c r="C169" s="47">
        <f>IF(_calc!$E$171="","",IF(LEN(INDEX('Checks'!$B$4:$B$503,_calc!$E$171))=0,"",INDEX('Checks'!$B$4:$B$503,_calc!$E$171)))</f>
        <v/>
      </c>
      <c r="D169" s="47">
        <f>IF(_calc!$E$171="","",IF(ISNUMBER(INDEX('Checks'!$C$4:$C$503,_calc!$E$171)),TEXT(INDEX('Checks'!$C$4:$C$503,_calc!$E$171),"yyyy-mm-dd"),""))</f>
        <v/>
      </c>
      <c r="E169" s="47">
        <f>IF(_calc!$E$171="","",IF(LEN(INDEX('Checks'!$L$4:$L$503,_calc!$E$171))=0,"",INDEX('Checks'!$L$4:$L$503,_calc!$E$171)))</f>
        <v/>
      </c>
      <c r="F169" s="47">
        <f>IF(_calc!$E$171="","",TRIM(IF(LEN(IF(LEN(INDEX('Checks'!$I$4:$I$503,_calc!$E$171))=0,"",INDEX('Checks'!$I$4:$I$503,_calc!$E$171)))=0,"","Contractor: "&amp;IF(LEN(INDEX('Checks'!$I$4:$I$503,_calc!$E$171))=0,"",INDEX('Checks'!$I$4:$I$503,_calc!$E$171))&amp;". ")&amp;IF(LEN(IF(LEN(INDEX('Checks'!$J$4:$J$503,_calc!$E$171))=0,"",INDEX('Checks'!$J$4:$J$503,_calc!$E$171)))=0,"","Ref: "&amp;IF(LEN(INDEX('Checks'!$J$4:$J$503,_calc!$E$171))=0,"",INDEX('Checks'!$J$4:$J$503,_calc!$E$171))&amp;". ")&amp;IF(LEN(IF(ISNUMBER(INDEX('Checks'!$K$4:$K$503,_calc!$E$171)),TEXT(INDEX('Checks'!$K$4:$K$503,_calc!$E$171),"yyyy-mm-dd"),""))=0,"","Copy to tenant: "&amp;IF(ISNUMBER(INDEX('Checks'!$K$4:$K$503,_calc!$E$171)),TEXT(INDEX('Checks'!$K$4:$K$503,_calc!$E$171),"yyyy-mm-dd"),"")&amp;". ")&amp;IF(LEN(IF(LEN(INDEX('Checks'!$P$4:$P$503,_calc!$E$171))=0,"",INDEX('Checks'!$P$4:$P$503,_calc!$E$171)))=0,"",IF(LEN(INDEX('Checks'!$P$4:$P$503,_calc!$E$171))=0,"",INDEX('Checks'!$P$4:$P$503,_calc!$E$171)))))</f>
        <v/>
      </c>
      <c r="G169" s="47">
        <f>IF(_calc!$E$171="","",IF(LEN(INDEX('Checks'!$N$4:$N$503,_calc!$E$171))=0,"",INDEX('Checks'!$N$4:$N$503,_calc!$E$171)))</f>
        <v/>
      </c>
      <c r="K169" s="47">
        <f>IF(_calc!$E$171="","",IF(LEN(INDEX('Checks'!$M$4:$M$503,_calc!$E$171))=0,"",INDEX('Checks'!$M$4:$M$503,_calc!$E$171)))</f>
        <v/>
      </c>
    </row>
    <row r="170">
      <c r="A170" s="47">
        <f>IF(_calc!$E$172="","",IF(LEN(INDEX('Checks'!$B$4:$B$503,_calc!$E$172))=0,"",INDEX('Checks'!$B$4:$B$503,_calc!$E$172))&amp;" – "&amp;IF(LEN(INDEX('Checks'!$A$4:$A$503,_calc!$E$172))=0,"",INDEX('Checks'!$A$4:$A$503,_calc!$E$172)))</f>
        <v/>
      </c>
      <c r="B170" s="47">
        <f>IF(_calc!$E$172="","",IF(ISNUMBER(INDEX('Checks'!$D$4:$D$503,_calc!$E$172)),TEXT(INDEX('Checks'!$D$4:$D$503,_calc!$E$172),"yyyy-mm-dd"),""))</f>
        <v/>
      </c>
      <c r="C170" s="47">
        <f>IF(_calc!$E$172="","",IF(LEN(INDEX('Checks'!$B$4:$B$503,_calc!$E$172))=0,"",INDEX('Checks'!$B$4:$B$503,_calc!$E$172)))</f>
        <v/>
      </c>
      <c r="D170" s="47">
        <f>IF(_calc!$E$172="","",IF(ISNUMBER(INDEX('Checks'!$C$4:$C$503,_calc!$E$172)),TEXT(INDEX('Checks'!$C$4:$C$503,_calc!$E$172),"yyyy-mm-dd"),""))</f>
        <v/>
      </c>
      <c r="E170" s="47">
        <f>IF(_calc!$E$172="","",IF(LEN(INDEX('Checks'!$L$4:$L$503,_calc!$E$172))=0,"",INDEX('Checks'!$L$4:$L$503,_calc!$E$172)))</f>
        <v/>
      </c>
      <c r="F170" s="47">
        <f>IF(_calc!$E$172="","",TRIM(IF(LEN(IF(LEN(INDEX('Checks'!$I$4:$I$503,_calc!$E$172))=0,"",INDEX('Checks'!$I$4:$I$503,_calc!$E$172)))=0,"","Contractor: "&amp;IF(LEN(INDEX('Checks'!$I$4:$I$503,_calc!$E$172))=0,"",INDEX('Checks'!$I$4:$I$503,_calc!$E$172))&amp;". ")&amp;IF(LEN(IF(LEN(INDEX('Checks'!$J$4:$J$503,_calc!$E$172))=0,"",INDEX('Checks'!$J$4:$J$503,_calc!$E$172)))=0,"","Ref: "&amp;IF(LEN(INDEX('Checks'!$J$4:$J$503,_calc!$E$172))=0,"",INDEX('Checks'!$J$4:$J$503,_calc!$E$172))&amp;". ")&amp;IF(LEN(IF(ISNUMBER(INDEX('Checks'!$K$4:$K$503,_calc!$E$172)),TEXT(INDEX('Checks'!$K$4:$K$503,_calc!$E$172),"yyyy-mm-dd"),""))=0,"","Copy to tenant: "&amp;IF(ISNUMBER(INDEX('Checks'!$K$4:$K$503,_calc!$E$172)),TEXT(INDEX('Checks'!$K$4:$K$503,_calc!$E$172),"yyyy-mm-dd"),"")&amp;". ")&amp;IF(LEN(IF(LEN(INDEX('Checks'!$P$4:$P$503,_calc!$E$172))=0,"",INDEX('Checks'!$P$4:$P$503,_calc!$E$172)))=0,"",IF(LEN(INDEX('Checks'!$P$4:$P$503,_calc!$E$172))=0,"",INDEX('Checks'!$P$4:$P$503,_calc!$E$172)))))</f>
        <v/>
      </c>
      <c r="G170" s="47">
        <f>IF(_calc!$E$172="","",IF(LEN(INDEX('Checks'!$N$4:$N$503,_calc!$E$172))=0,"",INDEX('Checks'!$N$4:$N$503,_calc!$E$172)))</f>
        <v/>
      </c>
      <c r="K170" s="47">
        <f>IF(_calc!$E$172="","",IF(LEN(INDEX('Checks'!$M$4:$M$503,_calc!$E$172))=0,"",INDEX('Checks'!$M$4:$M$503,_calc!$E$172)))</f>
        <v/>
      </c>
    </row>
    <row r="171">
      <c r="A171" s="47">
        <f>IF(_calc!$E$173="","",IF(LEN(INDEX('Checks'!$B$4:$B$503,_calc!$E$173))=0,"",INDEX('Checks'!$B$4:$B$503,_calc!$E$173))&amp;" – "&amp;IF(LEN(INDEX('Checks'!$A$4:$A$503,_calc!$E$173))=0,"",INDEX('Checks'!$A$4:$A$503,_calc!$E$173)))</f>
        <v/>
      </c>
      <c r="B171" s="47">
        <f>IF(_calc!$E$173="","",IF(ISNUMBER(INDEX('Checks'!$D$4:$D$503,_calc!$E$173)),TEXT(INDEX('Checks'!$D$4:$D$503,_calc!$E$173),"yyyy-mm-dd"),""))</f>
        <v/>
      </c>
      <c r="C171" s="47">
        <f>IF(_calc!$E$173="","",IF(LEN(INDEX('Checks'!$B$4:$B$503,_calc!$E$173))=0,"",INDEX('Checks'!$B$4:$B$503,_calc!$E$173)))</f>
        <v/>
      </c>
      <c r="D171" s="47">
        <f>IF(_calc!$E$173="","",IF(ISNUMBER(INDEX('Checks'!$C$4:$C$503,_calc!$E$173)),TEXT(INDEX('Checks'!$C$4:$C$503,_calc!$E$173),"yyyy-mm-dd"),""))</f>
        <v/>
      </c>
      <c r="E171" s="47">
        <f>IF(_calc!$E$173="","",IF(LEN(INDEX('Checks'!$L$4:$L$503,_calc!$E$173))=0,"",INDEX('Checks'!$L$4:$L$503,_calc!$E$173)))</f>
        <v/>
      </c>
      <c r="F171" s="47">
        <f>IF(_calc!$E$173="","",TRIM(IF(LEN(IF(LEN(INDEX('Checks'!$I$4:$I$503,_calc!$E$173))=0,"",INDEX('Checks'!$I$4:$I$503,_calc!$E$173)))=0,"","Contractor: "&amp;IF(LEN(INDEX('Checks'!$I$4:$I$503,_calc!$E$173))=0,"",INDEX('Checks'!$I$4:$I$503,_calc!$E$173))&amp;". ")&amp;IF(LEN(IF(LEN(INDEX('Checks'!$J$4:$J$503,_calc!$E$173))=0,"",INDEX('Checks'!$J$4:$J$503,_calc!$E$173)))=0,"","Ref: "&amp;IF(LEN(INDEX('Checks'!$J$4:$J$503,_calc!$E$173))=0,"",INDEX('Checks'!$J$4:$J$503,_calc!$E$173))&amp;". ")&amp;IF(LEN(IF(ISNUMBER(INDEX('Checks'!$K$4:$K$503,_calc!$E$173)),TEXT(INDEX('Checks'!$K$4:$K$503,_calc!$E$173),"yyyy-mm-dd"),""))=0,"","Copy to tenant: "&amp;IF(ISNUMBER(INDEX('Checks'!$K$4:$K$503,_calc!$E$173)),TEXT(INDEX('Checks'!$K$4:$K$503,_calc!$E$173),"yyyy-mm-dd"),"")&amp;". ")&amp;IF(LEN(IF(LEN(INDEX('Checks'!$P$4:$P$503,_calc!$E$173))=0,"",INDEX('Checks'!$P$4:$P$503,_calc!$E$173)))=0,"",IF(LEN(INDEX('Checks'!$P$4:$P$503,_calc!$E$173))=0,"",INDEX('Checks'!$P$4:$P$503,_calc!$E$173)))))</f>
        <v/>
      </c>
      <c r="G171" s="47">
        <f>IF(_calc!$E$173="","",IF(LEN(INDEX('Checks'!$N$4:$N$503,_calc!$E$173))=0,"",INDEX('Checks'!$N$4:$N$503,_calc!$E$173)))</f>
        <v/>
      </c>
      <c r="K171" s="47">
        <f>IF(_calc!$E$173="","",IF(LEN(INDEX('Checks'!$M$4:$M$503,_calc!$E$173))=0,"",INDEX('Checks'!$M$4:$M$503,_calc!$E$173)))</f>
        <v/>
      </c>
    </row>
    <row r="172">
      <c r="A172" s="47">
        <f>IF(_calc!$E$174="","",IF(LEN(INDEX('Checks'!$B$4:$B$503,_calc!$E$174))=0,"",INDEX('Checks'!$B$4:$B$503,_calc!$E$174))&amp;" – "&amp;IF(LEN(INDEX('Checks'!$A$4:$A$503,_calc!$E$174))=0,"",INDEX('Checks'!$A$4:$A$503,_calc!$E$174)))</f>
        <v/>
      </c>
      <c r="B172" s="47">
        <f>IF(_calc!$E$174="","",IF(ISNUMBER(INDEX('Checks'!$D$4:$D$503,_calc!$E$174)),TEXT(INDEX('Checks'!$D$4:$D$503,_calc!$E$174),"yyyy-mm-dd"),""))</f>
        <v/>
      </c>
      <c r="C172" s="47">
        <f>IF(_calc!$E$174="","",IF(LEN(INDEX('Checks'!$B$4:$B$503,_calc!$E$174))=0,"",INDEX('Checks'!$B$4:$B$503,_calc!$E$174)))</f>
        <v/>
      </c>
      <c r="D172" s="47">
        <f>IF(_calc!$E$174="","",IF(ISNUMBER(INDEX('Checks'!$C$4:$C$503,_calc!$E$174)),TEXT(INDEX('Checks'!$C$4:$C$503,_calc!$E$174),"yyyy-mm-dd"),""))</f>
        <v/>
      </c>
      <c r="E172" s="47">
        <f>IF(_calc!$E$174="","",IF(LEN(INDEX('Checks'!$L$4:$L$503,_calc!$E$174))=0,"",INDEX('Checks'!$L$4:$L$503,_calc!$E$174)))</f>
        <v/>
      </c>
      <c r="F172" s="47">
        <f>IF(_calc!$E$174="","",TRIM(IF(LEN(IF(LEN(INDEX('Checks'!$I$4:$I$503,_calc!$E$174))=0,"",INDEX('Checks'!$I$4:$I$503,_calc!$E$174)))=0,"","Contractor: "&amp;IF(LEN(INDEX('Checks'!$I$4:$I$503,_calc!$E$174))=0,"",INDEX('Checks'!$I$4:$I$503,_calc!$E$174))&amp;". ")&amp;IF(LEN(IF(LEN(INDEX('Checks'!$J$4:$J$503,_calc!$E$174))=0,"",INDEX('Checks'!$J$4:$J$503,_calc!$E$174)))=0,"","Ref: "&amp;IF(LEN(INDEX('Checks'!$J$4:$J$503,_calc!$E$174))=0,"",INDEX('Checks'!$J$4:$J$503,_calc!$E$174))&amp;". ")&amp;IF(LEN(IF(ISNUMBER(INDEX('Checks'!$K$4:$K$503,_calc!$E$174)),TEXT(INDEX('Checks'!$K$4:$K$503,_calc!$E$174),"yyyy-mm-dd"),""))=0,"","Copy to tenant: "&amp;IF(ISNUMBER(INDEX('Checks'!$K$4:$K$503,_calc!$E$174)),TEXT(INDEX('Checks'!$K$4:$K$503,_calc!$E$174),"yyyy-mm-dd"),"")&amp;". ")&amp;IF(LEN(IF(LEN(INDEX('Checks'!$P$4:$P$503,_calc!$E$174))=0,"",INDEX('Checks'!$P$4:$P$503,_calc!$E$174)))=0,"",IF(LEN(INDEX('Checks'!$P$4:$P$503,_calc!$E$174))=0,"",INDEX('Checks'!$P$4:$P$503,_calc!$E$174)))))</f>
        <v/>
      </c>
      <c r="G172" s="47">
        <f>IF(_calc!$E$174="","",IF(LEN(INDEX('Checks'!$N$4:$N$503,_calc!$E$174))=0,"",INDEX('Checks'!$N$4:$N$503,_calc!$E$174)))</f>
        <v/>
      </c>
      <c r="K172" s="47">
        <f>IF(_calc!$E$174="","",IF(LEN(INDEX('Checks'!$M$4:$M$503,_calc!$E$174))=0,"",INDEX('Checks'!$M$4:$M$503,_calc!$E$174)))</f>
        <v/>
      </c>
    </row>
    <row r="173">
      <c r="A173" s="47">
        <f>IF(_calc!$E$175="","",IF(LEN(INDEX('Checks'!$B$4:$B$503,_calc!$E$175))=0,"",INDEX('Checks'!$B$4:$B$503,_calc!$E$175))&amp;" – "&amp;IF(LEN(INDEX('Checks'!$A$4:$A$503,_calc!$E$175))=0,"",INDEX('Checks'!$A$4:$A$503,_calc!$E$175)))</f>
        <v/>
      </c>
      <c r="B173" s="47">
        <f>IF(_calc!$E$175="","",IF(ISNUMBER(INDEX('Checks'!$D$4:$D$503,_calc!$E$175)),TEXT(INDEX('Checks'!$D$4:$D$503,_calc!$E$175),"yyyy-mm-dd"),""))</f>
        <v/>
      </c>
      <c r="C173" s="47">
        <f>IF(_calc!$E$175="","",IF(LEN(INDEX('Checks'!$B$4:$B$503,_calc!$E$175))=0,"",INDEX('Checks'!$B$4:$B$503,_calc!$E$175)))</f>
        <v/>
      </c>
      <c r="D173" s="47">
        <f>IF(_calc!$E$175="","",IF(ISNUMBER(INDEX('Checks'!$C$4:$C$503,_calc!$E$175)),TEXT(INDEX('Checks'!$C$4:$C$503,_calc!$E$175),"yyyy-mm-dd"),""))</f>
        <v/>
      </c>
      <c r="E173" s="47">
        <f>IF(_calc!$E$175="","",IF(LEN(INDEX('Checks'!$L$4:$L$503,_calc!$E$175))=0,"",INDEX('Checks'!$L$4:$L$503,_calc!$E$175)))</f>
        <v/>
      </c>
      <c r="F173" s="47">
        <f>IF(_calc!$E$175="","",TRIM(IF(LEN(IF(LEN(INDEX('Checks'!$I$4:$I$503,_calc!$E$175))=0,"",INDEX('Checks'!$I$4:$I$503,_calc!$E$175)))=0,"","Contractor: "&amp;IF(LEN(INDEX('Checks'!$I$4:$I$503,_calc!$E$175))=0,"",INDEX('Checks'!$I$4:$I$503,_calc!$E$175))&amp;". ")&amp;IF(LEN(IF(LEN(INDEX('Checks'!$J$4:$J$503,_calc!$E$175))=0,"",INDEX('Checks'!$J$4:$J$503,_calc!$E$175)))=0,"","Ref: "&amp;IF(LEN(INDEX('Checks'!$J$4:$J$503,_calc!$E$175))=0,"",INDEX('Checks'!$J$4:$J$503,_calc!$E$175))&amp;". ")&amp;IF(LEN(IF(ISNUMBER(INDEX('Checks'!$K$4:$K$503,_calc!$E$175)),TEXT(INDEX('Checks'!$K$4:$K$503,_calc!$E$175),"yyyy-mm-dd"),""))=0,"","Copy to tenant: "&amp;IF(ISNUMBER(INDEX('Checks'!$K$4:$K$503,_calc!$E$175)),TEXT(INDEX('Checks'!$K$4:$K$503,_calc!$E$175),"yyyy-mm-dd"),"")&amp;". ")&amp;IF(LEN(IF(LEN(INDEX('Checks'!$P$4:$P$503,_calc!$E$175))=0,"",INDEX('Checks'!$P$4:$P$503,_calc!$E$175)))=0,"",IF(LEN(INDEX('Checks'!$P$4:$P$503,_calc!$E$175))=0,"",INDEX('Checks'!$P$4:$P$503,_calc!$E$175)))))</f>
        <v/>
      </c>
      <c r="G173" s="47">
        <f>IF(_calc!$E$175="","",IF(LEN(INDEX('Checks'!$N$4:$N$503,_calc!$E$175))=0,"",INDEX('Checks'!$N$4:$N$503,_calc!$E$175)))</f>
        <v/>
      </c>
      <c r="K173" s="47">
        <f>IF(_calc!$E$175="","",IF(LEN(INDEX('Checks'!$M$4:$M$503,_calc!$E$175))=0,"",INDEX('Checks'!$M$4:$M$503,_calc!$E$175)))</f>
        <v/>
      </c>
    </row>
    <row r="174">
      <c r="A174" s="47">
        <f>IF(_calc!$E$176="","",IF(LEN(INDEX('Checks'!$B$4:$B$503,_calc!$E$176))=0,"",INDEX('Checks'!$B$4:$B$503,_calc!$E$176))&amp;" – "&amp;IF(LEN(INDEX('Checks'!$A$4:$A$503,_calc!$E$176))=0,"",INDEX('Checks'!$A$4:$A$503,_calc!$E$176)))</f>
        <v/>
      </c>
      <c r="B174" s="47">
        <f>IF(_calc!$E$176="","",IF(ISNUMBER(INDEX('Checks'!$D$4:$D$503,_calc!$E$176)),TEXT(INDEX('Checks'!$D$4:$D$503,_calc!$E$176),"yyyy-mm-dd"),""))</f>
        <v/>
      </c>
      <c r="C174" s="47">
        <f>IF(_calc!$E$176="","",IF(LEN(INDEX('Checks'!$B$4:$B$503,_calc!$E$176))=0,"",INDEX('Checks'!$B$4:$B$503,_calc!$E$176)))</f>
        <v/>
      </c>
      <c r="D174" s="47">
        <f>IF(_calc!$E$176="","",IF(ISNUMBER(INDEX('Checks'!$C$4:$C$503,_calc!$E$176)),TEXT(INDEX('Checks'!$C$4:$C$503,_calc!$E$176),"yyyy-mm-dd"),""))</f>
        <v/>
      </c>
      <c r="E174" s="47">
        <f>IF(_calc!$E$176="","",IF(LEN(INDEX('Checks'!$L$4:$L$503,_calc!$E$176))=0,"",INDEX('Checks'!$L$4:$L$503,_calc!$E$176)))</f>
        <v/>
      </c>
      <c r="F174" s="47">
        <f>IF(_calc!$E$176="","",TRIM(IF(LEN(IF(LEN(INDEX('Checks'!$I$4:$I$503,_calc!$E$176))=0,"",INDEX('Checks'!$I$4:$I$503,_calc!$E$176)))=0,"","Contractor: "&amp;IF(LEN(INDEX('Checks'!$I$4:$I$503,_calc!$E$176))=0,"",INDEX('Checks'!$I$4:$I$503,_calc!$E$176))&amp;". ")&amp;IF(LEN(IF(LEN(INDEX('Checks'!$J$4:$J$503,_calc!$E$176))=0,"",INDEX('Checks'!$J$4:$J$503,_calc!$E$176)))=0,"","Ref: "&amp;IF(LEN(INDEX('Checks'!$J$4:$J$503,_calc!$E$176))=0,"",INDEX('Checks'!$J$4:$J$503,_calc!$E$176))&amp;". ")&amp;IF(LEN(IF(ISNUMBER(INDEX('Checks'!$K$4:$K$503,_calc!$E$176)),TEXT(INDEX('Checks'!$K$4:$K$503,_calc!$E$176),"yyyy-mm-dd"),""))=0,"","Copy to tenant: "&amp;IF(ISNUMBER(INDEX('Checks'!$K$4:$K$503,_calc!$E$176)),TEXT(INDEX('Checks'!$K$4:$K$503,_calc!$E$176),"yyyy-mm-dd"),"")&amp;". ")&amp;IF(LEN(IF(LEN(INDEX('Checks'!$P$4:$P$503,_calc!$E$176))=0,"",INDEX('Checks'!$P$4:$P$503,_calc!$E$176)))=0,"",IF(LEN(INDEX('Checks'!$P$4:$P$503,_calc!$E$176))=0,"",INDEX('Checks'!$P$4:$P$503,_calc!$E$176)))))</f>
        <v/>
      </c>
      <c r="G174" s="47">
        <f>IF(_calc!$E$176="","",IF(LEN(INDEX('Checks'!$N$4:$N$503,_calc!$E$176))=0,"",INDEX('Checks'!$N$4:$N$503,_calc!$E$176)))</f>
        <v/>
      </c>
      <c r="K174" s="47">
        <f>IF(_calc!$E$176="","",IF(LEN(INDEX('Checks'!$M$4:$M$503,_calc!$E$176))=0,"",INDEX('Checks'!$M$4:$M$503,_calc!$E$176)))</f>
        <v/>
      </c>
    </row>
    <row r="175">
      <c r="A175" s="47">
        <f>IF(_calc!$E$177="","",IF(LEN(INDEX('Checks'!$B$4:$B$503,_calc!$E$177))=0,"",INDEX('Checks'!$B$4:$B$503,_calc!$E$177))&amp;" – "&amp;IF(LEN(INDEX('Checks'!$A$4:$A$503,_calc!$E$177))=0,"",INDEX('Checks'!$A$4:$A$503,_calc!$E$177)))</f>
        <v/>
      </c>
      <c r="B175" s="47">
        <f>IF(_calc!$E$177="","",IF(ISNUMBER(INDEX('Checks'!$D$4:$D$503,_calc!$E$177)),TEXT(INDEX('Checks'!$D$4:$D$503,_calc!$E$177),"yyyy-mm-dd"),""))</f>
        <v/>
      </c>
      <c r="C175" s="47">
        <f>IF(_calc!$E$177="","",IF(LEN(INDEX('Checks'!$B$4:$B$503,_calc!$E$177))=0,"",INDEX('Checks'!$B$4:$B$503,_calc!$E$177)))</f>
        <v/>
      </c>
      <c r="D175" s="47">
        <f>IF(_calc!$E$177="","",IF(ISNUMBER(INDEX('Checks'!$C$4:$C$503,_calc!$E$177)),TEXT(INDEX('Checks'!$C$4:$C$503,_calc!$E$177),"yyyy-mm-dd"),""))</f>
        <v/>
      </c>
      <c r="E175" s="47">
        <f>IF(_calc!$E$177="","",IF(LEN(INDEX('Checks'!$L$4:$L$503,_calc!$E$177))=0,"",INDEX('Checks'!$L$4:$L$503,_calc!$E$177)))</f>
        <v/>
      </c>
      <c r="F175" s="47">
        <f>IF(_calc!$E$177="","",TRIM(IF(LEN(IF(LEN(INDEX('Checks'!$I$4:$I$503,_calc!$E$177))=0,"",INDEX('Checks'!$I$4:$I$503,_calc!$E$177)))=0,"","Contractor: "&amp;IF(LEN(INDEX('Checks'!$I$4:$I$503,_calc!$E$177))=0,"",INDEX('Checks'!$I$4:$I$503,_calc!$E$177))&amp;". ")&amp;IF(LEN(IF(LEN(INDEX('Checks'!$J$4:$J$503,_calc!$E$177))=0,"",INDEX('Checks'!$J$4:$J$503,_calc!$E$177)))=0,"","Ref: "&amp;IF(LEN(INDEX('Checks'!$J$4:$J$503,_calc!$E$177))=0,"",INDEX('Checks'!$J$4:$J$503,_calc!$E$177))&amp;". ")&amp;IF(LEN(IF(ISNUMBER(INDEX('Checks'!$K$4:$K$503,_calc!$E$177)),TEXT(INDEX('Checks'!$K$4:$K$503,_calc!$E$177),"yyyy-mm-dd"),""))=0,"","Copy to tenant: "&amp;IF(ISNUMBER(INDEX('Checks'!$K$4:$K$503,_calc!$E$177)),TEXT(INDEX('Checks'!$K$4:$K$503,_calc!$E$177),"yyyy-mm-dd"),"")&amp;". ")&amp;IF(LEN(IF(LEN(INDEX('Checks'!$P$4:$P$503,_calc!$E$177))=0,"",INDEX('Checks'!$P$4:$P$503,_calc!$E$177)))=0,"",IF(LEN(INDEX('Checks'!$P$4:$P$503,_calc!$E$177))=0,"",INDEX('Checks'!$P$4:$P$503,_calc!$E$177)))))</f>
        <v/>
      </c>
      <c r="G175" s="47">
        <f>IF(_calc!$E$177="","",IF(LEN(INDEX('Checks'!$N$4:$N$503,_calc!$E$177))=0,"",INDEX('Checks'!$N$4:$N$503,_calc!$E$177)))</f>
        <v/>
      </c>
      <c r="K175" s="47">
        <f>IF(_calc!$E$177="","",IF(LEN(INDEX('Checks'!$M$4:$M$503,_calc!$E$177))=0,"",INDEX('Checks'!$M$4:$M$503,_calc!$E$177)))</f>
        <v/>
      </c>
    </row>
    <row r="176">
      <c r="A176" s="47">
        <f>IF(_calc!$E$178="","",IF(LEN(INDEX('Checks'!$B$4:$B$503,_calc!$E$178))=0,"",INDEX('Checks'!$B$4:$B$503,_calc!$E$178))&amp;" – "&amp;IF(LEN(INDEX('Checks'!$A$4:$A$503,_calc!$E$178))=0,"",INDEX('Checks'!$A$4:$A$503,_calc!$E$178)))</f>
        <v/>
      </c>
      <c r="B176" s="47">
        <f>IF(_calc!$E$178="","",IF(ISNUMBER(INDEX('Checks'!$D$4:$D$503,_calc!$E$178)),TEXT(INDEX('Checks'!$D$4:$D$503,_calc!$E$178),"yyyy-mm-dd"),""))</f>
        <v/>
      </c>
      <c r="C176" s="47">
        <f>IF(_calc!$E$178="","",IF(LEN(INDEX('Checks'!$B$4:$B$503,_calc!$E$178))=0,"",INDEX('Checks'!$B$4:$B$503,_calc!$E$178)))</f>
        <v/>
      </c>
      <c r="D176" s="47">
        <f>IF(_calc!$E$178="","",IF(ISNUMBER(INDEX('Checks'!$C$4:$C$503,_calc!$E$178)),TEXT(INDEX('Checks'!$C$4:$C$503,_calc!$E$178),"yyyy-mm-dd"),""))</f>
        <v/>
      </c>
      <c r="E176" s="47">
        <f>IF(_calc!$E$178="","",IF(LEN(INDEX('Checks'!$L$4:$L$503,_calc!$E$178))=0,"",INDEX('Checks'!$L$4:$L$503,_calc!$E$178)))</f>
        <v/>
      </c>
      <c r="F176" s="47">
        <f>IF(_calc!$E$178="","",TRIM(IF(LEN(IF(LEN(INDEX('Checks'!$I$4:$I$503,_calc!$E$178))=0,"",INDEX('Checks'!$I$4:$I$503,_calc!$E$178)))=0,"","Contractor: "&amp;IF(LEN(INDEX('Checks'!$I$4:$I$503,_calc!$E$178))=0,"",INDEX('Checks'!$I$4:$I$503,_calc!$E$178))&amp;". ")&amp;IF(LEN(IF(LEN(INDEX('Checks'!$J$4:$J$503,_calc!$E$178))=0,"",INDEX('Checks'!$J$4:$J$503,_calc!$E$178)))=0,"","Ref: "&amp;IF(LEN(INDEX('Checks'!$J$4:$J$503,_calc!$E$178))=0,"",INDEX('Checks'!$J$4:$J$503,_calc!$E$178))&amp;". ")&amp;IF(LEN(IF(ISNUMBER(INDEX('Checks'!$K$4:$K$503,_calc!$E$178)),TEXT(INDEX('Checks'!$K$4:$K$503,_calc!$E$178),"yyyy-mm-dd"),""))=0,"","Copy to tenant: "&amp;IF(ISNUMBER(INDEX('Checks'!$K$4:$K$503,_calc!$E$178)),TEXT(INDEX('Checks'!$K$4:$K$503,_calc!$E$178),"yyyy-mm-dd"),"")&amp;". ")&amp;IF(LEN(IF(LEN(INDEX('Checks'!$P$4:$P$503,_calc!$E$178))=0,"",INDEX('Checks'!$P$4:$P$503,_calc!$E$178)))=0,"",IF(LEN(INDEX('Checks'!$P$4:$P$503,_calc!$E$178))=0,"",INDEX('Checks'!$P$4:$P$503,_calc!$E$178)))))</f>
        <v/>
      </c>
      <c r="G176" s="47">
        <f>IF(_calc!$E$178="","",IF(LEN(INDEX('Checks'!$N$4:$N$503,_calc!$E$178))=0,"",INDEX('Checks'!$N$4:$N$503,_calc!$E$178)))</f>
        <v/>
      </c>
      <c r="K176" s="47">
        <f>IF(_calc!$E$178="","",IF(LEN(INDEX('Checks'!$M$4:$M$503,_calc!$E$178))=0,"",INDEX('Checks'!$M$4:$M$503,_calc!$E$178)))</f>
        <v/>
      </c>
    </row>
    <row r="177">
      <c r="A177" s="47">
        <f>IF(_calc!$E$179="","",IF(LEN(INDEX('Checks'!$B$4:$B$503,_calc!$E$179))=0,"",INDEX('Checks'!$B$4:$B$503,_calc!$E$179))&amp;" – "&amp;IF(LEN(INDEX('Checks'!$A$4:$A$503,_calc!$E$179))=0,"",INDEX('Checks'!$A$4:$A$503,_calc!$E$179)))</f>
        <v/>
      </c>
      <c r="B177" s="47">
        <f>IF(_calc!$E$179="","",IF(ISNUMBER(INDEX('Checks'!$D$4:$D$503,_calc!$E$179)),TEXT(INDEX('Checks'!$D$4:$D$503,_calc!$E$179),"yyyy-mm-dd"),""))</f>
        <v/>
      </c>
      <c r="C177" s="47">
        <f>IF(_calc!$E$179="","",IF(LEN(INDEX('Checks'!$B$4:$B$503,_calc!$E$179))=0,"",INDEX('Checks'!$B$4:$B$503,_calc!$E$179)))</f>
        <v/>
      </c>
      <c r="D177" s="47">
        <f>IF(_calc!$E$179="","",IF(ISNUMBER(INDEX('Checks'!$C$4:$C$503,_calc!$E$179)),TEXT(INDEX('Checks'!$C$4:$C$503,_calc!$E$179),"yyyy-mm-dd"),""))</f>
        <v/>
      </c>
      <c r="E177" s="47">
        <f>IF(_calc!$E$179="","",IF(LEN(INDEX('Checks'!$L$4:$L$503,_calc!$E$179))=0,"",INDEX('Checks'!$L$4:$L$503,_calc!$E$179)))</f>
        <v/>
      </c>
      <c r="F177" s="47">
        <f>IF(_calc!$E$179="","",TRIM(IF(LEN(IF(LEN(INDEX('Checks'!$I$4:$I$503,_calc!$E$179))=0,"",INDEX('Checks'!$I$4:$I$503,_calc!$E$179)))=0,"","Contractor: "&amp;IF(LEN(INDEX('Checks'!$I$4:$I$503,_calc!$E$179))=0,"",INDEX('Checks'!$I$4:$I$503,_calc!$E$179))&amp;". ")&amp;IF(LEN(IF(LEN(INDEX('Checks'!$J$4:$J$503,_calc!$E$179))=0,"",INDEX('Checks'!$J$4:$J$503,_calc!$E$179)))=0,"","Ref: "&amp;IF(LEN(INDEX('Checks'!$J$4:$J$503,_calc!$E$179))=0,"",INDEX('Checks'!$J$4:$J$503,_calc!$E$179))&amp;". ")&amp;IF(LEN(IF(ISNUMBER(INDEX('Checks'!$K$4:$K$503,_calc!$E$179)),TEXT(INDEX('Checks'!$K$4:$K$503,_calc!$E$179),"yyyy-mm-dd"),""))=0,"","Copy to tenant: "&amp;IF(ISNUMBER(INDEX('Checks'!$K$4:$K$503,_calc!$E$179)),TEXT(INDEX('Checks'!$K$4:$K$503,_calc!$E$179),"yyyy-mm-dd"),"")&amp;". ")&amp;IF(LEN(IF(LEN(INDEX('Checks'!$P$4:$P$503,_calc!$E$179))=0,"",INDEX('Checks'!$P$4:$P$503,_calc!$E$179)))=0,"",IF(LEN(INDEX('Checks'!$P$4:$P$503,_calc!$E$179))=0,"",INDEX('Checks'!$P$4:$P$503,_calc!$E$179)))))</f>
        <v/>
      </c>
      <c r="G177" s="47">
        <f>IF(_calc!$E$179="","",IF(LEN(INDEX('Checks'!$N$4:$N$503,_calc!$E$179))=0,"",INDEX('Checks'!$N$4:$N$503,_calc!$E$179)))</f>
        <v/>
      </c>
      <c r="K177" s="47">
        <f>IF(_calc!$E$179="","",IF(LEN(INDEX('Checks'!$M$4:$M$503,_calc!$E$179))=0,"",INDEX('Checks'!$M$4:$M$503,_calc!$E$179)))</f>
        <v/>
      </c>
    </row>
    <row r="178">
      <c r="A178" s="47">
        <f>IF(_calc!$E$180="","",IF(LEN(INDEX('Checks'!$B$4:$B$503,_calc!$E$180))=0,"",INDEX('Checks'!$B$4:$B$503,_calc!$E$180))&amp;" – "&amp;IF(LEN(INDEX('Checks'!$A$4:$A$503,_calc!$E$180))=0,"",INDEX('Checks'!$A$4:$A$503,_calc!$E$180)))</f>
        <v/>
      </c>
      <c r="B178" s="47">
        <f>IF(_calc!$E$180="","",IF(ISNUMBER(INDEX('Checks'!$D$4:$D$503,_calc!$E$180)),TEXT(INDEX('Checks'!$D$4:$D$503,_calc!$E$180),"yyyy-mm-dd"),""))</f>
        <v/>
      </c>
      <c r="C178" s="47">
        <f>IF(_calc!$E$180="","",IF(LEN(INDEX('Checks'!$B$4:$B$503,_calc!$E$180))=0,"",INDEX('Checks'!$B$4:$B$503,_calc!$E$180)))</f>
        <v/>
      </c>
      <c r="D178" s="47">
        <f>IF(_calc!$E$180="","",IF(ISNUMBER(INDEX('Checks'!$C$4:$C$503,_calc!$E$180)),TEXT(INDEX('Checks'!$C$4:$C$503,_calc!$E$180),"yyyy-mm-dd"),""))</f>
        <v/>
      </c>
      <c r="E178" s="47">
        <f>IF(_calc!$E$180="","",IF(LEN(INDEX('Checks'!$L$4:$L$503,_calc!$E$180))=0,"",INDEX('Checks'!$L$4:$L$503,_calc!$E$180)))</f>
        <v/>
      </c>
      <c r="F178" s="47">
        <f>IF(_calc!$E$180="","",TRIM(IF(LEN(IF(LEN(INDEX('Checks'!$I$4:$I$503,_calc!$E$180))=0,"",INDEX('Checks'!$I$4:$I$503,_calc!$E$180)))=0,"","Contractor: "&amp;IF(LEN(INDEX('Checks'!$I$4:$I$503,_calc!$E$180))=0,"",INDEX('Checks'!$I$4:$I$503,_calc!$E$180))&amp;". ")&amp;IF(LEN(IF(LEN(INDEX('Checks'!$J$4:$J$503,_calc!$E$180))=0,"",INDEX('Checks'!$J$4:$J$503,_calc!$E$180)))=0,"","Ref: "&amp;IF(LEN(INDEX('Checks'!$J$4:$J$503,_calc!$E$180))=0,"",INDEX('Checks'!$J$4:$J$503,_calc!$E$180))&amp;". ")&amp;IF(LEN(IF(ISNUMBER(INDEX('Checks'!$K$4:$K$503,_calc!$E$180)),TEXT(INDEX('Checks'!$K$4:$K$503,_calc!$E$180),"yyyy-mm-dd"),""))=0,"","Copy to tenant: "&amp;IF(ISNUMBER(INDEX('Checks'!$K$4:$K$503,_calc!$E$180)),TEXT(INDEX('Checks'!$K$4:$K$503,_calc!$E$180),"yyyy-mm-dd"),"")&amp;". ")&amp;IF(LEN(IF(LEN(INDEX('Checks'!$P$4:$P$503,_calc!$E$180))=0,"",INDEX('Checks'!$P$4:$P$503,_calc!$E$180)))=0,"",IF(LEN(INDEX('Checks'!$P$4:$P$503,_calc!$E$180))=0,"",INDEX('Checks'!$P$4:$P$503,_calc!$E$180)))))</f>
        <v/>
      </c>
      <c r="G178" s="47">
        <f>IF(_calc!$E$180="","",IF(LEN(INDEX('Checks'!$N$4:$N$503,_calc!$E$180))=0,"",INDEX('Checks'!$N$4:$N$503,_calc!$E$180)))</f>
        <v/>
      </c>
      <c r="K178" s="47">
        <f>IF(_calc!$E$180="","",IF(LEN(INDEX('Checks'!$M$4:$M$503,_calc!$E$180))=0,"",INDEX('Checks'!$M$4:$M$503,_calc!$E$180)))</f>
        <v/>
      </c>
    </row>
    <row r="179">
      <c r="A179" s="47">
        <f>IF(_calc!$E$181="","",IF(LEN(INDEX('Checks'!$B$4:$B$503,_calc!$E$181))=0,"",INDEX('Checks'!$B$4:$B$503,_calc!$E$181))&amp;" – "&amp;IF(LEN(INDEX('Checks'!$A$4:$A$503,_calc!$E$181))=0,"",INDEX('Checks'!$A$4:$A$503,_calc!$E$181)))</f>
        <v/>
      </c>
      <c r="B179" s="47">
        <f>IF(_calc!$E$181="","",IF(ISNUMBER(INDEX('Checks'!$D$4:$D$503,_calc!$E$181)),TEXT(INDEX('Checks'!$D$4:$D$503,_calc!$E$181),"yyyy-mm-dd"),""))</f>
        <v/>
      </c>
      <c r="C179" s="47">
        <f>IF(_calc!$E$181="","",IF(LEN(INDEX('Checks'!$B$4:$B$503,_calc!$E$181))=0,"",INDEX('Checks'!$B$4:$B$503,_calc!$E$181)))</f>
        <v/>
      </c>
      <c r="D179" s="47">
        <f>IF(_calc!$E$181="","",IF(ISNUMBER(INDEX('Checks'!$C$4:$C$503,_calc!$E$181)),TEXT(INDEX('Checks'!$C$4:$C$503,_calc!$E$181),"yyyy-mm-dd"),""))</f>
        <v/>
      </c>
      <c r="E179" s="47">
        <f>IF(_calc!$E$181="","",IF(LEN(INDEX('Checks'!$L$4:$L$503,_calc!$E$181))=0,"",INDEX('Checks'!$L$4:$L$503,_calc!$E$181)))</f>
        <v/>
      </c>
      <c r="F179" s="47">
        <f>IF(_calc!$E$181="","",TRIM(IF(LEN(IF(LEN(INDEX('Checks'!$I$4:$I$503,_calc!$E$181))=0,"",INDEX('Checks'!$I$4:$I$503,_calc!$E$181)))=0,"","Contractor: "&amp;IF(LEN(INDEX('Checks'!$I$4:$I$503,_calc!$E$181))=0,"",INDEX('Checks'!$I$4:$I$503,_calc!$E$181))&amp;". ")&amp;IF(LEN(IF(LEN(INDEX('Checks'!$J$4:$J$503,_calc!$E$181))=0,"",INDEX('Checks'!$J$4:$J$503,_calc!$E$181)))=0,"","Ref: "&amp;IF(LEN(INDEX('Checks'!$J$4:$J$503,_calc!$E$181))=0,"",INDEX('Checks'!$J$4:$J$503,_calc!$E$181))&amp;". ")&amp;IF(LEN(IF(ISNUMBER(INDEX('Checks'!$K$4:$K$503,_calc!$E$181)),TEXT(INDEX('Checks'!$K$4:$K$503,_calc!$E$181),"yyyy-mm-dd"),""))=0,"","Copy to tenant: "&amp;IF(ISNUMBER(INDEX('Checks'!$K$4:$K$503,_calc!$E$181)),TEXT(INDEX('Checks'!$K$4:$K$503,_calc!$E$181),"yyyy-mm-dd"),"")&amp;". ")&amp;IF(LEN(IF(LEN(INDEX('Checks'!$P$4:$P$503,_calc!$E$181))=0,"",INDEX('Checks'!$P$4:$P$503,_calc!$E$181)))=0,"",IF(LEN(INDEX('Checks'!$P$4:$P$503,_calc!$E$181))=0,"",INDEX('Checks'!$P$4:$P$503,_calc!$E$181)))))</f>
        <v/>
      </c>
      <c r="G179" s="47">
        <f>IF(_calc!$E$181="","",IF(LEN(INDEX('Checks'!$N$4:$N$503,_calc!$E$181))=0,"",INDEX('Checks'!$N$4:$N$503,_calc!$E$181)))</f>
        <v/>
      </c>
      <c r="K179" s="47">
        <f>IF(_calc!$E$181="","",IF(LEN(INDEX('Checks'!$M$4:$M$503,_calc!$E$181))=0,"",INDEX('Checks'!$M$4:$M$503,_calc!$E$181)))</f>
        <v/>
      </c>
    </row>
    <row r="180">
      <c r="A180" s="47">
        <f>IF(_calc!$E$182="","",IF(LEN(INDEX('Checks'!$B$4:$B$503,_calc!$E$182))=0,"",INDEX('Checks'!$B$4:$B$503,_calc!$E$182))&amp;" – "&amp;IF(LEN(INDEX('Checks'!$A$4:$A$503,_calc!$E$182))=0,"",INDEX('Checks'!$A$4:$A$503,_calc!$E$182)))</f>
        <v/>
      </c>
      <c r="B180" s="47">
        <f>IF(_calc!$E$182="","",IF(ISNUMBER(INDEX('Checks'!$D$4:$D$503,_calc!$E$182)),TEXT(INDEX('Checks'!$D$4:$D$503,_calc!$E$182),"yyyy-mm-dd"),""))</f>
        <v/>
      </c>
      <c r="C180" s="47">
        <f>IF(_calc!$E$182="","",IF(LEN(INDEX('Checks'!$B$4:$B$503,_calc!$E$182))=0,"",INDEX('Checks'!$B$4:$B$503,_calc!$E$182)))</f>
        <v/>
      </c>
      <c r="D180" s="47">
        <f>IF(_calc!$E$182="","",IF(ISNUMBER(INDEX('Checks'!$C$4:$C$503,_calc!$E$182)),TEXT(INDEX('Checks'!$C$4:$C$503,_calc!$E$182),"yyyy-mm-dd"),""))</f>
        <v/>
      </c>
      <c r="E180" s="47">
        <f>IF(_calc!$E$182="","",IF(LEN(INDEX('Checks'!$L$4:$L$503,_calc!$E$182))=0,"",INDEX('Checks'!$L$4:$L$503,_calc!$E$182)))</f>
        <v/>
      </c>
      <c r="F180" s="47">
        <f>IF(_calc!$E$182="","",TRIM(IF(LEN(IF(LEN(INDEX('Checks'!$I$4:$I$503,_calc!$E$182))=0,"",INDEX('Checks'!$I$4:$I$503,_calc!$E$182)))=0,"","Contractor: "&amp;IF(LEN(INDEX('Checks'!$I$4:$I$503,_calc!$E$182))=0,"",INDEX('Checks'!$I$4:$I$503,_calc!$E$182))&amp;". ")&amp;IF(LEN(IF(LEN(INDEX('Checks'!$J$4:$J$503,_calc!$E$182))=0,"",INDEX('Checks'!$J$4:$J$503,_calc!$E$182)))=0,"","Ref: "&amp;IF(LEN(INDEX('Checks'!$J$4:$J$503,_calc!$E$182))=0,"",INDEX('Checks'!$J$4:$J$503,_calc!$E$182))&amp;". ")&amp;IF(LEN(IF(ISNUMBER(INDEX('Checks'!$K$4:$K$503,_calc!$E$182)),TEXT(INDEX('Checks'!$K$4:$K$503,_calc!$E$182),"yyyy-mm-dd"),""))=0,"","Copy to tenant: "&amp;IF(ISNUMBER(INDEX('Checks'!$K$4:$K$503,_calc!$E$182)),TEXT(INDEX('Checks'!$K$4:$K$503,_calc!$E$182),"yyyy-mm-dd"),"")&amp;". ")&amp;IF(LEN(IF(LEN(INDEX('Checks'!$P$4:$P$503,_calc!$E$182))=0,"",INDEX('Checks'!$P$4:$P$503,_calc!$E$182)))=0,"",IF(LEN(INDEX('Checks'!$P$4:$P$503,_calc!$E$182))=0,"",INDEX('Checks'!$P$4:$P$503,_calc!$E$182)))))</f>
        <v/>
      </c>
      <c r="G180" s="47">
        <f>IF(_calc!$E$182="","",IF(LEN(INDEX('Checks'!$N$4:$N$503,_calc!$E$182))=0,"",INDEX('Checks'!$N$4:$N$503,_calc!$E$182)))</f>
        <v/>
      </c>
      <c r="K180" s="47">
        <f>IF(_calc!$E$182="","",IF(LEN(INDEX('Checks'!$M$4:$M$503,_calc!$E$182))=0,"",INDEX('Checks'!$M$4:$M$503,_calc!$E$182)))</f>
        <v/>
      </c>
    </row>
    <row r="181">
      <c r="A181" s="47">
        <f>IF(_calc!$E$183="","",IF(LEN(INDEX('Checks'!$B$4:$B$503,_calc!$E$183))=0,"",INDEX('Checks'!$B$4:$B$503,_calc!$E$183))&amp;" – "&amp;IF(LEN(INDEX('Checks'!$A$4:$A$503,_calc!$E$183))=0,"",INDEX('Checks'!$A$4:$A$503,_calc!$E$183)))</f>
        <v/>
      </c>
      <c r="B181" s="47">
        <f>IF(_calc!$E$183="","",IF(ISNUMBER(INDEX('Checks'!$D$4:$D$503,_calc!$E$183)),TEXT(INDEX('Checks'!$D$4:$D$503,_calc!$E$183),"yyyy-mm-dd"),""))</f>
        <v/>
      </c>
      <c r="C181" s="47">
        <f>IF(_calc!$E$183="","",IF(LEN(INDEX('Checks'!$B$4:$B$503,_calc!$E$183))=0,"",INDEX('Checks'!$B$4:$B$503,_calc!$E$183)))</f>
        <v/>
      </c>
      <c r="D181" s="47">
        <f>IF(_calc!$E$183="","",IF(ISNUMBER(INDEX('Checks'!$C$4:$C$503,_calc!$E$183)),TEXT(INDEX('Checks'!$C$4:$C$503,_calc!$E$183),"yyyy-mm-dd"),""))</f>
        <v/>
      </c>
      <c r="E181" s="47">
        <f>IF(_calc!$E$183="","",IF(LEN(INDEX('Checks'!$L$4:$L$503,_calc!$E$183))=0,"",INDEX('Checks'!$L$4:$L$503,_calc!$E$183)))</f>
        <v/>
      </c>
      <c r="F181" s="47">
        <f>IF(_calc!$E$183="","",TRIM(IF(LEN(IF(LEN(INDEX('Checks'!$I$4:$I$503,_calc!$E$183))=0,"",INDEX('Checks'!$I$4:$I$503,_calc!$E$183)))=0,"","Contractor: "&amp;IF(LEN(INDEX('Checks'!$I$4:$I$503,_calc!$E$183))=0,"",INDEX('Checks'!$I$4:$I$503,_calc!$E$183))&amp;". ")&amp;IF(LEN(IF(LEN(INDEX('Checks'!$J$4:$J$503,_calc!$E$183))=0,"",INDEX('Checks'!$J$4:$J$503,_calc!$E$183)))=0,"","Ref: "&amp;IF(LEN(INDEX('Checks'!$J$4:$J$503,_calc!$E$183))=0,"",INDEX('Checks'!$J$4:$J$503,_calc!$E$183))&amp;". ")&amp;IF(LEN(IF(ISNUMBER(INDEX('Checks'!$K$4:$K$503,_calc!$E$183)),TEXT(INDEX('Checks'!$K$4:$K$503,_calc!$E$183),"yyyy-mm-dd"),""))=0,"","Copy to tenant: "&amp;IF(ISNUMBER(INDEX('Checks'!$K$4:$K$503,_calc!$E$183)),TEXT(INDEX('Checks'!$K$4:$K$503,_calc!$E$183),"yyyy-mm-dd"),"")&amp;". ")&amp;IF(LEN(IF(LEN(INDEX('Checks'!$P$4:$P$503,_calc!$E$183))=0,"",INDEX('Checks'!$P$4:$P$503,_calc!$E$183)))=0,"",IF(LEN(INDEX('Checks'!$P$4:$P$503,_calc!$E$183))=0,"",INDEX('Checks'!$P$4:$P$503,_calc!$E$183)))))</f>
        <v/>
      </c>
      <c r="G181" s="47">
        <f>IF(_calc!$E$183="","",IF(LEN(INDEX('Checks'!$N$4:$N$503,_calc!$E$183))=0,"",INDEX('Checks'!$N$4:$N$503,_calc!$E$183)))</f>
        <v/>
      </c>
      <c r="K181" s="47">
        <f>IF(_calc!$E$183="","",IF(LEN(INDEX('Checks'!$M$4:$M$503,_calc!$E$183))=0,"",INDEX('Checks'!$M$4:$M$503,_calc!$E$183)))</f>
        <v/>
      </c>
    </row>
    <row r="182">
      <c r="A182" s="47">
        <f>IF(_calc!$E$184="","",IF(LEN(INDEX('Checks'!$B$4:$B$503,_calc!$E$184))=0,"",INDEX('Checks'!$B$4:$B$503,_calc!$E$184))&amp;" – "&amp;IF(LEN(INDEX('Checks'!$A$4:$A$503,_calc!$E$184))=0,"",INDEX('Checks'!$A$4:$A$503,_calc!$E$184)))</f>
        <v/>
      </c>
      <c r="B182" s="47">
        <f>IF(_calc!$E$184="","",IF(ISNUMBER(INDEX('Checks'!$D$4:$D$503,_calc!$E$184)),TEXT(INDEX('Checks'!$D$4:$D$503,_calc!$E$184),"yyyy-mm-dd"),""))</f>
        <v/>
      </c>
      <c r="C182" s="47">
        <f>IF(_calc!$E$184="","",IF(LEN(INDEX('Checks'!$B$4:$B$503,_calc!$E$184))=0,"",INDEX('Checks'!$B$4:$B$503,_calc!$E$184)))</f>
        <v/>
      </c>
      <c r="D182" s="47">
        <f>IF(_calc!$E$184="","",IF(ISNUMBER(INDEX('Checks'!$C$4:$C$503,_calc!$E$184)),TEXT(INDEX('Checks'!$C$4:$C$503,_calc!$E$184),"yyyy-mm-dd"),""))</f>
        <v/>
      </c>
      <c r="E182" s="47">
        <f>IF(_calc!$E$184="","",IF(LEN(INDEX('Checks'!$L$4:$L$503,_calc!$E$184))=0,"",INDEX('Checks'!$L$4:$L$503,_calc!$E$184)))</f>
        <v/>
      </c>
      <c r="F182" s="47">
        <f>IF(_calc!$E$184="","",TRIM(IF(LEN(IF(LEN(INDEX('Checks'!$I$4:$I$503,_calc!$E$184))=0,"",INDEX('Checks'!$I$4:$I$503,_calc!$E$184)))=0,"","Contractor: "&amp;IF(LEN(INDEX('Checks'!$I$4:$I$503,_calc!$E$184))=0,"",INDEX('Checks'!$I$4:$I$503,_calc!$E$184))&amp;". ")&amp;IF(LEN(IF(LEN(INDEX('Checks'!$J$4:$J$503,_calc!$E$184))=0,"",INDEX('Checks'!$J$4:$J$503,_calc!$E$184)))=0,"","Ref: "&amp;IF(LEN(INDEX('Checks'!$J$4:$J$503,_calc!$E$184))=0,"",INDEX('Checks'!$J$4:$J$503,_calc!$E$184))&amp;". ")&amp;IF(LEN(IF(ISNUMBER(INDEX('Checks'!$K$4:$K$503,_calc!$E$184)),TEXT(INDEX('Checks'!$K$4:$K$503,_calc!$E$184),"yyyy-mm-dd"),""))=0,"","Copy to tenant: "&amp;IF(ISNUMBER(INDEX('Checks'!$K$4:$K$503,_calc!$E$184)),TEXT(INDEX('Checks'!$K$4:$K$503,_calc!$E$184),"yyyy-mm-dd"),"")&amp;". ")&amp;IF(LEN(IF(LEN(INDEX('Checks'!$P$4:$P$503,_calc!$E$184))=0,"",INDEX('Checks'!$P$4:$P$503,_calc!$E$184)))=0,"",IF(LEN(INDEX('Checks'!$P$4:$P$503,_calc!$E$184))=0,"",INDEX('Checks'!$P$4:$P$503,_calc!$E$184)))))</f>
        <v/>
      </c>
      <c r="G182" s="47">
        <f>IF(_calc!$E$184="","",IF(LEN(INDEX('Checks'!$N$4:$N$503,_calc!$E$184))=0,"",INDEX('Checks'!$N$4:$N$503,_calc!$E$184)))</f>
        <v/>
      </c>
      <c r="K182" s="47">
        <f>IF(_calc!$E$184="","",IF(LEN(INDEX('Checks'!$M$4:$M$503,_calc!$E$184))=0,"",INDEX('Checks'!$M$4:$M$503,_calc!$E$184)))</f>
        <v/>
      </c>
    </row>
    <row r="183">
      <c r="A183" s="47">
        <f>IF(_calc!$E$185="","",IF(LEN(INDEX('Checks'!$B$4:$B$503,_calc!$E$185))=0,"",INDEX('Checks'!$B$4:$B$503,_calc!$E$185))&amp;" – "&amp;IF(LEN(INDEX('Checks'!$A$4:$A$503,_calc!$E$185))=0,"",INDEX('Checks'!$A$4:$A$503,_calc!$E$185)))</f>
        <v/>
      </c>
      <c r="B183" s="47">
        <f>IF(_calc!$E$185="","",IF(ISNUMBER(INDEX('Checks'!$D$4:$D$503,_calc!$E$185)),TEXT(INDEX('Checks'!$D$4:$D$503,_calc!$E$185),"yyyy-mm-dd"),""))</f>
        <v/>
      </c>
      <c r="C183" s="47">
        <f>IF(_calc!$E$185="","",IF(LEN(INDEX('Checks'!$B$4:$B$503,_calc!$E$185))=0,"",INDEX('Checks'!$B$4:$B$503,_calc!$E$185)))</f>
        <v/>
      </c>
      <c r="D183" s="47">
        <f>IF(_calc!$E$185="","",IF(ISNUMBER(INDEX('Checks'!$C$4:$C$503,_calc!$E$185)),TEXT(INDEX('Checks'!$C$4:$C$503,_calc!$E$185),"yyyy-mm-dd"),""))</f>
        <v/>
      </c>
      <c r="E183" s="47">
        <f>IF(_calc!$E$185="","",IF(LEN(INDEX('Checks'!$L$4:$L$503,_calc!$E$185))=0,"",INDEX('Checks'!$L$4:$L$503,_calc!$E$185)))</f>
        <v/>
      </c>
      <c r="F183" s="47">
        <f>IF(_calc!$E$185="","",TRIM(IF(LEN(IF(LEN(INDEX('Checks'!$I$4:$I$503,_calc!$E$185))=0,"",INDEX('Checks'!$I$4:$I$503,_calc!$E$185)))=0,"","Contractor: "&amp;IF(LEN(INDEX('Checks'!$I$4:$I$503,_calc!$E$185))=0,"",INDEX('Checks'!$I$4:$I$503,_calc!$E$185))&amp;". ")&amp;IF(LEN(IF(LEN(INDEX('Checks'!$J$4:$J$503,_calc!$E$185))=0,"",INDEX('Checks'!$J$4:$J$503,_calc!$E$185)))=0,"","Ref: "&amp;IF(LEN(INDEX('Checks'!$J$4:$J$503,_calc!$E$185))=0,"",INDEX('Checks'!$J$4:$J$503,_calc!$E$185))&amp;". ")&amp;IF(LEN(IF(ISNUMBER(INDEX('Checks'!$K$4:$K$503,_calc!$E$185)),TEXT(INDEX('Checks'!$K$4:$K$503,_calc!$E$185),"yyyy-mm-dd"),""))=0,"","Copy to tenant: "&amp;IF(ISNUMBER(INDEX('Checks'!$K$4:$K$503,_calc!$E$185)),TEXT(INDEX('Checks'!$K$4:$K$503,_calc!$E$185),"yyyy-mm-dd"),"")&amp;". ")&amp;IF(LEN(IF(LEN(INDEX('Checks'!$P$4:$P$503,_calc!$E$185))=0,"",INDEX('Checks'!$P$4:$P$503,_calc!$E$185)))=0,"",IF(LEN(INDEX('Checks'!$P$4:$P$503,_calc!$E$185))=0,"",INDEX('Checks'!$P$4:$P$503,_calc!$E$185)))))</f>
        <v/>
      </c>
      <c r="G183" s="47">
        <f>IF(_calc!$E$185="","",IF(LEN(INDEX('Checks'!$N$4:$N$503,_calc!$E$185))=0,"",INDEX('Checks'!$N$4:$N$503,_calc!$E$185)))</f>
        <v/>
      </c>
      <c r="K183" s="47">
        <f>IF(_calc!$E$185="","",IF(LEN(INDEX('Checks'!$M$4:$M$503,_calc!$E$185))=0,"",INDEX('Checks'!$M$4:$M$503,_calc!$E$185)))</f>
        <v/>
      </c>
    </row>
    <row r="184">
      <c r="A184" s="47">
        <f>IF(_calc!$E$186="","",IF(LEN(INDEX('Checks'!$B$4:$B$503,_calc!$E$186))=0,"",INDEX('Checks'!$B$4:$B$503,_calc!$E$186))&amp;" – "&amp;IF(LEN(INDEX('Checks'!$A$4:$A$503,_calc!$E$186))=0,"",INDEX('Checks'!$A$4:$A$503,_calc!$E$186)))</f>
        <v/>
      </c>
      <c r="B184" s="47">
        <f>IF(_calc!$E$186="","",IF(ISNUMBER(INDEX('Checks'!$D$4:$D$503,_calc!$E$186)),TEXT(INDEX('Checks'!$D$4:$D$503,_calc!$E$186),"yyyy-mm-dd"),""))</f>
        <v/>
      </c>
      <c r="C184" s="47">
        <f>IF(_calc!$E$186="","",IF(LEN(INDEX('Checks'!$B$4:$B$503,_calc!$E$186))=0,"",INDEX('Checks'!$B$4:$B$503,_calc!$E$186)))</f>
        <v/>
      </c>
      <c r="D184" s="47">
        <f>IF(_calc!$E$186="","",IF(ISNUMBER(INDEX('Checks'!$C$4:$C$503,_calc!$E$186)),TEXT(INDEX('Checks'!$C$4:$C$503,_calc!$E$186),"yyyy-mm-dd"),""))</f>
        <v/>
      </c>
      <c r="E184" s="47">
        <f>IF(_calc!$E$186="","",IF(LEN(INDEX('Checks'!$L$4:$L$503,_calc!$E$186))=0,"",INDEX('Checks'!$L$4:$L$503,_calc!$E$186)))</f>
        <v/>
      </c>
      <c r="F184" s="47">
        <f>IF(_calc!$E$186="","",TRIM(IF(LEN(IF(LEN(INDEX('Checks'!$I$4:$I$503,_calc!$E$186))=0,"",INDEX('Checks'!$I$4:$I$503,_calc!$E$186)))=0,"","Contractor: "&amp;IF(LEN(INDEX('Checks'!$I$4:$I$503,_calc!$E$186))=0,"",INDEX('Checks'!$I$4:$I$503,_calc!$E$186))&amp;". ")&amp;IF(LEN(IF(LEN(INDEX('Checks'!$J$4:$J$503,_calc!$E$186))=0,"",INDEX('Checks'!$J$4:$J$503,_calc!$E$186)))=0,"","Ref: "&amp;IF(LEN(INDEX('Checks'!$J$4:$J$503,_calc!$E$186))=0,"",INDEX('Checks'!$J$4:$J$503,_calc!$E$186))&amp;". ")&amp;IF(LEN(IF(ISNUMBER(INDEX('Checks'!$K$4:$K$503,_calc!$E$186)),TEXT(INDEX('Checks'!$K$4:$K$503,_calc!$E$186),"yyyy-mm-dd"),""))=0,"","Copy to tenant: "&amp;IF(ISNUMBER(INDEX('Checks'!$K$4:$K$503,_calc!$E$186)),TEXT(INDEX('Checks'!$K$4:$K$503,_calc!$E$186),"yyyy-mm-dd"),"")&amp;". ")&amp;IF(LEN(IF(LEN(INDEX('Checks'!$P$4:$P$503,_calc!$E$186))=0,"",INDEX('Checks'!$P$4:$P$503,_calc!$E$186)))=0,"",IF(LEN(INDEX('Checks'!$P$4:$P$503,_calc!$E$186))=0,"",INDEX('Checks'!$P$4:$P$503,_calc!$E$186)))))</f>
        <v/>
      </c>
      <c r="G184" s="47">
        <f>IF(_calc!$E$186="","",IF(LEN(INDEX('Checks'!$N$4:$N$503,_calc!$E$186))=0,"",INDEX('Checks'!$N$4:$N$503,_calc!$E$186)))</f>
        <v/>
      </c>
      <c r="K184" s="47">
        <f>IF(_calc!$E$186="","",IF(LEN(INDEX('Checks'!$M$4:$M$503,_calc!$E$186))=0,"",INDEX('Checks'!$M$4:$M$503,_calc!$E$186)))</f>
        <v/>
      </c>
    </row>
    <row r="185">
      <c r="A185" s="47">
        <f>IF(_calc!$E$187="","",IF(LEN(INDEX('Checks'!$B$4:$B$503,_calc!$E$187))=0,"",INDEX('Checks'!$B$4:$B$503,_calc!$E$187))&amp;" – "&amp;IF(LEN(INDEX('Checks'!$A$4:$A$503,_calc!$E$187))=0,"",INDEX('Checks'!$A$4:$A$503,_calc!$E$187)))</f>
        <v/>
      </c>
      <c r="B185" s="47">
        <f>IF(_calc!$E$187="","",IF(ISNUMBER(INDEX('Checks'!$D$4:$D$503,_calc!$E$187)),TEXT(INDEX('Checks'!$D$4:$D$503,_calc!$E$187),"yyyy-mm-dd"),""))</f>
        <v/>
      </c>
      <c r="C185" s="47">
        <f>IF(_calc!$E$187="","",IF(LEN(INDEX('Checks'!$B$4:$B$503,_calc!$E$187))=0,"",INDEX('Checks'!$B$4:$B$503,_calc!$E$187)))</f>
        <v/>
      </c>
      <c r="D185" s="47">
        <f>IF(_calc!$E$187="","",IF(ISNUMBER(INDEX('Checks'!$C$4:$C$503,_calc!$E$187)),TEXT(INDEX('Checks'!$C$4:$C$503,_calc!$E$187),"yyyy-mm-dd"),""))</f>
        <v/>
      </c>
      <c r="E185" s="47">
        <f>IF(_calc!$E$187="","",IF(LEN(INDEX('Checks'!$L$4:$L$503,_calc!$E$187))=0,"",INDEX('Checks'!$L$4:$L$503,_calc!$E$187)))</f>
        <v/>
      </c>
      <c r="F185" s="47">
        <f>IF(_calc!$E$187="","",TRIM(IF(LEN(IF(LEN(INDEX('Checks'!$I$4:$I$503,_calc!$E$187))=0,"",INDEX('Checks'!$I$4:$I$503,_calc!$E$187)))=0,"","Contractor: "&amp;IF(LEN(INDEX('Checks'!$I$4:$I$503,_calc!$E$187))=0,"",INDEX('Checks'!$I$4:$I$503,_calc!$E$187))&amp;". ")&amp;IF(LEN(IF(LEN(INDEX('Checks'!$J$4:$J$503,_calc!$E$187))=0,"",INDEX('Checks'!$J$4:$J$503,_calc!$E$187)))=0,"","Ref: "&amp;IF(LEN(INDEX('Checks'!$J$4:$J$503,_calc!$E$187))=0,"",INDEX('Checks'!$J$4:$J$503,_calc!$E$187))&amp;". ")&amp;IF(LEN(IF(ISNUMBER(INDEX('Checks'!$K$4:$K$503,_calc!$E$187)),TEXT(INDEX('Checks'!$K$4:$K$503,_calc!$E$187),"yyyy-mm-dd"),""))=0,"","Copy to tenant: "&amp;IF(ISNUMBER(INDEX('Checks'!$K$4:$K$503,_calc!$E$187)),TEXT(INDEX('Checks'!$K$4:$K$503,_calc!$E$187),"yyyy-mm-dd"),"")&amp;". ")&amp;IF(LEN(IF(LEN(INDEX('Checks'!$P$4:$P$503,_calc!$E$187))=0,"",INDEX('Checks'!$P$4:$P$503,_calc!$E$187)))=0,"",IF(LEN(INDEX('Checks'!$P$4:$P$503,_calc!$E$187))=0,"",INDEX('Checks'!$P$4:$P$503,_calc!$E$187)))))</f>
        <v/>
      </c>
      <c r="G185" s="47">
        <f>IF(_calc!$E$187="","",IF(LEN(INDEX('Checks'!$N$4:$N$503,_calc!$E$187))=0,"",INDEX('Checks'!$N$4:$N$503,_calc!$E$187)))</f>
        <v/>
      </c>
      <c r="K185" s="47">
        <f>IF(_calc!$E$187="","",IF(LEN(INDEX('Checks'!$M$4:$M$503,_calc!$E$187))=0,"",INDEX('Checks'!$M$4:$M$503,_calc!$E$187)))</f>
        <v/>
      </c>
    </row>
    <row r="186">
      <c r="A186" s="47">
        <f>IF(_calc!$E$188="","",IF(LEN(INDEX('Checks'!$B$4:$B$503,_calc!$E$188))=0,"",INDEX('Checks'!$B$4:$B$503,_calc!$E$188))&amp;" – "&amp;IF(LEN(INDEX('Checks'!$A$4:$A$503,_calc!$E$188))=0,"",INDEX('Checks'!$A$4:$A$503,_calc!$E$188)))</f>
        <v/>
      </c>
      <c r="B186" s="47">
        <f>IF(_calc!$E$188="","",IF(ISNUMBER(INDEX('Checks'!$D$4:$D$503,_calc!$E$188)),TEXT(INDEX('Checks'!$D$4:$D$503,_calc!$E$188),"yyyy-mm-dd"),""))</f>
        <v/>
      </c>
      <c r="C186" s="47">
        <f>IF(_calc!$E$188="","",IF(LEN(INDEX('Checks'!$B$4:$B$503,_calc!$E$188))=0,"",INDEX('Checks'!$B$4:$B$503,_calc!$E$188)))</f>
        <v/>
      </c>
      <c r="D186" s="47">
        <f>IF(_calc!$E$188="","",IF(ISNUMBER(INDEX('Checks'!$C$4:$C$503,_calc!$E$188)),TEXT(INDEX('Checks'!$C$4:$C$503,_calc!$E$188),"yyyy-mm-dd"),""))</f>
        <v/>
      </c>
      <c r="E186" s="47">
        <f>IF(_calc!$E$188="","",IF(LEN(INDEX('Checks'!$L$4:$L$503,_calc!$E$188))=0,"",INDEX('Checks'!$L$4:$L$503,_calc!$E$188)))</f>
        <v/>
      </c>
      <c r="F186" s="47">
        <f>IF(_calc!$E$188="","",TRIM(IF(LEN(IF(LEN(INDEX('Checks'!$I$4:$I$503,_calc!$E$188))=0,"",INDEX('Checks'!$I$4:$I$503,_calc!$E$188)))=0,"","Contractor: "&amp;IF(LEN(INDEX('Checks'!$I$4:$I$503,_calc!$E$188))=0,"",INDEX('Checks'!$I$4:$I$503,_calc!$E$188))&amp;". ")&amp;IF(LEN(IF(LEN(INDEX('Checks'!$J$4:$J$503,_calc!$E$188))=0,"",INDEX('Checks'!$J$4:$J$503,_calc!$E$188)))=0,"","Ref: "&amp;IF(LEN(INDEX('Checks'!$J$4:$J$503,_calc!$E$188))=0,"",INDEX('Checks'!$J$4:$J$503,_calc!$E$188))&amp;". ")&amp;IF(LEN(IF(ISNUMBER(INDEX('Checks'!$K$4:$K$503,_calc!$E$188)),TEXT(INDEX('Checks'!$K$4:$K$503,_calc!$E$188),"yyyy-mm-dd"),""))=0,"","Copy to tenant: "&amp;IF(ISNUMBER(INDEX('Checks'!$K$4:$K$503,_calc!$E$188)),TEXT(INDEX('Checks'!$K$4:$K$503,_calc!$E$188),"yyyy-mm-dd"),"")&amp;". ")&amp;IF(LEN(IF(LEN(INDEX('Checks'!$P$4:$P$503,_calc!$E$188))=0,"",INDEX('Checks'!$P$4:$P$503,_calc!$E$188)))=0,"",IF(LEN(INDEX('Checks'!$P$4:$P$503,_calc!$E$188))=0,"",INDEX('Checks'!$P$4:$P$503,_calc!$E$188)))))</f>
        <v/>
      </c>
      <c r="G186" s="47">
        <f>IF(_calc!$E$188="","",IF(LEN(INDEX('Checks'!$N$4:$N$503,_calc!$E$188))=0,"",INDEX('Checks'!$N$4:$N$503,_calc!$E$188)))</f>
        <v/>
      </c>
      <c r="K186" s="47">
        <f>IF(_calc!$E$188="","",IF(LEN(INDEX('Checks'!$M$4:$M$503,_calc!$E$188))=0,"",INDEX('Checks'!$M$4:$M$503,_calc!$E$188)))</f>
        <v/>
      </c>
    </row>
    <row r="187">
      <c r="A187" s="47">
        <f>IF(_calc!$E$189="","",IF(LEN(INDEX('Checks'!$B$4:$B$503,_calc!$E$189))=0,"",INDEX('Checks'!$B$4:$B$503,_calc!$E$189))&amp;" – "&amp;IF(LEN(INDEX('Checks'!$A$4:$A$503,_calc!$E$189))=0,"",INDEX('Checks'!$A$4:$A$503,_calc!$E$189)))</f>
        <v/>
      </c>
      <c r="B187" s="47">
        <f>IF(_calc!$E$189="","",IF(ISNUMBER(INDEX('Checks'!$D$4:$D$503,_calc!$E$189)),TEXT(INDEX('Checks'!$D$4:$D$503,_calc!$E$189),"yyyy-mm-dd"),""))</f>
        <v/>
      </c>
      <c r="C187" s="47">
        <f>IF(_calc!$E$189="","",IF(LEN(INDEX('Checks'!$B$4:$B$503,_calc!$E$189))=0,"",INDEX('Checks'!$B$4:$B$503,_calc!$E$189)))</f>
        <v/>
      </c>
      <c r="D187" s="47">
        <f>IF(_calc!$E$189="","",IF(ISNUMBER(INDEX('Checks'!$C$4:$C$503,_calc!$E$189)),TEXT(INDEX('Checks'!$C$4:$C$503,_calc!$E$189),"yyyy-mm-dd"),""))</f>
        <v/>
      </c>
      <c r="E187" s="47">
        <f>IF(_calc!$E$189="","",IF(LEN(INDEX('Checks'!$L$4:$L$503,_calc!$E$189))=0,"",INDEX('Checks'!$L$4:$L$503,_calc!$E$189)))</f>
        <v/>
      </c>
      <c r="F187" s="47">
        <f>IF(_calc!$E$189="","",TRIM(IF(LEN(IF(LEN(INDEX('Checks'!$I$4:$I$503,_calc!$E$189))=0,"",INDEX('Checks'!$I$4:$I$503,_calc!$E$189)))=0,"","Contractor: "&amp;IF(LEN(INDEX('Checks'!$I$4:$I$503,_calc!$E$189))=0,"",INDEX('Checks'!$I$4:$I$503,_calc!$E$189))&amp;". ")&amp;IF(LEN(IF(LEN(INDEX('Checks'!$J$4:$J$503,_calc!$E$189))=0,"",INDEX('Checks'!$J$4:$J$503,_calc!$E$189)))=0,"","Ref: "&amp;IF(LEN(INDEX('Checks'!$J$4:$J$503,_calc!$E$189))=0,"",INDEX('Checks'!$J$4:$J$503,_calc!$E$189))&amp;". ")&amp;IF(LEN(IF(ISNUMBER(INDEX('Checks'!$K$4:$K$503,_calc!$E$189)),TEXT(INDEX('Checks'!$K$4:$K$503,_calc!$E$189),"yyyy-mm-dd"),""))=0,"","Copy to tenant: "&amp;IF(ISNUMBER(INDEX('Checks'!$K$4:$K$503,_calc!$E$189)),TEXT(INDEX('Checks'!$K$4:$K$503,_calc!$E$189),"yyyy-mm-dd"),"")&amp;". ")&amp;IF(LEN(IF(LEN(INDEX('Checks'!$P$4:$P$503,_calc!$E$189))=0,"",INDEX('Checks'!$P$4:$P$503,_calc!$E$189)))=0,"",IF(LEN(INDEX('Checks'!$P$4:$P$503,_calc!$E$189))=0,"",INDEX('Checks'!$P$4:$P$503,_calc!$E$189)))))</f>
        <v/>
      </c>
      <c r="G187" s="47">
        <f>IF(_calc!$E$189="","",IF(LEN(INDEX('Checks'!$N$4:$N$503,_calc!$E$189))=0,"",INDEX('Checks'!$N$4:$N$503,_calc!$E$189)))</f>
        <v/>
      </c>
      <c r="K187" s="47">
        <f>IF(_calc!$E$189="","",IF(LEN(INDEX('Checks'!$M$4:$M$503,_calc!$E$189))=0,"",INDEX('Checks'!$M$4:$M$503,_calc!$E$189)))</f>
        <v/>
      </c>
    </row>
    <row r="188">
      <c r="A188" s="47">
        <f>IF(_calc!$E$190="","",IF(LEN(INDEX('Checks'!$B$4:$B$503,_calc!$E$190))=0,"",INDEX('Checks'!$B$4:$B$503,_calc!$E$190))&amp;" – "&amp;IF(LEN(INDEX('Checks'!$A$4:$A$503,_calc!$E$190))=0,"",INDEX('Checks'!$A$4:$A$503,_calc!$E$190)))</f>
        <v/>
      </c>
      <c r="B188" s="47">
        <f>IF(_calc!$E$190="","",IF(ISNUMBER(INDEX('Checks'!$D$4:$D$503,_calc!$E$190)),TEXT(INDEX('Checks'!$D$4:$D$503,_calc!$E$190),"yyyy-mm-dd"),""))</f>
        <v/>
      </c>
      <c r="C188" s="47">
        <f>IF(_calc!$E$190="","",IF(LEN(INDEX('Checks'!$B$4:$B$503,_calc!$E$190))=0,"",INDEX('Checks'!$B$4:$B$503,_calc!$E$190)))</f>
        <v/>
      </c>
      <c r="D188" s="47">
        <f>IF(_calc!$E$190="","",IF(ISNUMBER(INDEX('Checks'!$C$4:$C$503,_calc!$E$190)),TEXT(INDEX('Checks'!$C$4:$C$503,_calc!$E$190),"yyyy-mm-dd"),""))</f>
        <v/>
      </c>
      <c r="E188" s="47">
        <f>IF(_calc!$E$190="","",IF(LEN(INDEX('Checks'!$L$4:$L$503,_calc!$E$190))=0,"",INDEX('Checks'!$L$4:$L$503,_calc!$E$190)))</f>
        <v/>
      </c>
      <c r="F188" s="47">
        <f>IF(_calc!$E$190="","",TRIM(IF(LEN(IF(LEN(INDEX('Checks'!$I$4:$I$503,_calc!$E$190))=0,"",INDEX('Checks'!$I$4:$I$503,_calc!$E$190)))=0,"","Contractor: "&amp;IF(LEN(INDEX('Checks'!$I$4:$I$503,_calc!$E$190))=0,"",INDEX('Checks'!$I$4:$I$503,_calc!$E$190))&amp;". ")&amp;IF(LEN(IF(LEN(INDEX('Checks'!$J$4:$J$503,_calc!$E$190))=0,"",INDEX('Checks'!$J$4:$J$503,_calc!$E$190)))=0,"","Ref: "&amp;IF(LEN(INDEX('Checks'!$J$4:$J$503,_calc!$E$190))=0,"",INDEX('Checks'!$J$4:$J$503,_calc!$E$190))&amp;". ")&amp;IF(LEN(IF(ISNUMBER(INDEX('Checks'!$K$4:$K$503,_calc!$E$190)),TEXT(INDEX('Checks'!$K$4:$K$503,_calc!$E$190),"yyyy-mm-dd"),""))=0,"","Copy to tenant: "&amp;IF(ISNUMBER(INDEX('Checks'!$K$4:$K$503,_calc!$E$190)),TEXT(INDEX('Checks'!$K$4:$K$503,_calc!$E$190),"yyyy-mm-dd"),"")&amp;". ")&amp;IF(LEN(IF(LEN(INDEX('Checks'!$P$4:$P$503,_calc!$E$190))=0,"",INDEX('Checks'!$P$4:$P$503,_calc!$E$190)))=0,"",IF(LEN(INDEX('Checks'!$P$4:$P$503,_calc!$E$190))=0,"",INDEX('Checks'!$P$4:$P$503,_calc!$E$190)))))</f>
        <v/>
      </c>
      <c r="G188" s="47">
        <f>IF(_calc!$E$190="","",IF(LEN(INDEX('Checks'!$N$4:$N$503,_calc!$E$190))=0,"",INDEX('Checks'!$N$4:$N$503,_calc!$E$190)))</f>
        <v/>
      </c>
      <c r="K188" s="47">
        <f>IF(_calc!$E$190="","",IF(LEN(INDEX('Checks'!$M$4:$M$503,_calc!$E$190))=0,"",INDEX('Checks'!$M$4:$M$503,_calc!$E$190)))</f>
        <v/>
      </c>
    </row>
    <row r="189">
      <c r="A189" s="47">
        <f>IF(_calc!$E$191="","",IF(LEN(INDEX('Checks'!$B$4:$B$503,_calc!$E$191))=0,"",INDEX('Checks'!$B$4:$B$503,_calc!$E$191))&amp;" – "&amp;IF(LEN(INDEX('Checks'!$A$4:$A$503,_calc!$E$191))=0,"",INDEX('Checks'!$A$4:$A$503,_calc!$E$191)))</f>
        <v/>
      </c>
      <c r="B189" s="47">
        <f>IF(_calc!$E$191="","",IF(ISNUMBER(INDEX('Checks'!$D$4:$D$503,_calc!$E$191)),TEXT(INDEX('Checks'!$D$4:$D$503,_calc!$E$191),"yyyy-mm-dd"),""))</f>
        <v/>
      </c>
      <c r="C189" s="47">
        <f>IF(_calc!$E$191="","",IF(LEN(INDEX('Checks'!$B$4:$B$503,_calc!$E$191))=0,"",INDEX('Checks'!$B$4:$B$503,_calc!$E$191)))</f>
        <v/>
      </c>
      <c r="D189" s="47">
        <f>IF(_calc!$E$191="","",IF(ISNUMBER(INDEX('Checks'!$C$4:$C$503,_calc!$E$191)),TEXT(INDEX('Checks'!$C$4:$C$503,_calc!$E$191),"yyyy-mm-dd"),""))</f>
        <v/>
      </c>
      <c r="E189" s="47">
        <f>IF(_calc!$E$191="","",IF(LEN(INDEX('Checks'!$L$4:$L$503,_calc!$E$191))=0,"",INDEX('Checks'!$L$4:$L$503,_calc!$E$191)))</f>
        <v/>
      </c>
      <c r="F189" s="47">
        <f>IF(_calc!$E$191="","",TRIM(IF(LEN(IF(LEN(INDEX('Checks'!$I$4:$I$503,_calc!$E$191))=0,"",INDEX('Checks'!$I$4:$I$503,_calc!$E$191)))=0,"","Contractor: "&amp;IF(LEN(INDEX('Checks'!$I$4:$I$503,_calc!$E$191))=0,"",INDEX('Checks'!$I$4:$I$503,_calc!$E$191))&amp;". ")&amp;IF(LEN(IF(LEN(INDEX('Checks'!$J$4:$J$503,_calc!$E$191))=0,"",INDEX('Checks'!$J$4:$J$503,_calc!$E$191)))=0,"","Ref: "&amp;IF(LEN(INDEX('Checks'!$J$4:$J$503,_calc!$E$191))=0,"",INDEX('Checks'!$J$4:$J$503,_calc!$E$191))&amp;". ")&amp;IF(LEN(IF(ISNUMBER(INDEX('Checks'!$K$4:$K$503,_calc!$E$191)),TEXT(INDEX('Checks'!$K$4:$K$503,_calc!$E$191),"yyyy-mm-dd"),""))=0,"","Copy to tenant: "&amp;IF(ISNUMBER(INDEX('Checks'!$K$4:$K$503,_calc!$E$191)),TEXT(INDEX('Checks'!$K$4:$K$503,_calc!$E$191),"yyyy-mm-dd"),"")&amp;". ")&amp;IF(LEN(IF(LEN(INDEX('Checks'!$P$4:$P$503,_calc!$E$191))=0,"",INDEX('Checks'!$P$4:$P$503,_calc!$E$191)))=0,"",IF(LEN(INDEX('Checks'!$P$4:$P$503,_calc!$E$191))=0,"",INDEX('Checks'!$P$4:$P$503,_calc!$E$191)))))</f>
        <v/>
      </c>
      <c r="G189" s="47">
        <f>IF(_calc!$E$191="","",IF(LEN(INDEX('Checks'!$N$4:$N$503,_calc!$E$191))=0,"",INDEX('Checks'!$N$4:$N$503,_calc!$E$191)))</f>
        <v/>
      </c>
      <c r="K189" s="47">
        <f>IF(_calc!$E$191="","",IF(LEN(INDEX('Checks'!$M$4:$M$503,_calc!$E$191))=0,"",INDEX('Checks'!$M$4:$M$503,_calc!$E$191)))</f>
        <v/>
      </c>
    </row>
    <row r="190">
      <c r="A190" s="47">
        <f>IF(_calc!$E$192="","",IF(LEN(INDEX('Checks'!$B$4:$B$503,_calc!$E$192))=0,"",INDEX('Checks'!$B$4:$B$503,_calc!$E$192))&amp;" – "&amp;IF(LEN(INDEX('Checks'!$A$4:$A$503,_calc!$E$192))=0,"",INDEX('Checks'!$A$4:$A$503,_calc!$E$192)))</f>
        <v/>
      </c>
      <c r="B190" s="47">
        <f>IF(_calc!$E$192="","",IF(ISNUMBER(INDEX('Checks'!$D$4:$D$503,_calc!$E$192)),TEXT(INDEX('Checks'!$D$4:$D$503,_calc!$E$192),"yyyy-mm-dd"),""))</f>
        <v/>
      </c>
      <c r="C190" s="47">
        <f>IF(_calc!$E$192="","",IF(LEN(INDEX('Checks'!$B$4:$B$503,_calc!$E$192))=0,"",INDEX('Checks'!$B$4:$B$503,_calc!$E$192)))</f>
        <v/>
      </c>
      <c r="D190" s="47">
        <f>IF(_calc!$E$192="","",IF(ISNUMBER(INDEX('Checks'!$C$4:$C$503,_calc!$E$192)),TEXT(INDEX('Checks'!$C$4:$C$503,_calc!$E$192),"yyyy-mm-dd"),""))</f>
        <v/>
      </c>
      <c r="E190" s="47">
        <f>IF(_calc!$E$192="","",IF(LEN(INDEX('Checks'!$L$4:$L$503,_calc!$E$192))=0,"",INDEX('Checks'!$L$4:$L$503,_calc!$E$192)))</f>
        <v/>
      </c>
      <c r="F190" s="47">
        <f>IF(_calc!$E$192="","",TRIM(IF(LEN(IF(LEN(INDEX('Checks'!$I$4:$I$503,_calc!$E$192))=0,"",INDEX('Checks'!$I$4:$I$503,_calc!$E$192)))=0,"","Contractor: "&amp;IF(LEN(INDEX('Checks'!$I$4:$I$503,_calc!$E$192))=0,"",INDEX('Checks'!$I$4:$I$503,_calc!$E$192))&amp;". ")&amp;IF(LEN(IF(LEN(INDEX('Checks'!$J$4:$J$503,_calc!$E$192))=0,"",INDEX('Checks'!$J$4:$J$503,_calc!$E$192)))=0,"","Ref: "&amp;IF(LEN(INDEX('Checks'!$J$4:$J$503,_calc!$E$192))=0,"",INDEX('Checks'!$J$4:$J$503,_calc!$E$192))&amp;". ")&amp;IF(LEN(IF(ISNUMBER(INDEX('Checks'!$K$4:$K$503,_calc!$E$192)),TEXT(INDEX('Checks'!$K$4:$K$503,_calc!$E$192),"yyyy-mm-dd"),""))=0,"","Copy to tenant: "&amp;IF(ISNUMBER(INDEX('Checks'!$K$4:$K$503,_calc!$E$192)),TEXT(INDEX('Checks'!$K$4:$K$503,_calc!$E$192),"yyyy-mm-dd"),"")&amp;". ")&amp;IF(LEN(IF(LEN(INDEX('Checks'!$P$4:$P$503,_calc!$E$192))=0,"",INDEX('Checks'!$P$4:$P$503,_calc!$E$192)))=0,"",IF(LEN(INDEX('Checks'!$P$4:$P$503,_calc!$E$192))=0,"",INDEX('Checks'!$P$4:$P$503,_calc!$E$192)))))</f>
        <v/>
      </c>
      <c r="G190" s="47">
        <f>IF(_calc!$E$192="","",IF(LEN(INDEX('Checks'!$N$4:$N$503,_calc!$E$192))=0,"",INDEX('Checks'!$N$4:$N$503,_calc!$E$192)))</f>
        <v/>
      </c>
      <c r="K190" s="47">
        <f>IF(_calc!$E$192="","",IF(LEN(INDEX('Checks'!$M$4:$M$503,_calc!$E$192))=0,"",INDEX('Checks'!$M$4:$M$503,_calc!$E$192)))</f>
        <v/>
      </c>
    </row>
    <row r="191">
      <c r="A191" s="47">
        <f>IF(_calc!$E$193="","",IF(LEN(INDEX('Checks'!$B$4:$B$503,_calc!$E$193))=0,"",INDEX('Checks'!$B$4:$B$503,_calc!$E$193))&amp;" – "&amp;IF(LEN(INDEX('Checks'!$A$4:$A$503,_calc!$E$193))=0,"",INDEX('Checks'!$A$4:$A$503,_calc!$E$193)))</f>
        <v/>
      </c>
      <c r="B191" s="47">
        <f>IF(_calc!$E$193="","",IF(ISNUMBER(INDEX('Checks'!$D$4:$D$503,_calc!$E$193)),TEXT(INDEX('Checks'!$D$4:$D$503,_calc!$E$193),"yyyy-mm-dd"),""))</f>
        <v/>
      </c>
      <c r="C191" s="47">
        <f>IF(_calc!$E$193="","",IF(LEN(INDEX('Checks'!$B$4:$B$503,_calc!$E$193))=0,"",INDEX('Checks'!$B$4:$B$503,_calc!$E$193)))</f>
        <v/>
      </c>
      <c r="D191" s="47">
        <f>IF(_calc!$E$193="","",IF(ISNUMBER(INDEX('Checks'!$C$4:$C$503,_calc!$E$193)),TEXT(INDEX('Checks'!$C$4:$C$503,_calc!$E$193),"yyyy-mm-dd"),""))</f>
        <v/>
      </c>
      <c r="E191" s="47">
        <f>IF(_calc!$E$193="","",IF(LEN(INDEX('Checks'!$L$4:$L$503,_calc!$E$193))=0,"",INDEX('Checks'!$L$4:$L$503,_calc!$E$193)))</f>
        <v/>
      </c>
      <c r="F191" s="47">
        <f>IF(_calc!$E$193="","",TRIM(IF(LEN(IF(LEN(INDEX('Checks'!$I$4:$I$503,_calc!$E$193))=0,"",INDEX('Checks'!$I$4:$I$503,_calc!$E$193)))=0,"","Contractor: "&amp;IF(LEN(INDEX('Checks'!$I$4:$I$503,_calc!$E$193))=0,"",INDEX('Checks'!$I$4:$I$503,_calc!$E$193))&amp;". ")&amp;IF(LEN(IF(LEN(INDEX('Checks'!$J$4:$J$503,_calc!$E$193))=0,"",INDEX('Checks'!$J$4:$J$503,_calc!$E$193)))=0,"","Ref: "&amp;IF(LEN(INDEX('Checks'!$J$4:$J$503,_calc!$E$193))=0,"",INDEX('Checks'!$J$4:$J$503,_calc!$E$193))&amp;". ")&amp;IF(LEN(IF(ISNUMBER(INDEX('Checks'!$K$4:$K$503,_calc!$E$193)),TEXT(INDEX('Checks'!$K$4:$K$503,_calc!$E$193),"yyyy-mm-dd"),""))=0,"","Copy to tenant: "&amp;IF(ISNUMBER(INDEX('Checks'!$K$4:$K$503,_calc!$E$193)),TEXT(INDEX('Checks'!$K$4:$K$503,_calc!$E$193),"yyyy-mm-dd"),"")&amp;". ")&amp;IF(LEN(IF(LEN(INDEX('Checks'!$P$4:$P$503,_calc!$E$193))=0,"",INDEX('Checks'!$P$4:$P$503,_calc!$E$193)))=0,"",IF(LEN(INDEX('Checks'!$P$4:$P$503,_calc!$E$193))=0,"",INDEX('Checks'!$P$4:$P$503,_calc!$E$193)))))</f>
        <v/>
      </c>
      <c r="G191" s="47">
        <f>IF(_calc!$E$193="","",IF(LEN(INDEX('Checks'!$N$4:$N$503,_calc!$E$193))=0,"",INDEX('Checks'!$N$4:$N$503,_calc!$E$193)))</f>
        <v/>
      </c>
      <c r="K191" s="47">
        <f>IF(_calc!$E$193="","",IF(LEN(INDEX('Checks'!$M$4:$M$503,_calc!$E$193))=0,"",INDEX('Checks'!$M$4:$M$503,_calc!$E$193)))</f>
        <v/>
      </c>
    </row>
    <row r="192">
      <c r="A192" s="47">
        <f>IF(_calc!$E$194="","",IF(LEN(INDEX('Checks'!$B$4:$B$503,_calc!$E$194))=0,"",INDEX('Checks'!$B$4:$B$503,_calc!$E$194))&amp;" – "&amp;IF(LEN(INDEX('Checks'!$A$4:$A$503,_calc!$E$194))=0,"",INDEX('Checks'!$A$4:$A$503,_calc!$E$194)))</f>
        <v/>
      </c>
      <c r="B192" s="47">
        <f>IF(_calc!$E$194="","",IF(ISNUMBER(INDEX('Checks'!$D$4:$D$503,_calc!$E$194)),TEXT(INDEX('Checks'!$D$4:$D$503,_calc!$E$194),"yyyy-mm-dd"),""))</f>
        <v/>
      </c>
      <c r="C192" s="47">
        <f>IF(_calc!$E$194="","",IF(LEN(INDEX('Checks'!$B$4:$B$503,_calc!$E$194))=0,"",INDEX('Checks'!$B$4:$B$503,_calc!$E$194)))</f>
        <v/>
      </c>
      <c r="D192" s="47">
        <f>IF(_calc!$E$194="","",IF(ISNUMBER(INDEX('Checks'!$C$4:$C$503,_calc!$E$194)),TEXT(INDEX('Checks'!$C$4:$C$503,_calc!$E$194),"yyyy-mm-dd"),""))</f>
        <v/>
      </c>
      <c r="E192" s="47">
        <f>IF(_calc!$E$194="","",IF(LEN(INDEX('Checks'!$L$4:$L$503,_calc!$E$194))=0,"",INDEX('Checks'!$L$4:$L$503,_calc!$E$194)))</f>
        <v/>
      </c>
      <c r="F192" s="47">
        <f>IF(_calc!$E$194="","",TRIM(IF(LEN(IF(LEN(INDEX('Checks'!$I$4:$I$503,_calc!$E$194))=0,"",INDEX('Checks'!$I$4:$I$503,_calc!$E$194)))=0,"","Contractor: "&amp;IF(LEN(INDEX('Checks'!$I$4:$I$503,_calc!$E$194))=0,"",INDEX('Checks'!$I$4:$I$503,_calc!$E$194))&amp;". ")&amp;IF(LEN(IF(LEN(INDEX('Checks'!$J$4:$J$503,_calc!$E$194))=0,"",INDEX('Checks'!$J$4:$J$503,_calc!$E$194)))=0,"","Ref: "&amp;IF(LEN(INDEX('Checks'!$J$4:$J$503,_calc!$E$194))=0,"",INDEX('Checks'!$J$4:$J$503,_calc!$E$194))&amp;". ")&amp;IF(LEN(IF(ISNUMBER(INDEX('Checks'!$K$4:$K$503,_calc!$E$194)),TEXT(INDEX('Checks'!$K$4:$K$503,_calc!$E$194),"yyyy-mm-dd"),""))=0,"","Copy to tenant: "&amp;IF(ISNUMBER(INDEX('Checks'!$K$4:$K$503,_calc!$E$194)),TEXT(INDEX('Checks'!$K$4:$K$503,_calc!$E$194),"yyyy-mm-dd"),"")&amp;". ")&amp;IF(LEN(IF(LEN(INDEX('Checks'!$P$4:$P$503,_calc!$E$194))=0,"",INDEX('Checks'!$P$4:$P$503,_calc!$E$194)))=0,"",IF(LEN(INDEX('Checks'!$P$4:$P$503,_calc!$E$194))=0,"",INDEX('Checks'!$P$4:$P$503,_calc!$E$194)))))</f>
        <v/>
      </c>
      <c r="G192" s="47">
        <f>IF(_calc!$E$194="","",IF(LEN(INDEX('Checks'!$N$4:$N$503,_calc!$E$194))=0,"",INDEX('Checks'!$N$4:$N$503,_calc!$E$194)))</f>
        <v/>
      </c>
      <c r="K192" s="47">
        <f>IF(_calc!$E$194="","",IF(LEN(INDEX('Checks'!$M$4:$M$503,_calc!$E$194))=0,"",INDEX('Checks'!$M$4:$M$503,_calc!$E$194)))</f>
        <v/>
      </c>
    </row>
    <row r="193">
      <c r="A193" s="47">
        <f>IF(_calc!$E$195="","",IF(LEN(INDEX('Checks'!$B$4:$B$503,_calc!$E$195))=0,"",INDEX('Checks'!$B$4:$B$503,_calc!$E$195))&amp;" – "&amp;IF(LEN(INDEX('Checks'!$A$4:$A$503,_calc!$E$195))=0,"",INDEX('Checks'!$A$4:$A$503,_calc!$E$195)))</f>
        <v/>
      </c>
      <c r="B193" s="47">
        <f>IF(_calc!$E$195="","",IF(ISNUMBER(INDEX('Checks'!$D$4:$D$503,_calc!$E$195)),TEXT(INDEX('Checks'!$D$4:$D$503,_calc!$E$195),"yyyy-mm-dd"),""))</f>
        <v/>
      </c>
      <c r="C193" s="47">
        <f>IF(_calc!$E$195="","",IF(LEN(INDEX('Checks'!$B$4:$B$503,_calc!$E$195))=0,"",INDEX('Checks'!$B$4:$B$503,_calc!$E$195)))</f>
        <v/>
      </c>
      <c r="D193" s="47">
        <f>IF(_calc!$E$195="","",IF(ISNUMBER(INDEX('Checks'!$C$4:$C$503,_calc!$E$195)),TEXT(INDEX('Checks'!$C$4:$C$503,_calc!$E$195),"yyyy-mm-dd"),""))</f>
        <v/>
      </c>
      <c r="E193" s="47">
        <f>IF(_calc!$E$195="","",IF(LEN(INDEX('Checks'!$L$4:$L$503,_calc!$E$195))=0,"",INDEX('Checks'!$L$4:$L$503,_calc!$E$195)))</f>
        <v/>
      </c>
      <c r="F193" s="47">
        <f>IF(_calc!$E$195="","",TRIM(IF(LEN(IF(LEN(INDEX('Checks'!$I$4:$I$503,_calc!$E$195))=0,"",INDEX('Checks'!$I$4:$I$503,_calc!$E$195)))=0,"","Contractor: "&amp;IF(LEN(INDEX('Checks'!$I$4:$I$503,_calc!$E$195))=0,"",INDEX('Checks'!$I$4:$I$503,_calc!$E$195))&amp;". ")&amp;IF(LEN(IF(LEN(INDEX('Checks'!$J$4:$J$503,_calc!$E$195))=0,"",INDEX('Checks'!$J$4:$J$503,_calc!$E$195)))=0,"","Ref: "&amp;IF(LEN(INDEX('Checks'!$J$4:$J$503,_calc!$E$195))=0,"",INDEX('Checks'!$J$4:$J$503,_calc!$E$195))&amp;". ")&amp;IF(LEN(IF(ISNUMBER(INDEX('Checks'!$K$4:$K$503,_calc!$E$195)),TEXT(INDEX('Checks'!$K$4:$K$503,_calc!$E$195),"yyyy-mm-dd"),""))=0,"","Copy to tenant: "&amp;IF(ISNUMBER(INDEX('Checks'!$K$4:$K$503,_calc!$E$195)),TEXT(INDEX('Checks'!$K$4:$K$503,_calc!$E$195),"yyyy-mm-dd"),"")&amp;". ")&amp;IF(LEN(IF(LEN(INDEX('Checks'!$P$4:$P$503,_calc!$E$195))=0,"",INDEX('Checks'!$P$4:$P$503,_calc!$E$195)))=0,"",IF(LEN(INDEX('Checks'!$P$4:$P$503,_calc!$E$195))=0,"",INDEX('Checks'!$P$4:$P$503,_calc!$E$195)))))</f>
        <v/>
      </c>
      <c r="G193" s="47">
        <f>IF(_calc!$E$195="","",IF(LEN(INDEX('Checks'!$N$4:$N$503,_calc!$E$195))=0,"",INDEX('Checks'!$N$4:$N$503,_calc!$E$195)))</f>
        <v/>
      </c>
      <c r="K193" s="47">
        <f>IF(_calc!$E$195="","",IF(LEN(INDEX('Checks'!$M$4:$M$503,_calc!$E$195))=0,"",INDEX('Checks'!$M$4:$M$503,_calc!$E$195)))</f>
        <v/>
      </c>
    </row>
    <row r="194">
      <c r="A194" s="47">
        <f>IF(_calc!$E$196="","",IF(LEN(INDEX('Checks'!$B$4:$B$503,_calc!$E$196))=0,"",INDEX('Checks'!$B$4:$B$503,_calc!$E$196))&amp;" – "&amp;IF(LEN(INDEX('Checks'!$A$4:$A$503,_calc!$E$196))=0,"",INDEX('Checks'!$A$4:$A$503,_calc!$E$196)))</f>
        <v/>
      </c>
      <c r="B194" s="47">
        <f>IF(_calc!$E$196="","",IF(ISNUMBER(INDEX('Checks'!$D$4:$D$503,_calc!$E$196)),TEXT(INDEX('Checks'!$D$4:$D$503,_calc!$E$196),"yyyy-mm-dd"),""))</f>
        <v/>
      </c>
      <c r="C194" s="47">
        <f>IF(_calc!$E$196="","",IF(LEN(INDEX('Checks'!$B$4:$B$503,_calc!$E$196))=0,"",INDEX('Checks'!$B$4:$B$503,_calc!$E$196)))</f>
        <v/>
      </c>
      <c r="D194" s="47">
        <f>IF(_calc!$E$196="","",IF(ISNUMBER(INDEX('Checks'!$C$4:$C$503,_calc!$E$196)),TEXT(INDEX('Checks'!$C$4:$C$503,_calc!$E$196),"yyyy-mm-dd"),""))</f>
        <v/>
      </c>
      <c r="E194" s="47">
        <f>IF(_calc!$E$196="","",IF(LEN(INDEX('Checks'!$L$4:$L$503,_calc!$E$196))=0,"",INDEX('Checks'!$L$4:$L$503,_calc!$E$196)))</f>
        <v/>
      </c>
      <c r="F194" s="47">
        <f>IF(_calc!$E$196="","",TRIM(IF(LEN(IF(LEN(INDEX('Checks'!$I$4:$I$503,_calc!$E$196))=0,"",INDEX('Checks'!$I$4:$I$503,_calc!$E$196)))=0,"","Contractor: "&amp;IF(LEN(INDEX('Checks'!$I$4:$I$503,_calc!$E$196))=0,"",INDEX('Checks'!$I$4:$I$503,_calc!$E$196))&amp;". ")&amp;IF(LEN(IF(LEN(INDEX('Checks'!$J$4:$J$503,_calc!$E$196))=0,"",INDEX('Checks'!$J$4:$J$503,_calc!$E$196)))=0,"","Ref: "&amp;IF(LEN(INDEX('Checks'!$J$4:$J$503,_calc!$E$196))=0,"",INDEX('Checks'!$J$4:$J$503,_calc!$E$196))&amp;". ")&amp;IF(LEN(IF(ISNUMBER(INDEX('Checks'!$K$4:$K$503,_calc!$E$196)),TEXT(INDEX('Checks'!$K$4:$K$503,_calc!$E$196),"yyyy-mm-dd"),""))=0,"","Copy to tenant: "&amp;IF(ISNUMBER(INDEX('Checks'!$K$4:$K$503,_calc!$E$196)),TEXT(INDEX('Checks'!$K$4:$K$503,_calc!$E$196),"yyyy-mm-dd"),"")&amp;". ")&amp;IF(LEN(IF(LEN(INDEX('Checks'!$P$4:$P$503,_calc!$E$196))=0,"",INDEX('Checks'!$P$4:$P$503,_calc!$E$196)))=0,"",IF(LEN(INDEX('Checks'!$P$4:$P$503,_calc!$E$196))=0,"",INDEX('Checks'!$P$4:$P$503,_calc!$E$196)))))</f>
        <v/>
      </c>
      <c r="G194" s="47">
        <f>IF(_calc!$E$196="","",IF(LEN(INDEX('Checks'!$N$4:$N$503,_calc!$E$196))=0,"",INDEX('Checks'!$N$4:$N$503,_calc!$E$196)))</f>
        <v/>
      </c>
      <c r="K194" s="47">
        <f>IF(_calc!$E$196="","",IF(LEN(INDEX('Checks'!$M$4:$M$503,_calc!$E$196))=0,"",INDEX('Checks'!$M$4:$M$503,_calc!$E$196)))</f>
        <v/>
      </c>
    </row>
    <row r="195">
      <c r="A195" s="47">
        <f>IF(_calc!$E$197="","",IF(LEN(INDEX('Checks'!$B$4:$B$503,_calc!$E$197))=0,"",INDEX('Checks'!$B$4:$B$503,_calc!$E$197))&amp;" – "&amp;IF(LEN(INDEX('Checks'!$A$4:$A$503,_calc!$E$197))=0,"",INDEX('Checks'!$A$4:$A$503,_calc!$E$197)))</f>
        <v/>
      </c>
      <c r="B195" s="47">
        <f>IF(_calc!$E$197="","",IF(ISNUMBER(INDEX('Checks'!$D$4:$D$503,_calc!$E$197)),TEXT(INDEX('Checks'!$D$4:$D$503,_calc!$E$197),"yyyy-mm-dd"),""))</f>
        <v/>
      </c>
      <c r="C195" s="47">
        <f>IF(_calc!$E$197="","",IF(LEN(INDEX('Checks'!$B$4:$B$503,_calc!$E$197))=0,"",INDEX('Checks'!$B$4:$B$503,_calc!$E$197)))</f>
        <v/>
      </c>
      <c r="D195" s="47">
        <f>IF(_calc!$E$197="","",IF(ISNUMBER(INDEX('Checks'!$C$4:$C$503,_calc!$E$197)),TEXT(INDEX('Checks'!$C$4:$C$503,_calc!$E$197),"yyyy-mm-dd"),""))</f>
        <v/>
      </c>
      <c r="E195" s="47">
        <f>IF(_calc!$E$197="","",IF(LEN(INDEX('Checks'!$L$4:$L$503,_calc!$E$197))=0,"",INDEX('Checks'!$L$4:$L$503,_calc!$E$197)))</f>
        <v/>
      </c>
      <c r="F195" s="47">
        <f>IF(_calc!$E$197="","",TRIM(IF(LEN(IF(LEN(INDEX('Checks'!$I$4:$I$503,_calc!$E$197))=0,"",INDEX('Checks'!$I$4:$I$503,_calc!$E$197)))=0,"","Contractor: "&amp;IF(LEN(INDEX('Checks'!$I$4:$I$503,_calc!$E$197))=0,"",INDEX('Checks'!$I$4:$I$503,_calc!$E$197))&amp;". ")&amp;IF(LEN(IF(LEN(INDEX('Checks'!$J$4:$J$503,_calc!$E$197))=0,"",INDEX('Checks'!$J$4:$J$503,_calc!$E$197)))=0,"","Ref: "&amp;IF(LEN(INDEX('Checks'!$J$4:$J$503,_calc!$E$197))=0,"",INDEX('Checks'!$J$4:$J$503,_calc!$E$197))&amp;". ")&amp;IF(LEN(IF(ISNUMBER(INDEX('Checks'!$K$4:$K$503,_calc!$E$197)),TEXT(INDEX('Checks'!$K$4:$K$503,_calc!$E$197),"yyyy-mm-dd"),""))=0,"","Copy to tenant: "&amp;IF(ISNUMBER(INDEX('Checks'!$K$4:$K$503,_calc!$E$197)),TEXT(INDEX('Checks'!$K$4:$K$503,_calc!$E$197),"yyyy-mm-dd"),"")&amp;". ")&amp;IF(LEN(IF(LEN(INDEX('Checks'!$P$4:$P$503,_calc!$E$197))=0,"",INDEX('Checks'!$P$4:$P$503,_calc!$E$197)))=0,"",IF(LEN(INDEX('Checks'!$P$4:$P$503,_calc!$E$197))=0,"",INDEX('Checks'!$P$4:$P$503,_calc!$E$197)))))</f>
        <v/>
      </c>
      <c r="G195" s="47">
        <f>IF(_calc!$E$197="","",IF(LEN(INDEX('Checks'!$N$4:$N$503,_calc!$E$197))=0,"",INDEX('Checks'!$N$4:$N$503,_calc!$E$197)))</f>
        <v/>
      </c>
      <c r="K195" s="47">
        <f>IF(_calc!$E$197="","",IF(LEN(INDEX('Checks'!$M$4:$M$503,_calc!$E$197))=0,"",INDEX('Checks'!$M$4:$M$503,_calc!$E$197)))</f>
        <v/>
      </c>
    </row>
    <row r="196">
      <c r="A196" s="47">
        <f>IF(_calc!$E$198="","",IF(LEN(INDEX('Checks'!$B$4:$B$503,_calc!$E$198))=0,"",INDEX('Checks'!$B$4:$B$503,_calc!$E$198))&amp;" – "&amp;IF(LEN(INDEX('Checks'!$A$4:$A$503,_calc!$E$198))=0,"",INDEX('Checks'!$A$4:$A$503,_calc!$E$198)))</f>
        <v/>
      </c>
      <c r="B196" s="47">
        <f>IF(_calc!$E$198="","",IF(ISNUMBER(INDEX('Checks'!$D$4:$D$503,_calc!$E$198)),TEXT(INDEX('Checks'!$D$4:$D$503,_calc!$E$198),"yyyy-mm-dd"),""))</f>
        <v/>
      </c>
      <c r="C196" s="47">
        <f>IF(_calc!$E$198="","",IF(LEN(INDEX('Checks'!$B$4:$B$503,_calc!$E$198))=0,"",INDEX('Checks'!$B$4:$B$503,_calc!$E$198)))</f>
        <v/>
      </c>
      <c r="D196" s="47">
        <f>IF(_calc!$E$198="","",IF(ISNUMBER(INDEX('Checks'!$C$4:$C$503,_calc!$E$198)),TEXT(INDEX('Checks'!$C$4:$C$503,_calc!$E$198),"yyyy-mm-dd"),""))</f>
        <v/>
      </c>
      <c r="E196" s="47">
        <f>IF(_calc!$E$198="","",IF(LEN(INDEX('Checks'!$L$4:$L$503,_calc!$E$198))=0,"",INDEX('Checks'!$L$4:$L$503,_calc!$E$198)))</f>
        <v/>
      </c>
      <c r="F196" s="47">
        <f>IF(_calc!$E$198="","",TRIM(IF(LEN(IF(LEN(INDEX('Checks'!$I$4:$I$503,_calc!$E$198))=0,"",INDEX('Checks'!$I$4:$I$503,_calc!$E$198)))=0,"","Contractor: "&amp;IF(LEN(INDEX('Checks'!$I$4:$I$503,_calc!$E$198))=0,"",INDEX('Checks'!$I$4:$I$503,_calc!$E$198))&amp;". ")&amp;IF(LEN(IF(LEN(INDEX('Checks'!$J$4:$J$503,_calc!$E$198))=0,"",INDEX('Checks'!$J$4:$J$503,_calc!$E$198)))=0,"","Ref: "&amp;IF(LEN(INDEX('Checks'!$J$4:$J$503,_calc!$E$198))=0,"",INDEX('Checks'!$J$4:$J$503,_calc!$E$198))&amp;". ")&amp;IF(LEN(IF(ISNUMBER(INDEX('Checks'!$K$4:$K$503,_calc!$E$198)),TEXT(INDEX('Checks'!$K$4:$K$503,_calc!$E$198),"yyyy-mm-dd"),""))=0,"","Copy to tenant: "&amp;IF(ISNUMBER(INDEX('Checks'!$K$4:$K$503,_calc!$E$198)),TEXT(INDEX('Checks'!$K$4:$K$503,_calc!$E$198),"yyyy-mm-dd"),"")&amp;". ")&amp;IF(LEN(IF(LEN(INDEX('Checks'!$P$4:$P$503,_calc!$E$198))=0,"",INDEX('Checks'!$P$4:$P$503,_calc!$E$198)))=0,"",IF(LEN(INDEX('Checks'!$P$4:$P$503,_calc!$E$198))=0,"",INDEX('Checks'!$P$4:$P$503,_calc!$E$198)))))</f>
        <v/>
      </c>
      <c r="G196" s="47">
        <f>IF(_calc!$E$198="","",IF(LEN(INDEX('Checks'!$N$4:$N$503,_calc!$E$198))=0,"",INDEX('Checks'!$N$4:$N$503,_calc!$E$198)))</f>
        <v/>
      </c>
      <c r="K196" s="47">
        <f>IF(_calc!$E$198="","",IF(LEN(INDEX('Checks'!$M$4:$M$503,_calc!$E$198))=0,"",INDEX('Checks'!$M$4:$M$503,_calc!$E$198)))</f>
        <v/>
      </c>
    </row>
    <row r="197">
      <c r="A197" s="47">
        <f>IF(_calc!$E$199="","",IF(LEN(INDEX('Checks'!$B$4:$B$503,_calc!$E$199))=0,"",INDEX('Checks'!$B$4:$B$503,_calc!$E$199))&amp;" – "&amp;IF(LEN(INDEX('Checks'!$A$4:$A$503,_calc!$E$199))=0,"",INDEX('Checks'!$A$4:$A$503,_calc!$E$199)))</f>
        <v/>
      </c>
      <c r="B197" s="47">
        <f>IF(_calc!$E$199="","",IF(ISNUMBER(INDEX('Checks'!$D$4:$D$503,_calc!$E$199)),TEXT(INDEX('Checks'!$D$4:$D$503,_calc!$E$199),"yyyy-mm-dd"),""))</f>
        <v/>
      </c>
      <c r="C197" s="47">
        <f>IF(_calc!$E$199="","",IF(LEN(INDEX('Checks'!$B$4:$B$503,_calc!$E$199))=0,"",INDEX('Checks'!$B$4:$B$503,_calc!$E$199)))</f>
        <v/>
      </c>
      <c r="D197" s="47">
        <f>IF(_calc!$E$199="","",IF(ISNUMBER(INDEX('Checks'!$C$4:$C$503,_calc!$E$199)),TEXT(INDEX('Checks'!$C$4:$C$503,_calc!$E$199),"yyyy-mm-dd"),""))</f>
        <v/>
      </c>
      <c r="E197" s="47">
        <f>IF(_calc!$E$199="","",IF(LEN(INDEX('Checks'!$L$4:$L$503,_calc!$E$199))=0,"",INDEX('Checks'!$L$4:$L$503,_calc!$E$199)))</f>
        <v/>
      </c>
      <c r="F197" s="47">
        <f>IF(_calc!$E$199="","",TRIM(IF(LEN(IF(LEN(INDEX('Checks'!$I$4:$I$503,_calc!$E$199))=0,"",INDEX('Checks'!$I$4:$I$503,_calc!$E$199)))=0,"","Contractor: "&amp;IF(LEN(INDEX('Checks'!$I$4:$I$503,_calc!$E$199))=0,"",INDEX('Checks'!$I$4:$I$503,_calc!$E$199))&amp;". ")&amp;IF(LEN(IF(LEN(INDEX('Checks'!$J$4:$J$503,_calc!$E$199))=0,"",INDEX('Checks'!$J$4:$J$503,_calc!$E$199)))=0,"","Ref: "&amp;IF(LEN(INDEX('Checks'!$J$4:$J$503,_calc!$E$199))=0,"",INDEX('Checks'!$J$4:$J$503,_calc!$E$199))&amp;". ")&amp;IF(LEN(IF(ISNUMBER(INDEX('Checks'!$K$4:$K$503,_calc!$E$199)),TEXT(INDEX('Checks'!$K$4:$K$503,_calc!$E$199),"yyyy-mm-dd"),""))=0,"","Copy to tenant: "&amp;IF(ISNUMBER(INDEX('Checks'!$K$4:$K$503,_calc!$E$199)),TEXT(INDEX('Checks'!$K$4:$K$503,_calc!$E$199),"yyyy-mm-dd"),"")&amp;". ")&amp;IF(LEN(IF(LEN(INDEX('Checks'!$P$4:$P$503,_calc!$E$199))=0,"",INDEX('Checks'!$P$4:$P$503,_calc!$E$199)))=0,"",IF(LEN(INDEX('Checks'!$P$4:$P$503,_calc!$E$199))=0,"",INDEX('Checks'!$P$4:$P$503,_calc!$E$199)))))</f>
        <v/>
      </c>
      <c r="G197" s="47">
        <f>IF(_calc!$E$199="","",IF(LEN(INDEX('Checks'!$N$4:$N$503,_calc!$E$199))=0,"",INDEX('Checks'!$N$4:$N$503,_calc!$E$199)))</f>
        <v/>
      </c>
      <c r="K197" s="47">
        <f>IF(_calc!$E$199="","",IF(LEN(INDEX('Checks'!$M$4:$M$503,_calc!$E$199))=0,"",INDEX('Checks'!$M$4:$M$503,_calc!$E$199)))</f>
        <v/>
      </c>
    </row>
    <row r="198">
      <c r="A198" s="47">
        <f>IF(_calc!$E$200="","",IF(LEN(INDEX('Checks'!$B$4:$B$503,_calc!$E$200))=0,"",INDEX('Checks'!$B$4:$B$503,_calc!$E$200))&amp;" – "&amp;IF(LEN(INDEX('Checks'!$A$4:$A$503,_calc!$E$200))=0,"",INDEX('Checks'!$A$4:$A$503,_calc!$E$200)))</f>
        <v/>
      </c>
      <c r="B198" s="47">
        <f>IF(_calc!$E$200="","",IF(ISNUMBER(INDEX('Checks'!$D$4:$D$503,_calc!$E$200)),TEXT(INDEX('Checks'!$D$4:$D$503,_calc!$E$200),"yyyy-mm-dd"),""))</f>
        <v/>
      </c>
      <c r="C198" s="47">
        <f>IF(_calc!$E$200="","",IF(LEN(INDEX('Checks'!$B$4:$B$503,_calc!$E$200))=0,"",INDEX('Checks'!$B$4:$B$503,_calc!$E$200)))</f>
        <v/>
      </c>
      <c r="D198" s="47">
        <f>IF(_calc!$E$200="","",IF(ISNUMBER(INDEX('Checks'!$C$4:$C$503,_calc!$E$200)),TEXT(INDEX('Checks'!$C$4:$C$503,_calc!$E$200),"yyyy-mm-dd"),""))</f>
        <v/>
      </c>
      <c r="E198" s="47">
        <f>IF(_calc!$E$200="","",IF(LEN(INDEX('Checks'!$L$4:$L$503,_calc!$E$200))=0,"",INDEX('Checks'!$L$4:$L$503,_calc!$E$200)))</f>
        <v/>
      </c>
      <c r="F198" s="47">
        <f>IF(_calc!$E$200="","",TRIM(IF(LEN(IF(LEN(INDEX('Checks'!$I$4:$I$503,_calc!$E$200))=0,"",INDEX('Checks'!$I$4:$I$503,_calc!$E$200)))=0,"","Contractor: "&amp;IF(LEN(INDEX('Checks'!$I$4:$I$503,_calc!$E$200))=0,"",INDEX('Checks'!$I$4:$I$503,_calc!$E$200))&amp;". ")&amp;IF(LEN(IF(LEN(INDEX('Checks'!$J$4:$J$503,_calc!$E$200))=0,"",INDEX('Checks'!$J$4:$J$503,_calc!$E$200)))=0,"","Ref: "&amp;IF(LEN(INDEX('Checks'!$J$4:$J$503,_calc!$E$200))=0,"",INDEX('Checks'!$J$4:$J$503,_calc!$E$200))&amp;". ")&amp;IF(LEN(IF(ISNUMBER(INDEX('Checks'!$K$4:$K$503,_calc!$E$200)),TEXT(INDEX('Checks'!$K$4:$K$503,_calc!$E$200),"yyyy-mm-dd"),""))=0,"","Copy to tenant: "&amp;IF(ISNUMBER(INDEX('Checks'!$K$4:$K$503,_calc!$E$200)),TEXT(INDEX('Checks'!$K$4:$K$503,_calc!$E$200),"yyyy-mm-dd"),"")&amp;". ")&amp;IF(LEN(IF(LEN(INDEX('Checks'!$P$4:$P$503,_calc!$E$200))=0,"",INDEX('Checks'!$P$4:$P$503,_calc!$E$200)))=0,"",IF(LEN(INDEX('Checks'!$P$4:$P$503,_calc!$E$200))=0,"",INDEX('Checks'!$P$4:$P$503,_calc!$E$200)))))</f>
        <v/>
      </c>
      <c r="G198" s="47">
        <f>IF(_calc!$E$200="","",IF(LEN(INDEX('Checks'!$N$4:$N$503,_calc!$E$200))=0,"",INDEX('Checks'!$N$4:$N$503,_calc!$E$200)))</f>
        <v/>
      </c>
      <c r="K198" s="47">
        <f>IF(_calc!$E$200="","",IF(LEN(INDEX('Checks'!$M$4:$M$503,_calc!$E$200))=0,"",INDEX('Checks'!$M$4:$M$503,_calc!$E$200)))</f>
        <v/>
      </c>
    </row>
    <row r="199">
      <c r="A199" s="47">
        <f>IF(_calc!$E$201="","",IF(LEN(INDEX('Checks'!$B$4:$B$503,_calc!$E$201))=0,"",INDEX('Checks'!$B$4:$B$503,_calc!$E$201))&amp;" – "&amp;IF(LEN(INDEX('Checks'!$A$4:$A$503,_calc!$E$201))=0,"",INDEX('Checks'!$A$4:$A$503,_calc!$E$201)))</f>
        <v/>
      </c>
      <c r="B199" s="47">
        <f>IF(_calc!$E$201="","",IF(ISNUMBER(INDEX('Checks'!$D$4:$D$503,_calc!$E$201)),TEXT(INDEX('Checks'!$D$4:$D$503,_calc!$E$201),"yyyy-mm-dd"),""))</f>
        <v/>
      </c>
      <c r="C199" s="47">
        <f>IF(_calc!$E$201="","",IF(LEN(INDEX('Checks'!$B$4:$B$503,_calc!$E$201))=0,"",INDEX('Checks'!$B$4:$B$503,_calc!$E$201)))</f>
        <v/>
      </c>
      <c r="D199" s="47">
        <f>IF(_calc!$E$201="","",IF(ISNUMBER(INDEX('Checks'!$C$4:$C$503,_calc!$E$201)),TEXT(INDEX('Checks'!$C$4:$C$503,_calc!$E$201),"yyyy-mm-dd"),""))</f>
        <v/>
      </c>
      <c r="E199" s="47">
        <f>IF(_calc!$E$201="","",IF(LEN(INDEX('Checks'!$L$4:$L$503,_calc!$E$201))=0,"",INDEX('Checks'!$L$4:$L$503,_calc!$E$201)))</f>
        <v/>
      </c>
      <c r="F199" s="47">
        <f>IF(_calc!$E$201="","",TRIM(IF(LEN(IF(LEN(INDEX('Checks'!$I$4:$I$503,_calc!$E$201))=0,"",INDEX('Checks'!$I$4:$I$503,_calc!$E$201)))=0,"","Contractor: "&amp;IF(LEN(INDEX('Checks'!$I$4:$I$503,_calc!$E$201))=0,"",INDEX('Checks'!$I$4:$I$503,_calc!$E$201))&amp;". ")&amp;IF(LEN(IF(LEN(INDEX('Checks'!$J$4:$J$503,_calc!$E$201))=0,"",INDEX('Checks'!$J$4:$J$503,_calc!$E$201)))=0,"","Ref: "&amp;IF(LEN(INDEX('Checks'!$J$4:$J$503,_calc!$E$201))=0,"",INDEX('Checks'!$J$4:$J$503,_calc!$E$201))&amp;". ")&amp;IF(LEN(IF(ISNUMBER(INDEX('Checks'!$K$4:$K$503,_calc!$E$201)),TEXT(INDEX('Checks'!$K$4:$K$503,_calc!$E$201),"yyyy-mm-dd"),""))=0,"","Copy to tenant: "&amp;IF(ISNUMBER(INDEX('Checks'!$K$4:$K$503,_calc!$E$201)),TEXT(INDEX('Checks'!$K$4:$K$503,_calc!$E$201),"yyyy-mm-dd"),"")&amp;". ")&amp;IF(LEN(IF(LEN(INDEX('Checks'!$P$4:$P$503,_calc!$E$201))=0,"",INDEX('Checks'!$P$4:$P$503,_calc!$E$201)))=0,"",IF(LEN(INDEX('Checks'!$P$4:$P$503,_calc!$E$201))=0,"",INDEX('Checks'!$P$4:$P$503,_calc!$E$201)))))</f>
        <v/>
      </c>
      <c r="G199" s="47">
        <f>IF(_calc!$E$201="","",IF(LEN(INDEX('Checks'!$N$4:$N$503,_calc!$E$201))=0,"",INDEX('Checks'!$N$4:$N$503,_calc!$E$201)))</f>
        <v/>
      </c>
      <c r="K199" s="47">
        <f>IF(_calc!$E$201="","",IF(LEN(INDEX('Checks'!$M$4:$M$503,_calc!$E$201))=0,"",INDEX('Checks'!$M$4:$M$503,_calc!$E$201)))</f>
        <v/>
      </c>
    </row>
    <row r="200">
      <c r="A200" s="47">
        <f>IF(_calc!$E$202="","",IF(LEN(INDEX('Checks'!$B$4:$B$503,_calc!$E$202))=0,"",INDEX('Checks'!$B$4:$B$503,_calc!$E$202))&amp;" – "&amp;IF(LEN(INDEX('Checks'!$A$4:$A$503,_calc!$E$202))=0,"",INDEX('Checks'!$A$4:$A$503,_calc!$E$202)))</f>
        <v/>
      </c>
      <c r="B200" s="47">
        <f>IF(_calc!$E$202="","",IF(ISNUMBER(INDEX('Checks'!$D$4:$D$503,_calc!$E$202)),TEXT(INDEX('Checks'!$D$4:$D$503,_calc!$E$202),"yyyy-mm-dd"),""))</f>
        <v/>
      </c>
      <c r="C200" s="47">
        <f>IF(_calc!$E$202="","",IF(LEN(INDEX('Checks'!$B$4:$B$503,_calc!$E$202))=0,"",INDEX('Checks'!$B$4:$B$503,_calc!$E$202)))</f>
        <v/>
      </c>
      <c r="D200" s="47">
        <f>IF(_calc!$E$202="","",IF(ISNUMBER(INDEX('Checks'!$C$4:$C$503,_calc!$E$202)),TEXT(INDEX('Checks'!$C$4:$C$503,_calc!$E$202),"yyyy-mm-dd"),""))</f>
        <v/>
      </c>
      <c r="E200" s="47">
        <f>IF(_calc!$E$202="","",IF(LEN(INDEX('Checks'!$L$4:$L$503,_calc!$E$202))=0,"",INDEX('Checks'!$L$4:$L$503,_calc!$E$202)))</f>
        <v/>
      </c>
      <c r="F200" s="47">
        <f>IF(_calc!$E$202="","",TRIM(IF(LEN(IF(LEN(INDEX('Checks'!$I$4:$I$503,_calc!$E$202))=0,"",INDEX('Checks'!$I$4:$I$503,_calc!$E$202)))=0,"","Contractor: "&amp;IF(LEN(INDEX('Checks'!$I$4:$I$503,_calc!$E$202))=0,"",INDEX('Checks'!$I$4:$I$503,_calc!$E$202))&amp;". ")&amp;IF(LEN(IF(LEN(INDEX('Checks'!$J$4:$J$503,_calc!$E$202))=0,"",INDEX('Checks'!$J$4:$J$503,_calc!$E$202)))=0,"","Ref: "&amp;IF(LEN(INDEX('Checks'!$J$4:$J$503,_calc!$E$202))=0,"",INDEX('Checks'!$J$4:$J$503,_calc!$E$202))&amp;". ")&amp;IF(LEN(IF(ISNUMBER(INDEX('Checks'!$K$4:$K$503,_calc!$E$202)),TEXT(INDEX('Checks'!$K$4:$K$503,_calc!$E$202),"yyyy-mm-dd"),""))=0,"","Copy to tenant: "&amp;IF(ISNUMBER(INDEX('Checks'!$K$4:$K$503,_calc!$E$202)),TEXT(INDEX('Checks'!$K$4:$K$503,_calc!$E$202),"yyyy-mm-dd"),"")&amp;". ")&amp;IF(LEN(IF(LEN(INDEX('Checks'!$P$4:$P$503,_calc!$E$202))=0,"",INDEX('Checks'!$P$4:$P$503,_calc!$E$202)))=0,"",IF(LEN(INDEX('Checks'!$P$4:$P$503,_calc!$E$202))=0,"",INDEX('Checks'!$P$4:$P$503,_calc!$E$202)))))</f>
        <v/>
      </c>
      <c r="G200" s="47">
        <f>IF(_calc!$E$202="","",IF(LEN(INDEX('Checks'!$N$4:$N$503,_calc!$E$202))=0,"",INDEX('Checks'!$N$4:$N$503,_calc!$E$202)))</f>
        <v/>
      </c>
      <c r="K200" s="47">
        <f>IF(_calc!$E$202="","",IF(LEN(INDEX('Checks'!$M$4:$M$503,_calc!$E$202))=0,"",INDEX('Checks'!$M$4:$M$503,_calc!$E$202)))</f>
        <v/>
      </c>
    </row>
    <row r="201">
      <c r="A201" s="47">
        <f>IF(_calc!$E$203="","",IF(LEN(INDEX('Checks'!$B$4:$B$503,_calc!$E$203))=0,"",INDEX('Checks'!$B$4:$B$503,_calc!$E$203))&amp;" – "&amp;IF(LEN(INDEX('Checks'!$A$4:$A$503,_calc!$E$203))=0,"",INDEX('Checks'!$A$4:$A$503,_calc!$E$203)))</f>
        <v/>
      </c>
      <c r="B201" s="47">
        <f>IF(_calc!$E$203="","",IF(ISNUMBER(INDEX('Checks'!$D$4:$D$503,_calc!$E$203)),TEXT(INDEX('Checks'!$D$4:$D$503,_calc!$E$203),"yyyy-mm-dd"),""))</f>
        <v/>
      </c>
      <c r="C201" s="47">
        <f>IF(_calc!$E$203="","",IF(LEN(INDEX('Checks'!$B$4:$B$503,_calc!$E$203))=0,"",INDEX('Checks'!$B$4:$B$503,_calc!$E$203)))</f>
        <v/>
      </c>
      <c r="D201" s="47">
        <f>IF(_calc!$E$203="","",IF(ISNUMBER(INDEX('Checks'!$C$4:$C$503,_calc!$E$203)),TEXT(INDEX('Checks'!$C$4:$C$503,_calc!$E$203),"yyyy-mm-dd"),""))</f>
        <v/>
      </c>
      <c r="E201" s="47">
        <f>IF(_calc!$E$203="","",IF(LEN(INDEX('Checks'!$L$4:$L$503,_calc!$E$203))=0,"",INDEX('Checks'!$L$4:$L$503,_calc!$E$203)))</f>
        <v/>
      </c>
      <c r="F201" s="47">
        <f>IF(_calc!$E$203="","",TRIM(IF(LEN(IF(LEN(INDEX('Checks'!$I$4:$I$503,_calc!$E$203))=0,"",INDEX('Checks'!$I$4:$I$503,_calc!$E$203)))=0,"","Contractor: "&amp;IF(LEN(INDEX('Checks'!$I$4:$I$503,_calc!$E$203))=0,"",INDEX('Checks'!$I$4:$I$503,_calc!$E$203))&amp;". ")&amp;IF(LEN(IF(LEN(INDEX('Checks'!$J$4:$J$503,_calc!$E$203))=0,"",INDEX('Checks'!$J$4:$J$503,_calc!$E$203)))=0,"","Ref: "&amp;IF(LEN(INDEX('Checks'!$J$4:$J$503,_calc!$E$203))=0,"",INDEX('Checks'!$J$4:$J$503,_calc!$E$203))&amp;". ")&amp;IF(LEN(IF(ISNUMBER(INDEX('Checks'!$K$4:$K$503,_calc!$E$203)),TEXT(INDEX('Checks'!$K$4:$K$503,_calc!$E$203),"yyyy-mm-dd"),""))=0,"","Copy to tenant: "&amp;IF(ISNUMBER(INDEX('Checks'!$K$4:$K$503,_calc!$E$203)),TEXT(INDEX('Checks'!$K$4:$K$503,_calc!$E$203),"yyyy-mm-dd"),"")&amp;". ")&amp;IF(LEN(IF(LEN(INDEX('Checks'!$P$4:$P$503,_calc!$E$203))=0,"",INDEX('Checks'!$P$4:$P$503,_calc!$E$203)))=0,"",IF(LEN(INDEX('Checks'!$P$4:$P$503,_calc!$E$203))=0,"",INDEX('Checks'!$P$4:$P$503,_calc!$E$203)))))</f>
        <v/>
      </c>
      <c r="G201" s="47">
        <f>IF(_calc!$E$203="","",IF(LEN(INDEX('Checks'!$N$4:$N$503,_calc!$E$203))=0,"",INDEX('Checks'!$N$4:$N$503,_calc!$E$203)))</f>
        <v/>
      </c>
      <c r="K201" s="47">
        <f>IF(_calc!$E$203="","",IF(LEN(INDEX('Checks'!$M$4:$M$503,_calc!$E$203))=0,"",INDEX('Checks'!$M$4:$M$503,_calc!$E$203)))</f>
        <v/>
      </c>
    </row>
    <row r="202">
      <c r="A202" s="47">
        <f>IF(_calc!$E$204="","",IF(LEN(INDEX('Checks'!$B$4:$B$503,_calc!$E$204))=0,"",INDEX('Checks'!$B$4:$B$503,_calc!$E$204))&amp;" – "&amp;IF(LEN(INDEX('Checks'!$A$4:$A$503,_calc!$E$204))=0,"",INDEX('Checks'!$A$4:$A$503,_calc!$E$204)))</f>
        <v/>
      </c>
      <c r="B202" s="47">
        <f>IF(_calc!$E$204="","",IF(ISNUMBER(INDEX('Checks'!$D$4:$D$503,_calc!$E$204)),TEXT(INDEX('Checks'!$D$4:$D$503,_calc!$E$204),"yyyy-mm-dd"),""))</f>
        <v/>
      </c>
      <c r="C202" s="47">
        <f>IF(_calc!$E$204="","",IF(LEN(INDEX('Checks'!$B$4:$B$503,_calc!$E$204))=0,"",INDEX('Checks'!$B$4:$B$503,_calc!$E$204)))</f>
        <v/>
      </c>
      <c r="D202" s="47">
        <f>IF(_calc!$E$204="","",IF(ISNUMBER(INDEX('Checks'!$C$4:$C$503,_calc!$E$204)),TEXT(INDEX('Checks'!$C$4:$C$503,_calc!$E$204),"yyyy-mm-dd"),""))</f>
        <v/>
      </c>
      <c r="E202" s="47">
        <f>IF(_calc!$E$204="","",IF(LEN(INDEX('Checks'!$L$4:$L$503,_calc!$E$204))=0,"",INDEX('Checks'!$L$4:$L$503,_calc!$E$204)))</f>
        <v/>
      </c>
      <c r="F202" s="47">
        <f>IF(_calc!$E$204="","",TRIM(IF(LEN(IF(LEN(INDEX('Checks'!$I$4:$I$503,_calc!$E$204))=0,"",INDEX('Checks'!$I$4:$I$503,_calc!$E$204)))=0,"","Contractor: "&amp;IF(LEN(INDEX('Checks'!$I$4:$I$503,_calc!$E$204))=0,"",INDEX('Checks'!$I$4:$I$503,_calc!$E$204))&amp;". ")&amp;IF(LEN(IF(LEN(INDEX('Checks'!$J$4:$J$503,_calc!$E$204))=0,"",INDEX('Checks'!$J$4:$J$503,_calc!$E$204)))=0,"","Ref: "&amp;IF(LEN(INDEX('Checks'!$J$4:$J$503,_calc!$E$204))=0,"",INDEX('Checks'!$J$4:$J$503,_calc!$E$204))&amp;". ")&amp;IF(LEN(IF(ISNUMBER(INDEX('Checks'!$K$4:$K$503,_calc!$E$204)),TEXT(INDEX('Checks'!$K$4:$K$503,_calc!$E$204),"yyyy-mm-dd"),""))=0,"","Copy to tenant: "&amp;IF(ISNUMBER(INDEX('Checks'!$K$4:$K$503,_calc!$E$204)),TEXT(INDEX('Checks'!$K$4:$K$503,_calc!$E$204),"yyyy-mm-dd"),"")&amp;". ")&amp;IF(LEN(IF(LEN(INDEX('Checks'!$P$4:$P$503,_calc!$E$204))=0,"",INDEX('Checks'!$P$4:$P$503,_calc!$E$204)))=0,"",IF(LEN(INDEX('Checks'!$P$4:$P$503,_calc!$E$204))=0,"",INDEX('Checks'!$P$4:$P$503,_calc!$E$204)))))</f>
        <v/>
      </c>
      <c r="G202" s="47">
        <f>IF(_calc!$E$204="","",IF(LEN(INDEX('Checks'!$N$4:$N$503,_calc!$E$204))=0,"",INDEX('Checks'!$N$4:$N$503,_calc!$E$204)))</f>
        <v/>
      </c>
      <c r="K202" s="47">
        <f>IF(_calc!$E$204="","",IF(LEN(INDEX('Checks'!$M$4:$M$503,_calc!$E$204))=0,"",INDEX('Checks'!$M$4:$M$503,_calc!$E$204)))</f>
        <v/>
      </c>
    </row>
    <row r="203">
      <c r="A203" s="47">
        <f>IF(_calc!$E$205="","",IF(LEN(INDEX('Checks'!$B$4:$B$503,_calc!$E$205))=0,"",INDEX('Checks'!$B$4:$B$503,_calc!$E$205))&amp;" – "&amp;IF(LEN(INDEX('Checks'!$A$4:$A$503,_calc!$E$205))=0,"",INDEX('Checks'!$A$4:$A$503,_calc!$E$205)))</f>
        <v/>
      </c>
      <c r="B203" s="47">
        <f>IF(_calc!$E$205="","",IF(ISNUMBER(INDEX('Checks'!$D$4:$D$503,_calc!$E$205)),TEXT(INDEX('Checks'!$D$4:$D$503,_calc!$E$205),"yyyy-mm-dd"),""))</f>
        <v/>
      </c>
      <c r="C203" s="47">
        <f>IF(_calc!$E$205="","",IF(LEN(INDEX('Checks'!$B$4:$B$503,_calc!$E$205))=0,"",INDEX('Checks'!$B$4:$B$503,_calc!$E$205)))</f>
        <v/>
      </c>
      <c r="D203" s="47">
        <f>IF(_calc!$E$205="","",IF(ISNUMBER(INDEX('Checks'!$C$4:$C$503,_calc!$E$205)),TEXT(INDEX('Checks'!$C$4:$C$503,_calc!$E$205),"yyyy-mm-dd"),""))</f>
        <v/>
      </c>
      <c r="E203" s="47">
        <f>IF(_calc!$E$205="","",IF(LEN(INDEX('Checks'!$L$4:$L$503,_calc!$E$205))=0,"",INDEX('Checks'!$L$4:$L$503,_calc!$E$205)))</f>
        <v/>
      </c>
      <c r="F203" s="47">
        <f>IF(_calc!$E$205="","",TRIM(IF(LEN(IF(LEN(INDEX('Checks'!$I$4:$I$503,_calc!$E$205))=0,"",INDEX('Checks'!$I$4:$I$503,_calc!$E$205)))=0,"","Contractor: "&amp;IF(LEN(INDEX('Checks'!$I$4:$I$503,_calc!$E$205))=0,"",INDEX('Checks'!$I$4:$I$503,_calc!$E$205))&amp;". ")&amp;IF(LEN(IF(LEN(INDEX('Checks'!$J$4:$J$503,_calc!$E$205))=0,"",INDEX('Checks'!$J$4:$J$503,_calc!$E$205)))=0,"","Ref: "&amp;IF(LEN(INDEX('Checks'!$J$4:$J$503,_calc!$E$205))=0,"",INDEX('Checks'!$J$4:$J$503,_calc!$E$205))&amp;". ")&amp;IF(LEN(IF(ISNUMBER(INDEX('Checks'!$K$4:$K$503,_calc!$E$205)),TEXT(INDEX('Checks'!$K$4:$K$503,_calc!$E$205),"yyyy-mm-dd"),""))=0,"","Copy to tenant: "&amp;IF(ISNUMBER(INDEX('Checks'!$K$4:$K$503,_calc!$E$205)),TEXT(INDEX('Checks'!$K$4:$K$503,_calc!$E$205),"yyyy-mm-dd"),"")&amp;". ")&amp;IF(LEN(IF(LEN(INDEX('Checks'!$P$4:$P$503,_calc!$E$205))=0,"",INDEX('Checks'!$P$4:$P$503,_calc!$E$205)))=0,"",IF(LEN(INDEX('Checks'!$P$4:$P$503,_calc!$E$205))=0,"",INDEX('Checks'!$P$4:$P$503,_calc!$E$205)))))</f>
        <v/>
      </c>
      <c r="G203" s="47">
        <f>IF(_calc!$E$205="","",IF(LEN(INDEX('Checks'!$N$4:$N$503,_calc!$E$205))=0,"",INDEX('Checks'!$N$4:$N$503,_calc!$E$205)))</f>
        <v/>
      </c>
      <c r="K203" s="47">
        <f>IF(_calc!$E$205="","",IF(LEN(INDEX('Checks'!$M$4:$M$503,_calc!$E$205))=0,"",INDEX('Checks'!$M$4:$M$503,_calc!$E$205)))</f>
        <v/>
      </c>
    </row>
    <row r="204">
      <c r="A204" s="47">
        <f>IF(_calc!$E$206="","",IF(LEN(INDEX('Checks'!$B$4:$B$503,_calc!$E$206))=0,"",INDEX('Checks'!$B$4:$B$503,_calc!$E$206))&amp;" – "&amp;IF(LEN(INDEX('Checks'!$A$4:$A$503,_calc!$E$206))=0,"",INDEX('Checks'!$A$4:$A$503,_calc!$E$206)))</f>
        <v/>
      </c>
      <c r="B204" s="47">
        <f>IF(_calc!$E$206="","",IF(ISNUMBER(INDEX('Checks'!$D$4:$D$503,_calc!$E$206)),TEXT(INDEX('Checks'!$D$4:$D$503,_calc!$E$206),"yyyy-mm-dd"),""))</f>
        <v/>
      </c>
      <c r="C204" s="47">
        <f>IF(_calc!$E$206="","",IF(LEN(INDEX('Checks'!$B$4:$B$503,_calc!$E$206))=0,"",INDEX('Checks'!$B$4:$B$503,_calc!$E$206)))</f>
        <v/>
      </c>
      <c r="D204" s="47">
        <f>IF(_calc!$E$206="","",IF(ISNUMBER(INDEX('Checks'!$C$4:$C$503,_calc!$E$206)),TEXT(INDEX('Checks'!$C$4:$C$503,_calc!$E$206),"yyyy-mm-dd"),""))</f>
        <v/>
      </c>
      <c r="E204" s="47">
        <f>IF(_calc!$E$206="","",IF(LEN(INDEX('Checks'!$L$4:$L$503,_calc!$E$206))=0,"",INDEX('Checks'!$L$4:$L$503,_calc!$E$206)))</f>
        <v/>
      </c>
      <c r="F204" s="47">
        <f>IF(_calc!$E$206="","",TRIM(IF(LEN(IF(LEN(INDEX('Checks'!$I$4:$I$503,_calc!$E$206))=0,"",INDEX('Checks'!$I$4:$I$503,_calc!$E$206)))=0,"","Contractor: "&amp;IF(LEN(INDEX('Checks'!$I$4:$I$503,_calc!$E$206))=0,"",INDEX('Checks'!$I$4:$I$503,_calc!$E$206))&amp;". ")&amp;IF(LEN(IF(LEN(INDEX('Checks'!$J$4:$J$503,_calc!$E$206))=0,"",INDEX('Checks'!$J$4:$J$503,_calc!$E$206)))=0,"","Ref: "&amp;IF(LEN(INDEX('Checks'!$J$4:$J$503,_calc!$E$206))=0,"",INDEX('Checks'!$J$4:$J$503,_calc!$E$206))&amp;". ")&amp;IF(LEN(IF(ISNUMBER(INDEX('Checks'!$K$4:$K$503,_calc!$E$206)),TEXT(INDEX('Checks'!$K$4:$K$503,_calc!$E$206),"yyyy-mm-dd"),""))=0,"","Copy to tenant: "&amp;IF(ISNUMBER(INDEX('Checks'!$K$4:$K$503,_calc!$E$206)),TEXT(INDEX('Checks'!$K$4:$K$503,_calc!$E$206),"yyyy-mm-dd"),"")&amp;". ")&amp;IF(LEN(IF(LEN(INDEX('Checks'!$P$4:$P$503,_calc!$E$206))=0,"",INDEX('Checks'!$P$4:$P$503,_calc!$E$206)))=0,"",IF(LEN(INDEX('Checks'!$P$4:$P$503,_calc!$E$206))=0,"",INDEX('Checks'!$P$4:$P$503,_calc!$E$206)))))</f>
        <v/>
      </c>
      <c r="G204" s="47">
        <f>IF(_calc!$E$206="","",IF(LEN(INDEX('Checks'!$N$4:$N$503,_calc!$E$206))=0,"",INDEX('Checks'!$N$4:$N$503,_calc!$E$206)))</f>
        <v/>
      </c>
      <c r="K204" s="47">
        <f>IF(_calc!$E$206="","",IF(LEN(INDEX('Checks'!$M$4:$M$503,_calc!$E$206))=0,"",INDEX('Checks'!$M$4:$M$503,_calc!$E$206)))</f>
        <v/>
      </c>
    </row>
    <row r="205">
      <c r="A205" s="47">
        <f>IF(_calc!$E$207="","",IF(LEN(INDEX('Checks'!$B$4:$B$503,_calc!$E$207))=0,"",INDEX('Checks'!$B$4:$B$503,_calc!$E$207))&amp;" – "&amp;IF(LEN(INDEX('Checks'!$A$4:$A$503,_calc!$E$207))=0,"",INDEX('Checks'!$A$4:$A$503,_calc!$E$207)))</f>
        <v/>
      </c>
      <c r="B205" s="47">
        <f>IF(_calc!$E$207="","",IF(ISNUMBER(INDEX('Checks'!$D$4:$D$503,_calc!$E$207)),TEXT(INDEX('Checks'!$D$4:$D$503,_calc!$E$207),"yyyy-mm-dd"),""))</f>
        <v/>
      </c>
      <c r="C205" s="47">
        <f>IF(_calc!$E$207="","",IF(LEN(INDEX('Checks'!$B$4:$B$503,_calc!$E$207))=0,"",INDEX('Checks'!$B$4:$B$503,_calc!$E$207)))</f>
        <v/>
      </c>
      <c r="D205" s="47">
        <f>IF(_calc!$E$207="","",IF(ISNUMBER(INDEX('Checks'!$C$4:$C$503,_calc!$E$207)),TEXT(INDEX('Checks'!$C$4:$C$503,_calc!$E$207),"yyyy-mm-dd"),""))</f>
        <v/>
      </c>
      <c r="E205" s="47">
        <f>IF(_calc!$E$207="","",IF(LEN(INDEX('Checks'!$L$4:$L$503,_calc!$E$207))=0,"",INDEX('Checks'!$L$4:$L$503,_calc!$E$207)))</f>
        <v/>
      </c>
      <c r="F205" s="47">
        <f>IF(_calc!$E$207="","",TRIM(IF(LEN(IF(LEN(INDEX('Checks'!$I$4:$I$503,_calc!$E$207))=0,"",INDEX('Checks'!$I$4:$I$503,_calc!$E$207)))=0,"","Contractor: "&amp;IF(LEN(INDEX('Checks'!$I$4:$I$503,_calc!$E$207))=0,"",INDEX('Checks'!$I$4:$I$503,_calc!$E$207))&amp;". ")&amp;IF(LEN(IF(LEN(INDEX('Checks'!$J$4:$J$503,_calc!$E$207))=0,"",INDEX('Checks'!$J$4:$J$503,_calc!$E$207)))=0,"","Ref: "&amp;IF(LEN(INDEX('Checks'!$J$4:$J$503,_calc!$E$207))=0,"",INDEX('Checks'!$J$4:$J$503,_calc!$E$207))&amp;". ")&amp;IF(LEN(IF(ISNUMBER(INDEX('Checks'!$K$4:$K$503,_calc!$E$207)),TEXT(INDEX('Checks'!$K$4:$K$503,_calc!$E$207),"yyyy-mm-dd"),""))=0,"","Copy to tenant: "&amp;IF(ISNUMBER(INDEX('Checks'!$K$4:$K$503,_calc!$E$207)),TEXT(INDEX('Checks'!$K$4:$K$503,_calc!$E$207),"yyyy-mm-dd"),"")&amp;". ")&amp;IF(LEN(IF(LEN(INDEX('Checks'!$P$4:$P$503,_calc!$E$207))=0,"",INDEX('Checks'!$P$4:$P$503,_calc!$E$207)))=0,"",IF(LEN(INDEX('Checks'!$P$4:$P$503,_calc!$E$207))=0,"",INDEX('Checks'!$P$4:$P$503,_calc!$E$207)))))</f>
        <v/>
      </c>
      <c r="G205" s="47">
        <f>IF(_calc!$E$207="","",IF(LEN(INDEX('Checks'!$N$4:$N$503,_calc!$E$207))=0,"",INDEX('Checks'!$N$4:$N$503,_calc!$E$207)))</f>
        <v/>
      </c>
      <c r="K205" s="47">
        <f>IF(_calc!$E$207="","",IF(LEN(INDEX('Checks'!$M$4:$M$503,_calc!$E$207))=0,"",INDEX('Checks'!$M$4:$M$503,_calc!$E$207)))</f>
        <v/>
      </c>
    </row>
    <row r="206">
      <c r="A206" s="47">
        <f>IF(_calc!$E$208="","",IF(LEN(INDEX('Checks'!$B$4:$B$503,_calc!$E$208))=0,"",INDEX('Checks'!$B$4:$B$503,_calc!$E$208))&amp;" – "&amp;IF(LEN(INDEX('Checks'!$A$4:$A$503,_calc!$E$208))=0,"",INDEX('Checks'!$A$4:$A$503,_calc!$E$208)))</f>
        <v/>
      </c>
      <c r="B206" s="47">
        <f>IF(_calc!$E$208="","",IF(ISNUMBER(INDEX('Checks'!$D$4:$D$503,_calc!$E$208)),TEXT(INDEX('Checks'!$D$4:$D$503,_calc!$E$208),"yyyy-mm-dd"),""))</f>
        <v/>
      </c>
      <c r="C206" s="47">
        <f>IF(_calc!$E$208="","",IF(LEN(INDEX('Checks'!$B$4:$B$503,_calc!$E$208))=0,"",INDEX('Checks'!$B$4:$B$503,_calc!$E$208)))</f>
        <v/>
      </c>
      <c r="D206" s="47">
        <f>IF(_calc!$E$208="","",IF(ISNUMBER(INDEX('Checks'!$C$4:$C$503,_calc!$E$208)),TEXT(INDEX('Checks'!$C$4:$C$503,_calc!$E$208),"yyyy-mm-dd"),""))</f>
        <v/>
      </c>
      <c r="E206" s="47">
        <f>IF(_calc!$E$208="","",IF(LEN(INDEX('Checks'!$L$4:$L$503,_calc!$E$208))=0,"",INDEX('Checks'!$L$4:$L$503,_calc!$E$208)))</f>
        <v/>
      </c>
      <c r="F206" s="47">
        <f>IF(_calc!$E$208="","",TRIM(IF(LEN(IF(LEN(INDEX('Checks'!$I$4:$I$503,_calc!$E$208))=0,"",INDEX('Checks'!$I$4:$I$503,_calc!$E$208)))=0,"","Contractor: "&amp;IF(LEN(INDEX('Checks'!$I$4:$I$503,_calc!$E$208))=0,"",INDEX('Checks'!$I$4:$I$503,_calc!$E$208))&amp;". ")&amp;IF(LEN(IF(LEN(INDEX('Checks'!$J$4:$J$503,_calc!$E$208))=0,"",INDEX('Checks'!$J$4:$J$503,_calc!$E$208)))=0,"","Ref: "&amp;IF(LEN(INDEX('Checks'!$J$4:$J$503,_calc!$E$208))=0,"",INDEX('Checks'!$J$4:$J$503,_calc!$E$208))&amp;". ")&amp;IF(LEN(IF(ISNUMBER(INDEX('Checks'!$K$4:$K$503,_calc!$E$208)),TEXT(INDEX('Checks'!$K$4:$K$503,_calc!$E$208),"yyyy-mm-dd"),""))=0,"","Copy to tenant: "&amp;IF(ISNUMBER(INDEX('Checks'!$K$4:$K$503,_calc!$E$208)),TEXT(INDEX('Checks'!$K$4:$K$503,_calc!$E$208),"yyyy-mm-dd"),"")&amp;". ")&amp;IF(LEN(IF(LEN(INDEX('Checks'!$P$4:$P$503,_calc!$E$208))=0,"",INDEX('Checks'!$P$4:$P$503,_calc!$E$208)))=0,"",IF(LEN(INDEX('Checks'!$P$4:$P$503,_calc!$E$208))=0,"",INDEX('Checks'!$P$4:$P$503,_calc!$E$208)))))</f>
        <v/>
      </c>
      <c r="G206" s="47">
        <f>IF(_calc!$E$208="","",IF(LEN(INDEX('Checks'!$N$4:$N$503,_calc!$E$208))=0,"",INDEX('Checks'!$N$4:$N$503,_calc!$E$208)))</f>
        <v/>
      </c>
      <c r="K206" s="47">
        <f>IF(_calc!$E$208="","",IF(LEN(INDEX('Checks'!$M$4:$M$503,_calc!$E$208))=0,"",INDEX('Checks'!$M$4:$M$503,_calc!$E$208)))</f>
        <v/>
      </c>
    </row>
    <row r="207">
      <c r="A207" s="47">
        <f>IF(_calc!$E$209="","",IF(LEN(INDEX('Checks'!$B$4:$B$503,_calc!$E$209))=0,"",INDEX('Checks'!$B$4:$B$503,_calc!$E$209))&amp;" – "&amp;IF(LEN(INDEX('Checks'!$A$4:$A$503,_calc!$E$209))=0,"",INDEX('Checks'!$A$4:$A$503,_calc!$E$209)))</f>
        <v/>
      </c>
      <c r="B207" s="47">
        <f>IF(_calc!$E$209="","",IF(ISNUMBER(INDEX('Checks'!$D$4:$D$503,_calc!$E$209)),TEXT(INDEX('Checks'!$D$4:$D$503,_calc!$E$209),"yyyy-mm-dd"),""))</f>
        <v/>
      </c>
      <c r="C207" s="47">
        <f>IF(_calc!$E$209="","",IF(LEN(INDEX('Checks'!$B$4:$B$503,_calc!$E$209))=0,"",INDEX('Checks'!$B$4:$B$503,_calc!$E$209)))</f>
        <v/>
      </c>
      <c r="D207" s="47">
        <f>IF(_calc!$E$209="","",IF(ISNUMBER(INDEX('Checks'!$C$4:$C$503,_calc!$E$209)),TEXT(INDEX('Checks'!$C$4:$C$503,_calc!$E$209),"yyyy-mm-dd"),""))</f>
        <v/>
      </c>
      <c r="E207" s="47">
        <f>IF(_calc!$E$209="","",IF(LEN(INDEX('Checks'!$L$4:$L$503,_calc!$E$209))=0,"",INDEX('Checks'!$L$4:$L$503,_calc!$E$209)))</f>
        <v/>
      </c>
      <c r="F207" s="47">
        <f>IF(_calc!$E$209="","",TRIM(IF(LEN(IF(LEN(INDEX('Checks'!$I$4:$I$503,_calc!$E$209))=0,"",INDEX('Checks'!$I$4:$I$503,_calc!$E$209)))=0,"","Contractor: "&amp;IF(LEN(INDEX('Checks'!$I$4:$I$503,_calc!$E$209))=0,"",INDEX('Checks'!$I$4:$I$503,_calc!$E$209))&amp;". ")&amp;IF(LEN(IF(LEN(INDEX('Checks'!$J$4:$J$503,_calc!$E$209))=0,"",INDEX('Checks'!$J$4:$J$503,_calc!$E$209)))=0,"","Ref: "&amp;IF(LEN(INDEX('Checks'!$J$4:$J$503,_calc!$E$209))=0,"",INDEX('Checks'!$J$4:$J$503,_calc!$E$209))&amp;". ")&amp;IF(LEN(IF(ISNUMBER(INDEX('Checks'!$K$4:$K$503,_calc!$E$209)),TEXT(INDEX('Checks'!$K$4:$K$503,_calc!$E$209),"yyyy-mm-dd"),""))=0,"","Copy to tenant: "&amp;IF(ISNUMBER(INDEX('Checks'!$K$4:$K$503,_calc!$E$209)),TEXT(INDEX('Checks'!$K$4:$K$503,_calc!$E$209),"yyyy-mm-dd"),"")&amp;". ")&amp;IF(LEN(IF(LEN(INDEX('Checks'!$P$4:$P$503,_calc!$E$209))=0,"",INDEX('Checks'!$P$4:$P$503,_calc!$E$209)))=0,"",IF(LEN(INDEX('Checks'!$P$4:$P$503,_calc!$E$209))=0,"",INDEX('Checks'!$P$4:$P$503,_calc!$E$209)))))</f>
        <v/>
      </c>
      <c r="G207" s="47">
        <f>IF(_calc!$E$209="","",IF(LEN(INDEX('Checks'!$N$4:$N$503,_calc!$E$209))=0,"",INDEX('Checks'!$N$4:$N$503,_calc!$E$209)))</f>
        <v/>
      </c>
      <c r="K207" s="47">
        <f>IF(_calc!$E$209="","",IF(LEN(INDEX('Checks'!$M$4:$M$503,_calc!$E$209))=0,"",INDEX('Checks'!$M$4:$M$503,_calc!$E$209)))</f>
        <v/>
      </c>
    </row>
    <row r="208">
      <c r="A208" s="47">
        <f>IF(_calc!$E$210="","",IF(LEN(INDEX('Checks'!$B$4:$B$503,_calc!$E$210))=0,"",INDEX('Checks'!$B$4:$B$503,_calc!$E$210))&amp;" – "&amp;IF(LEN(INDEX('Checks'!$A$4:$A$503,_calc!$E$210))=0,"",INDEX('Checks'!$A$4:$A$503,_calc!$E$210)))</f>
        <v/>
      </c>
      <c r="B208" s="47">
        <f>IF(_calc!$E$210="","",IF(ISNUMBER(INDEX('Checks'!$D$4:$D$503,_calc!$E$210)),TEXT(INDEX('Checks'!$D$4:$D$503,_calc!$E$210),"yyyy-mm-dd"),""))</f>
        <v/>
      </c>
      <c r="C208" s="47">
        <f>IF(_calc!$E$210="","",IF(LEN(INDEX('Checks'!$B$4:$B$503,_calc!$E$210))=0,"",INDEX('Checks'!$B$4:$B$503,_calc!$E$210)))</f>
        <v/>
      </c>
      <c r="D208" s="47">
        <f>IF(_calc!$E$210="","",IF(ISNUMBER(INDEX('Checks'!$C$4:$C$503,_calc!$E$210)),TEXT(INDEX('Checks'!$C$4:$C$503,_calc!$E$210),"yyyy-mm-dd"),""))</f>
        <v/>
      </c>
      <c r="E208" s="47">
        <f>IF(_calc!$E$210="","",IF(LEN(INDEX('Checks'!$L$4:$L$503,_calc!$E$210))=0,"",INDEX('Checks'!$L$4:$L$503,_calc!$E$210)))</f>
        <v/>
      </c>
      <c r="F208" s="47">
        <f>IF(_calc!$E$210="","",TRIM(IF(LEN(IF(LEN(INDEX('Checks'!$I$4:$I$503,_calc!$E$210))=0,"",INDEX('Checks'!$I$4:$I$503,_calc!$E$210)))=0,"","Contractor: "&amp;IF(LEN(INDEX('Checks'!$I$4:$I$503,_calc!$E$210))=0,"",INDEX('Checks'!$I$4:$I$503,_calc!$E$210))&amp;". ")&amp;IF(LEN(IF(LEN(INDEX('Checks'!$J$4:$J$503,_calc!$E$210))=0,"",INDEX('Checks'!$J$4:$J$503,_calc!$E$210)))=0,"","Ref: "&amp;IF(LEN(INDEX('Checks'!$J$4:$J$503,_calc!$E$210))=0,"",INDEX('Checks'!$J$4:$J$503,_calc!$E$210))&amp;". ")&amp;IF(LEN(IF(ISNUMBER(INDEX('Checks'!$K$4:$K$503,_calc!$E$210)),TEXT(INDEX('Checks'!$K$4:$K$503,_calc!$E$210),"yyyy-mm-dd"),""))=0,"","Copy to tenant: "&amp;IF(ISNUMBER(INDEX('Checks'!$K$4:$K$503,_calc!$E$210)),TEXT(INDEX('Checks'!$K$4:$K$503,_calc!$E$210),"yyyy-mm-dd"),"")&amp;". ")&amp;IF(LEN(IF(LEN(INDEX('Checks'!$P$4:$P$503,_calc!$E$210))=0,"",INDEX('Checks'!$P$4:$P$503,_calc!$E$210)))=0,"",IF(LEN(INDEX('Checks'!$P$4:$P$503,_calc!$E$210))=0,"",INDEX('Checks'!$P$4:$P$503,_calc!$E$210)))))</f>
        <v/>
      </c>
      <c r="G208" s="47">
        <f>IF(_calc!$E$210="","",IF(LEN(INDEX('Checks'!$N$4:$N$503,_calc!$E$210))=0,"",INDEX('Checks'!$N$4:$N$503,_calc!$E$210)))</f>
        <v/>
      </c>
      <c r="K208" s="47">
        <f>IF(_calc!$E$210="","",IF(LEN(INDEX('Checks'!$M$4:$M$503,_calc!$E$210))=0,"",INDEX('Checks'!$M$4:$M$503,_calc!$E$210)))</f>
        <v/>
      </c>
    </row>
    <row r="209">
      <c r="A209" s="47">
        <f>IF(_calc!$E$211="","",IF(LEN(INDEX('Checks'!$B$4:$B$503,_calc!$E$211))=0,"",INDEX('Checks'!$B$4:$B$503,_calc!$E$211))&amp;" – "&amp;IF(LEN(INDEX('Checks'!$A$4:$A$503,_calc!$E$211))=0,"",INDEX('Checks'!$A$4:$A$503,_calc!$E$211)))</f>
        <v/>
      </c>
      <c r="B209" s="47">
        <f>IF(_calc!$E$211="","",IF(ISNUMBER(INDEX('Checks'!$D$4:$D$503,_calc!$E$211)),TEXT(INDEX('Checks'!$D$4:$D$503,_calc!$E$211),"yyyy-mm-dd"),""))</f>
        <v/>
      </c>
      <c r="C209" s="47">
        <f>IF(_calc!$E$211="","",IF(LEN(INDEX('Checks'!$B$4:$B$503,_calc!$E$211))=0,"",INDEX('Checks'!$B$4:$B$503,_calc!$E$211)))</f>
        <v/>
      </c>
      <c r="D209" s="47">
        <f>IF(_calc!$E$211="","",IF(ISNUMBER(INDEX('Checks'!$C$4:$C$503,_calc!$E$211)),TEXT(INDEX('Checks'!$C$4:$C$503,_calc!$E$211),"yyyy-mm-dd"),""))</f>
        <v/>
      </c>
      <c r="E209" s="47">
        <f>IF(_calc!$E$211="","",IF(LEN(INDEX('Checks'!$L$4:$L$503,_calc!$E$211))=0,"",INDEX('Checks'!$L$4:$L$503,_calc!$E$211)))</f>
        <v/>
      </c>
      <c r="F209" s="47">
        <f>IF(_calc!$E$211="","",TRIM(IF(LEN(IF(LEN(INDEX('Checks'!$I$4:$I$503,_calc!$E$211))=0,"",INDEX('Checks'!$I$4:$I$503,_calc!$E$211)))=0,"","Contractor: "&amp;IF(LEN(INDEX('Checks'!$I$4:$I$503,_calc!$E$211))=0,"",INDEX('Checks'!$I$4:$I$503,_calc!$E$211))&amp;". ")&amp;IF(LEN(IF(LEN(INDEX('Checks'!$J$4:$J$503,_calc!$E$211))=0,"",INDEX('Checks'!$J$4:$J$503,_calc!$E$211)))=0,"","Ref: "&amp;IF(LEN(INDEX('Checks'!$J$4:$J$503,_calc!$E$211))=0,"",INDEX('Checks'!$J$4:$J$503,_calc!$E$211))&amp;". ")&amp;IF(LEN(IF(ISNUMBER(INDEX('Checks'!$K$4:$K$503,_calc!$E$211)),TEXT(INDEX('Checks'!$K$4:$K$503,_calc!$E$211),"yyyy-mm-dd"),""))=0,"","Copy to tenant: "&amp;IF(ISNUMBER(INDEX('Checks'!$K$4:$K$503,_calc!$E$211)),TEXT(INDEX('Checks'!$K$4:$K$503,_calc!$E$211),"yyyy-mm-dd"),"")&amp;". ")&amp;IF(LEN(IF(LEN(INDEX('Checks'!$P$4:$P$503,_calc!$E$211))=0,"",INDEX('Checks'!$P$4:$P$503,_calc!$E$211)))=0,"",IF(LEN(INDEX('Checks'!$P$4:$P$503,_calc!$E$211))=0,"",INDEX('Checks'!$P$4:$P$503,_calc!$E$211)))))</f>
        <v/>
      </c>
      <c r="G209" s="47">
        <f>IF(_calc!$E$211="","",IF(LEN(INDEX('Checks'!$N$4:$N$503,_calc!$E$211))=0,"",INDEX('Checks'!$N$4:$N$503,_calc!$E$211)))</f>
        <v/>
      </c>
      <c r="K209" s="47">
        <f>IF(_calc!$E$211="","",IF(LEN(INDEX('Checks'!$M$4:$M$503,_calc!$E$211))=0,"",INDEX('Checks'!$M$4:$M$503,_calc!$E$211)))</f>
        <v/>
      </c>
    </row>
    <row r="210">
      <c r="A210" s="47">
        <f>IF(_calc!$E$212="","",IF(LEN(INDEX('Checks'!$B$4:$B$503,_calc!$E$212))=0,"",INDEX('Checks'!$B$4:$B$503,_calc!$E$212))&amp;" – "&amp;IF(LEN(INDEX('Checks'!$A$4:$A$503,_calc!$E$212))=0,"",INDEX('Checks'!$A$4:$A$503,_calc!$E$212)))</f>
        <v/>
      </c>
      <c r="B210" s="47">
        <f>IF(_calc!$E$212="","",IF(ISNUMBER(INDEX('Checks'!$D$4:$D$503,_calc!$E$212)),TEXT(INDEX('Checks'!$D$4:$D$503,_calc!$E$212),"yyyy-mm-dd"),""))</f>
        <v/>
      </c>
      <c r="C210" s="47">
        <f>IF(_calc!$E$212="","",IF(LEN(INDEX('Checks'!$B$4:$B$503,_calc!$E$212))=0,"",INDEX('Checks'!$B$4:$B$503,_calc!$E$212)))</f>
        <v/>
      </c>
      <c r="D210" s="47">
        <f>IF(_calc!$E$212="","",IF(ISNUMBER(INDEX('Checks'!$C$4:$C$503,_calc!$E$212)),TEXT(INDEX('Checks'!$C$4:$C$503,_calc!$E$212),"yyyy-mm-dd"),""))</f>
        <v/>
      </c>
      <c r="E210" s="47">
        <f>IF(_calc!$E$212="","",IF(LEN(INDEX('Checks'!$L$4:$L$503,_calc!$E$212))=0,"",INDEX('Checks'!$L$4:$L$503,_calc!$E$212)))</f>
        <v/>
      </c>
      <c r="F210" s="47">
        <f>IF(_calc!$E$212="","",TRIM(IF(LEN(IF(LEN(INDEX('Checks'!$I$4:$I$503,_calc!$E$212))=0,"",INDEX('Checks'!$I$4:$I$503,_calc!$E$212)))=0,"","Contractor: "&amp;IF(LEN(INDEX('Checks'!$I$4:$I$503,_calc!$E$212))=0,"",INDEX('Checks'!$I$4:$I$503,_calc!$E$212))&amp;". ")&amp;IF(LEN(IF(LEN(INDEX('Checks'!$J$4:$J$503,_calc!$E$212))=0,"",INDEX('Checks'!$J$4:$J$503,_calc!$E$212)))=0,"","Ref: "&amp;IF(LEN(INDEX('Checks'!$J$4:$J$503,_calc!$E$212))=0,"",INDEX('Checks'!$J$4:$J$503,_calc!$E$212))&amp;". ")&amp;IF(LEN(IF(ISNUMBER(INDEX('Checks'!$K$4:$K$503,_calc!$E$212)),TEXT(INDEX('Checks'!$K$4:$K$503,_calc!$E$212),"yyyy-mm-dd"),""))=0,"","Copy to tenant: "&amp;IF(ISNUMBER(INDEX('Checks'!$K$4:$K$503,_calc!$E$212)),TEXT(INDEX('Checks'!$K$4:$K$503,_calc!$E$212),"yyyy-mm-dd"),"")&amp;". ")&amp;IF(LEN(IF(LEN(INDEX('Checks'!$P$4:$P$503,_calc!$E$212))=0,"",INDEX('Checks'!$P$4:$P$503,_calc!$E$212)))=0,"",IF(LEN(INDEX('Checks'!$P$4:$P$503,_calc!$E$212))=0,"",INDEX('Checks'!$P$4:$P$503,_calc!$E$212)))))</f>
        <v/>
      </c>
      <c r="G210" s="47">
        <f>IF(_calc!$E$212="","",IF(LEN(INDEX('Checks'!$N$4:$N$503,_calc!$E$212))=0,"",INDEX('Checks'!$N$4:$N$503,_calc!$E$212)))</f>
        <v/>
      </c>
      <c r="K210" s="47">
        <f>IF(_calc!$E$212="","",IF(LEN(INDEX('Checks'!$M$4:$M$503,_calc!$E$212))=0,"",INDEX('Checks'!$M$4:$M$503,_calc!$E$212)))</f>
        <v/>
      </c>
    </row>
    <row r="211">
      <c r="A211" s="47">
        <f>IF(_calc!$E$213="","",IF(LEN(INDEX('Checks'!$B$4:$B$503,_calc!$E$213))=0,"",INDEX('Checks'!$B$4:$B$503,_calc!$E$213))&amp;" – "&amp;IF(LEN(INDEX('Checks'!$A$4:$A$503,_calc!$E$213))=0,"",INDEX('Checks'!$A$4:$A$503,_calc!$E$213)))</f>
        <v/>
      </c>
      <c r="B211" s="47">
        <f>IF(_calc!$E$213="","",IF(ISNUMBER(INDEX('Checks'!$D$4:$D$503,_calc!$E$213)),TEXT(INDEX('Checks'!$D$4:$D$503,_calc!$E$213),"yyyy-mm-dd"),""))</f>
        <v/>
      </c>
      <c r="C211" s="47">
        <f>IF(_calc!$E$213="","",IF(LEN(INDEX('Checks'!$B$4:$B$503,_calc!$E$213))=0,"",INDEX('Checks'!$B$4:$B$503,_calc!$E$213)))</f>
        <v/>
      </c>
      <c r="D211" s="47">
        <f>IF(_calc!$E$213="","",IF(ISNUMBER(INDEX('Checks'!$C$4:$C$503,_calc!$E$213)),TEXT(INDEX('Checks'!$C$4:$C$503,_calc!$E$213),"yyyy-mm-dd"),""))</f>
        <v/>
      </c>
      <c r="E211" s="47">
        <f>IF(_calc!$E$213="","",IF(LEN(INDEX('Checks'!$L$4:$L$503,_calc!$E$213))=0,"",INDEX('Checks'!$L$4:$L$503,_calc!$E$213)))</f>
        <v/>
      </c>
      <c r="F211" s="47">
        <f>IF(_calc!$E$213="","",TRIM(IF(LEN(IF(LEN(INDEX('Checks'!$I$4:$I$503,_calc!$E$213))=0,"",INDEX('Checks'!$I$4:$I$503,_calc!$E$213)))=0,"","Contractor: "&amp;IF(LEN(INDEX('Checks'!$I$4:$I$503,_calc!$E$213))=0,"",INDEX('Checks'!$I$4:$I$503,_calc!$E$213))&amp;". ")&amp;IF(LEN(IF(LEN(INDEX('Checks'!$J$4:$J$503,_calc!$E$213))=0,"",INDEX('Checks'!$J$4:$J$503,_calc!$E$213)))=0,"","Ref: "&amp;IF(LEN(INDEX('Checks'!$J$4:$J$503,_calc!$E$213))=0,"",INDEX('Checks'!$J$4:$J$503,_calc!$E$213))&amp;". ")&amp;IF(LEN(IF(ISNUMBER(INDEX('Checks'!$K$4:$K$503,_calc!$E$213)),TEXT(INDEX('Checks'!$K$4:$K$503,_calc!$E$213),"yyyy-mm-dd"),""))=0,"","Copy to tenant: "&amp;IF(ISNUMBER(INDEX('Checks'!$K$4:$K$503,_calc!$E$213)),TEXT(INDEX('Checks'!$K$4:$K$503,_calc!$E$213),"yyyy-mm-dd"),"")&amp;". ")&amp;IF(LEN(IF(LEN(INDEX('Checks'!$P$4:$P$503,_calc!$E$213))=0,"",INDEX('Checks'!$P$4:$P$503,_calc!$E$213)))=0,"",IF(LEN(INDEX('Checks'!$P$4:$P$503,_calc!$E$213))=0,"",INDEX('Checks'!$P$4:$P$503,_calc!$E$213)))))</f>
        <v/>
      </c>
      <c r="G211" s="47">
        <f>IF(_calc!$E$213="","",IF(LEN(INDEX('Checks'!$N$4:$N$503,_calc!$E$213))=0,"",INDEX('Checks'!$N$4:$N$503,_calc!$E$213)))</f>
        <v/>
      </c>
      <c r="K211" s="47">
        <f>IF(_calc!$E$213="","",IF(LEN(INDEX('Checks'!$M$4:$M$503,_calc!$E$213))=0,"",INDEX('Checks'!$M$4:$M$503,_calc!$E$213)))</f>
        <v/>
      </c>
    </row>
    <row r="212">
      <c r="A212" s="47">
        <f>IF(_calc!$E$214="","",IF(LEN(INDEX('Checks'!$B$4:$B$503,_calc!$E$214))=0,"",INDEX('Checks'!$B$4:$B$503,_calc!$E$214))&amp;" – "&amp;IF(LEN(INDEX('Checks'!$A$4:$A$503,_calc!$E$214))=0,"",INDEX('Checks'!$A$4:$A$503,_calc!$E$214)))</f>
        <v/>
      </c>
      <c r="B212" s="47">
        <f>IF(_calc!$E$214="","",IF(ISNUMBER(INDEX('Checks'!$D$4:$D$503,_calc!$E$214)),TEXT(INDEX('Checks'!$D$4:$D$503,_calc!$E$214),"yyyy-mm-dd"),""))</f>
        <v/>
      </c>
      <c r="C212" s="47">
        <f>IF(_calc!$E$214="","",IF(LEN(INDEX('Checks'!$B$4:$B$503,_calc!$E$214))=0,"",INDEX('Checks'!$B$4:$B$503,_calc!$E$214)))</f>
        <v/>
      </c>
      <c r="D212" s="47">
        <f>IF(_calc!$E$214="","",IF(ISNUMBER(INDEX('Checks'!$C$4:$C$503,_calc!$E$214)),TEXT(INDEX('Checks'!$C$4:$C$503,_calc!$E$214),"yyyy-mm-dd"),""))</f>
        <v/>
      </c>
      <c r="E212" s="47">
        <f>IF(_calc!$E$214="","",IF(LEN(INDEX('Checks'!$L$4:$L$503,_calc!$E$214))=0,"",INDEX('Checks'!$L$4:$L$503,_calc!$E$214)))</f>
        <v/>
      </c>
      <c r="F212" s="47">
        <f>IF(_calc!$E$214="","",TRIM(IF(LEN(IF(LEN(INDEX('Checks'!$I$4:$I$503,_calc!$E$214))=0,"",INDEX('Checks'!$I$4:$I$503,_calc!$E$214)))=0,"","Contractor: "&amp;IF(LEN(INDEX('Checks'!$I$4:$I$503,_calc!$E$214))=0,"",INDEX('Checks'!$I$4:$I$503,_calc!$E$214))&amp;". ")&amp;IF(LEN(IF(LEN(INDEX('Checks'!$J$4:$J$503,_calc!$E$214))=0,"",INDEX('Checks'!$J$4:$J$503,_calc!$E$214)))=0,"","Ref: "&amp;IF(LEN(INDEX('Checks'!$J$4:$J$503,_calc!$E$214))=0,"",INDEX('Checks'!$J$4:$J$503,_calc!$E$214))&amp;". ")&amp;IF(LEN(IF(ISNUMBER(INDEX('Checks'!$K$4:$K$503,_calc!$E$214)),TEXT(INDEX('Checks'!$K$4:$K$503,_calc!$E$214),"yyyy-mm-dd"),""))=0,"","Copy to tenant: "&amp;IF(ISNUMBER(INDEX('Checks'!$K$4:$K$503,_calc!$E$214)),TEXT(INDEX('Checks'!$K$4:$K$503,_calc!$E$214),"yyyy-mm-dd"),"")&amp;". ")&amp;IF(LEN(IF(LEN(INDEX('Checks'!$P$4:$P$503,_calc!$E$214))=0,"",INDEX('Checks'!$P$4:$P$503,_calc!$E$214)))=0,"",IF(LEN(INDEX('Checks'!$P$4:$P$503,_calc!$E$214))=0,"",INDEX('Checks'!$P$4:$P$503,_calc!$E$214)))))</f>
        <v/>
      </c>
      <c r="G212" s="47">
        <f>IF(_calc!$E$214="","",IF(LEN(INDEX('Checks'!$N$4:$N$503,_calc!$E$214))=0,"",INDEX('Checks'!$N$4:$N$503,_calc!$E$214)))</f>
        <v/>
      </c>
      <c r="K212" s="47">
        <f>IF(_calc!$E$214="","",IF(LEN(INDEX('Checks'!$M$4:$M$503,_calc!$E$214))=0,"",INDEX('Checks'!$M$4:$M$503,_calc!$E$214)))</f>
        <v/>
      </c>
    </row>
    <row r="213">
      <c r="A213" s="47">
        <f>IF(_calc!$E$215="","",IF(LEN(INDEX('Checks'!$B$4:$B$503,_calc!$E$215))=0,"",INDEX('Checks'!$B$4:$B$503,_calc!$E$215))&amp;" – "&amp;IF(LEN(INDEX('Checks'!$A$4:$A$503,_calc!$E$215))=0,"",INDEX('Checks'!$A$4:$A$503,_calc!$E$215)))</f>
        <v/>
      </c>
      <c r="B213" s="47">
        <f>IF(_calc!$E$215="","",IF(ISNUMBER(INDEX('Checks'!$D$4:$D$503,_calc!$E$215)),TEXT(INDEX('Checks'!$D$4:$D$503,_calc!$E$215),"yyyy-mm-dd"),""))</f>
        <v/>
      </c>
      <c r="C213" s="47">
        <f>IF(_calc!$E$215="","",IF(LEN(INDEX('Checks'!$B$4:$B$503,_calc!$E$215))=0,"",INDEX('Checks'!$B$4:$B$503,_calc!$E$215)))</f>
        <v/>
      </c>
      <c r="D213" s="47">
        <f>IF(_calc!$E$215="","",IF(ISNUMBER(INDEX('Checks'!$C$4:$C$503,_calc!$E$215)),TEXT(INDEX('Checks'!$C$4:$C$503,_calc!$E$215),"yyyy-mm-dd"),""))</f>
        <v/>
      </c>
      <c r="E213" s="47">
        <f>IF(_calc!$E$215="","",IF(LEN(INDEX('Checks'!$L$4:$L$503,_calc!$E$215))=0,"",INDEX('Checks'!$L$4:$L$503,_calc!$E$215)))</f>
        <v/>
      </c>
      <c r="F213" s="47">
        <f>IF(_calc!$E$215="","",TRIM(IF(LEN(IF(LEN(INDEX('Checks'!$I$4:$I$503,_calc!$E$215))=0,"",INDEX('Checks'!$I$4:$I$503,_calc!$E$215)))=0,"","Contractor: "&amp;IF(LEN(INDEX('Checks'!$I$4:$I$503,_calc!$E$215))=0,"",INDEX('Checks'!$I$4:$I$503,_calc!$E$215))&amp;". ")&amp;IF(LEN(IF(LEN(INDEX('Checks'!$J$4:$J$503,_calc!$E$215))=0,"",INDEX('Checks'!$J$4:$J$503,_calc!$E$215)))=0,"","Ref: "&amp;IF(LEN(INDEX('Checks'!$J$4:$J$503,_calc!$E$215))=0,"",INDEX('Checks'!$J$4:$J$503,_calc!$E$215))&amp;". ")&amp;IF(LEN(IF(ISNUMBER(INDEX('Checks'!$K$4:$K$503,_calc!$E$215)),TEXT(INDEX('Checks'!$K$4:$K$503,_calc!$E$215),"yyyy-mm-dd"),""))=0,"","Copy to tenant: "&amp;IF(ISNUMBER(INDEX('Checks'!$K$4:$K$503,_calc!$E$215)),TEXT(INDEX('Checks'!$K$4:$K$503,_calc!$E$215),"yyyy-mm-dd"),"")&amp;". ")&amp;IF(LEN(IF(LEN(INDEX('Checks'!$P$4:$P$503,_calc!$E$215))=0,"",INDEX('Checks'!$P$4:$P$503,_calc!$E$215)))=0,"",IF(LEN(INDEX('Checks'!$P$4:$P$503,_calc!$E$215))=0,"",INDEX('Checks'!$P$4:$P$503,_calc!$E$215)))))</f>
        <v/>
      </c>
      <c r="G213" s="47">
        <f>IF(_calc!$E$215="","",IF(LEN(INDEX('Checks'!$N$4:$N$503,_calc!$E$215))=0,"",INDEX('Checks'!$N$4:$N$503,_calc!$E$215)))</f>
        <v/>
      </c>
      <c r="K213" s="47">
        <f>IF(_calc!$E$215="","",IF(LEN(INDEX('Checks'!$M$4:$M$503,_calc!$E$215))=0,"",INDEX('Checks'!$M$4:$M$503,_calc!$E$215)))</f>
        <v/>
      </c>
    </row>
    <row r="214">
      <c r="A214" s="47">
        <f>IF(_calc!$E$216="","",IF(LEN(INDEX('Checks'!$B$4:$B$503,_calc!$E$216))=0,"",INDEX('Checks'!$B$4:$B$503,_calc!$E$216))&amp;" – "&amp;IF(LEN(INDEX('Checks'!$A$4:$A$503,_calc!$E$216))=0,"",INDEX('Checks'!$A$4:$A$503,_calc!$E$216)))</f>
        <v/>
      </c>
      <c r="B214" s="47">
        <f>IF(_calc!$E$216="","",IF(ISNUMBER(INDEX('Checks'!$D$4:$D$503,_calc!$E$216)),TEXT(INDEX('Checks'!$D$4:$D$503,_calc!$E$216),"yyyy-mm-dd"),""))</f>
        <v/>
      </c>
      <c r="C214" s="47">
        <f>IF(_calc!$E$216="","",IF(LEN(INDEX('Checks'!$B$4:$B$503,_calc!$E$216))=0,"",INDEX('Checks'!$B$4:$B$503,_calc!$E$216)))</f>
        <v/>
      </c>
      <c r="D214" s="47">
        <f>IF(_calc!$E$216="","",IF(ISNUMBER(INDEX('Checks'!$C$4:$C$503,_calc!$E$216)),TEXT(INDEX('Checks'!$C$4:$C$503,_calc!$E$216),"yyyy-mm-dd"),""))</f>
        <v/>
      </c>
      <c r="E214" s="47">
        <f>IF(_calc!$E$216="","",IF(LEN(INDEX('Checks'!$L$4:$L$503,_calc!$E$216))=0,"",INDEX('Checks'!$L$4:$L$503,_calc!$E$216)))</f>
        <v/>
      </c>
      <c r="F214" s="47">
        <f>IF(_calc!$E$216="","",TRIM(IF(LEN(IF(LEN(INDEX('Checks'!$I$4:$I$503,_calc!$E$216))=0,"",INDEX('Checks'!$I$4:$I$503,_calc!$E$216)))=0,"","Contractor: "&amp;IF(LEN(INDEX('Checks'!$I$4:$I$503,_calc!$E$216))=0,"",INDEX('Checks'!$I$4:$I$503,_calc!$E$216))&amp;". ")&amp;IF(LEN(IF(LEN(INDEX('Checks'!$J$4:$J$503,_calc!$E$216))=0,"",INDEX('Checks'!$J$4:$J$503,_calc!$E$216)))=0,"","Ref: "&amp;IF(LEN(INDEX('Checks'!$J$4:$J$503,_calc!$E$216))=0,"",INDEX('Checks'!$J$4:$J$503,_calc!$E$216))&amp;". ")&amp;IF(LEN(IF(ISNUMBER(INDEX('Checks'!$K$4:$K$503,_calc!$E$216)),TEXT(INDEX('Checks'!$K$4:$K$503,_calc!$E$216),"yyyy-mm-dd"),""))=0,"","Copy to tenant: "&amp;IF(ISNUMBER(INDEX('Checks'!$K$4:$K$503,_calc!$E$216)),TEXT(INDEX('Checks'!$K$4:$K$503,_calc!$E$216),"yyyy-mm-dd"),"")&amp;". ")&amp;IF(LEN(IF(LEN(INDEX('Checks'!$P$4:$P$503,_calc!$E$216))=0,"",INDEX('Checks'!$P$4:$P$503,_calc!$E$216)))=0,"",IF(LEN(INDEX('Checks'!$P$4:$P$503,_calc!$E$216))=0,"",INDEX('Checks'!$P$4:$P$503,_calc!$E$216)))))</f>
        <v/>
      </c>
      <c r="G214" s="47">
        <f>IF(_calc!$E$216="","",IF(LEN(INDEX('Checks'!$N$4:$N$503,_calc!$E$216))=0,"",INDEX('Checks'!$N$4:$N$503,_calc!$E$216)))</f>
        <v/>
      </c>
      <c r="K214" s="47">
        <f>IF(_calc!$E$216="","",IF(LEN(INDEX('Checks'!$M$4:$M$503,_calc!$E$216))=0,"",INDEX('Checks'!$M$4:$M$503,_calc!$E$216)))</f>
        <v/>
      </c>
    </row>
    <row r="215">
      <c r="A215" s="47">
        <f>IF(_calc!$E$217="","",IF(LEN(INDEX('Checks'!$B$4:$B$503,_calc!$E$217))=0,"",INDEX('Checks'!$B$4:$B$503,_calc!$E$217))&amp;" – "&amp;IF(LEN(INDEX('Checks'!$A$4:$A$503,_calc!$E$217))=0,"",INDEX('Checks'!$A$4:$A$503,_calc!$E$217)))</f>
        <v/>
      </c>
      <c r="B215" s="47">
        <f>IF(_calc!$E$217="","",IF(ISNUMBER(INDEX('Checks'!$D$4:$D$503,_calc!$E$217)),TEXT(INDEX('Checks'!$D$4:$D$503,_calc!$E$217),"yyyy-mm-dd"),""))</f>
        <v/>
      </c>
      <c r="C215" s="47">
        <f>IF(_calc!$E$217="","",IF(LEN(INDEX('Checks'!$B$4:$B$503,_calc!$E$217))=0,"",INDEX('Checks'!$B$4:$B$503,_calc!$E$217)))</f>
        <v/>
      </c>
      <c r="D215" s="47">
        <f>IF(_calc!$E$217="","",IF(ISNUMBER(INDEX('Checks'!$C$4:$C$503,_calc!$E$217)),TEXT(INDEX('Checks'!$C$4:$C$503,_calc!$E$217),"yyyy-mm-dd"),""))</f>
        <v/>
      </c>
      <c r="E215" s="47">
        <f>IF(_calc!$E$217="","",IF(LEN(INDEX('Checks'!$L$4:$L$503,_calc!$E$217))=0,"",INDEX('Checks'!$L$4:$L$503,_calc!$E$217)))</f>
        <v/>
      </c>
      <c r="F215" s="47">
        <f>IF(_calc!$E$217="","",TRIM(IF(LEN(IF(LEN(INDEX('Checks'!$I$4:$I$503,_calc!$E$217))=0,"",INDEX('Checks'!$I$4:$I$503,_calc!$E$217)))=0,"","Contractor: "&amp;IF(LEN(INDEX('Checks'!$I$4:$I$503,_calc!$E$217))=0,"",INDEX('Checks'!$I$4:$I$503,_calc!$E$217))&amp;". ")&amp;IF(LEN(IF(LEN(INDEX('Checks'!$J$4:$J$503,_calc!$E$217))=0,"",INDEX('Checks'!$J$4:$J$503,_calc!$E$217)))=0,"","Ref: "&amp;IF(LEN(INDEX('Checks'!$J$4:$J$503,_calc!$E$217))=0,"",INDEX('Checks'!$J$4:$J$503,_calc!$E$217))&amp;". ")&amp;IF(LEN(IF(ISNUMBER(INDEX('Checks'!$K$4:$K$503,_calc!$E$217)),TEXT(INDEX('Checks'!$K$4:$K$503,_calc!$E$217),"yyyy-mm-dd"),""))=0,"","Copy to tenant: "&amp;IF(ISNUMBER(INDEX('Checks'!$K$4:$K$503,_calc!$E$217)),TEXT(INDEX('Checks'!$K$4:$K$503,_calc!$E$217),"yyyy-mm-dd"),"")&amp;". ")&amp;IF(LEN(IF(LEN(INDEX('Checks'!$P$4:$P$503,_calc!$E$217))=0,"",INDEX('Checks'!$P$4:$P$503,_calc!$E$217)))=0,"",IF(LEN(INDEX('Checks'!$P$4:$P$503,_calc!$E$217))=0,"",INDEX('Checks'!$P$4:$P$503,_calc!$E$217)))))</f>
        <v/>
      </c>
      <c r="G215" s="47">
        <f>IF(_calc!$E$217="","",IF(LEN(INDEX('Checks'!$N$4:$N$503,_calc!$E$217))=0,"",INDEX('Checks'!$N$4:$N$503,_calc!$E$217)))</f>
        <v/>
      </c>
      <c r="K215" s="47">
        <f>IF(_calc!$E$217="","",IF(LEN(INDEX('Checks'!$M$4:$M$503,_calc!$E$217))=0,"",INDEX('Checks'!$M$4:$M$503,_calc!$E$217)))</f>
        <v/>
      </c>
    </row>
    <row r="216">
      <c r="A216" s="47">
        <f>IF(_calc!$E$218="","",IF(LEN(INDEX('Checks'!$B$4:$B$503,_calc!$E$218))=0,"",INDEX('Checks'!$B$4:$B$503,_calc!$E$218))&amp;" – "&amp;IF(LEN(INDEX('Checks'!$A$4:$A$503,_calc!$E$218))=0,"",INDEX('Checks'!$A$4:$A$503,_calc!$E$218)))</f>
        <v/>
      </c>
      <c r="B216" s="47">
        <f>IF(_calc!$E$218="","",IF(ISNUMBER(INDEX('Checks'!$D$4:$D$503,_calc!$E$218)),TEXT(INDEX('Checks'!$D$4:$D$503,_calc!$E$218),"yyyy-mm-dd"),""))</f>
        <v/>
      </c>
      <c r="C216" s="47">
        <f>IF(_calc!$E$218="","",IF(LEN(INDEX('Checks'!$B$4:$B$503,_calc!$E$218))=0,"",INDEX('Checks'!$B$4:$B$503,_calc!$E$218)))</f>
        <v/>
      </c>
      <c r="D216" s="47">
        <f>IF(_calc!$E$218="","",IF(ISNUMBER(INDEX('Checks'!$C$4:$C$503,_calc!$E$218)),TEXT(INDEX('Checks'!$C$4:$C$503,_calc!$E$218),"yyyy-mm-dd"),""))</f>
        <v/>
      </c>
      <c r="E216" s="47">
        <f>IF(_calc!$E$218="","",IF(LEN(INDEX('Checks'!$L$4:$L$503,_calc!$E$218))=0,"",INDEX('Checks'!$L$4:$L$503,_calc!$E$218)))</f>
        <v/>
      </c>
      <c r="F216" s="47">
        <f>IF(_calc!$E$218="","",TRIM(IF(LEN(IF(LEN(INDEX('Checks'!$I$4:$I$503,_calc!$E$218))=0,"",INDEX('Checks'!$I$4:$I$503,_calc!$E$218)))=0,"","Contractor: "&amp;IF(LEN(INDEX('Checks'!$I$4:$I$503,_calc!$E$218))=0,"",INDEX('Checks'!$I$4:$I$503,_calc!$E$218))&amp;". ")&amp;IF(LEN(IF(LEN(INDEX('Checks'!$J$4:$J$503,_calc!$E$218))=0,"",INDEX('Checks'!$J$4:$J$503,_calc!$E$218)))=0,"","Ref: "&amp;IF(LEN(INDEX('Checks'!$J$4:$J$503,_calc!$E$218))=0,"",INDEX('Checks'!$J$4:$J$503,_calc!$E$218))&amp;". ")&amp;IF(LEN(IF(ISNUMBER(INDEX('Checks'!$K$4:$K$503,_calc!$E$218)),TEXT(INDEX('Checks'!$K$4:$K$503,_calc!$E$218),"yyyy-mm-dd"),""))=0,"","Copy to tenant: "&amp;IF(ISNUMBER(INDEX('Checks'!$K$4:$K$503,_calc!$E$218)),TEXT(INDEX('Checks'!$K$4:$K$503,_calc!$E$218),"yyyy-mm-dd"),"")&amp;". ")&amp;IF(LEN(IF(LEN(INDEX('Checks'!$P$4:$P$503,_calc!$E$218))=0,"",INDEX('Checks'!$P$4:$P$503,_calc!$E$218)))=0,"",IF(LEN(INDEX('Checks'!$P$4:$P$503,_calc!$E$218))=0,"",INDEX('Checks'!$P$4:$P$503,_calc!$E$218)))))</f>
        <v/>
      </c>
      <c r="G216" s="47">
        <f>IF(_calc!$E$218="","",IF(LEN(INDEX('Checks'!$N$4:$N$503,_calc!$E$218))=0,"",INDEX('Checks'!$N$4:$N$503,_calc!$E$218)))</f>
        <v/>
      </c>
      <c r="K216" s="47">
        <f>IF(_calc!$E$218="","",IF(LEN(INDEX('Checks'!$M$4:$M$503,_calc!$E$218))=0,"",INDEX('Checks'!$M$4:$M$503,_calc!$E$218)))</f>
        <v/>
      </c>
    </row>
    <row r="217">
      <c r="A217" s="47">
        <f>IF(_calc!$E$219="","",IF(LEN(INDEX('Checks'!$B$4:$B$503,_calc!$E$219))=0,"",INDEX('Checks'!$B$4:$B$503,_calc!$E$219))&amp;" – "&amp;IF(LEN(INDEX('Checks'!$A$4:$A$503,_calc!$E$219))=0,"",INDEX('Checks'!$A$4:$A$503,_calc!$E$219)))</f>
        <v/>
      </c>
      <c r="B217" s="47">
        <f>IF(_calc!$E$219="","",IF(ISNUMBER(INDEX('Checks'!$D$4:$D$503,_calc!$E$219)),TEXT(INDEX('Checks'!$D$4:$D$503,_calc!$E$219),"yyyy-mm-dd"),""))</f>
        <v/>
      </c>
      <c r="C217" s="47">
        <f>IF(_calc!$E$219="","",IF(LEN(INDEX('Checks'!$B$4:$B$503,_calc!$E$219))=0,"",INDEX('Checks'!$B$4:$B$503,_calc!$E$219)))</f>
        <v/>
      </c>
      <c r="D217" s="47">
        <f>IF(_calc!$E$219="","",IF(ISNUMBER(INDEX('Checks'!$C$4:$C$503,_calc!$E$219)),TEXT(INDEX('Checks'!$C$4:$C$503,_calc!$E$219),"yyyy-mm-dd"),""))</f>
        <v/>
      </c>
      <c r="E217" s="47">
        <f>IF(_calc!$E$219="","",IF(LEN(INDEX('Checks'!$L$4:$L$503,_calc!$E$219))=0,"",INDEX('Checks'!$L$4:$L$503,_calc!$E$219)))</f>
        <v/>
      </c>
      <c r="F217" s="47">
        <f>IF(_calc!$E$219="","",TRIM(IF(LEN(IF(LEN(INDEX('Checks'!$I$4:$I$503,_calc!$E$219))=0,"",INDEX('Checks'!$I$4:$I$503,_calc!$E$219)))=0,"","Contractor: "&amp;IF(LEN(INDEX('Checks'!$I$4:$I$503,_calc!$E$219))=0,"",INDEX('Checks'!$I$4:$I$503,_calc!$E$219))&amp;". ")&amp;IF(LEN(IF(LEN(INDEX('Checks'!$J$4:$J$503,_calc!$E$219))=0,"",INDEX('Checks'!$J$4:$J$503,_calc!$E$219)))=0,"","Ref: "&amp;IF(LEN(INDEX('Checks'!$J$4:$J$503,_calc!$E$219))=0,"",INDEX('Checks'!$J$4:$J$503,_calc!$E$219))&amp;". ")&amp;IF(LEN(IF(ISNUMBER(INDEX('Checks'!$K$4:$K$503,_calc!$E$219)),TEXT(INDEX('Checks'!$K$4:$K$503,_calc!$E$219),"yyyy-mm-dd"),""))=0,"","Copy to tenant: "&amp;IF(ISNUMBER(INDEX('Checks'!$K$4:$K$503,_calc!$E$219)),TEXT(INDEX('Checks'!$K$4:$K$503,_calc!$E$219),"yyyy-mm-dd"),"")&amp;". ")&amp;IF(LEN(IF(LEN(INDEX('Checks'!$P$4:$P$503,_calc!$E$219))=0,"",INDEX('Checks'!$P$4:$P$503,_calc!$E$219)))=0,"",IF(LEN(INDEX('Checks'!$P$4:$P$503,_calc!$E$219))=0,"",INDEX('Checks'!$P$4:$P$503,_calc!$E$219)))))</f>
        <v/>
      </c>
      <c r="G217" s="47">
        <f>IF(_calc!$E$219="","",IF(LEN(INDEX('Checks'!$N$4:$N$503,_calc!$E$219))=0,"",INDEX('Checks'!$N$4:$N$503,_calc!$E$219)))</f>
        <v/>
      </c>
      <c r="K217" s="47">
        <f>IF(_calc!$E$219="","",IF(LEN(INDEX('Checks'!$M$4:$M$503,_calc!$E$219))=0,"",INDEX('Checks'!$M$4:$M$503,_calc!$E$219)))</f>
        <v/>
      </c>
    </row>
    <row r="218">
      <c r="A218" s="47">
        <f>IF(_calc!$E$220="","",IF(LEN(INDEX('Checks'!$B$4:$B$503,_calc!$E$220))=0,"",INDEX('Checks'!$B$4:$B$503,_calc!$E$220))&amp;" – "&amp;IF(LEN(INDEX('Checks'!$A$4:$A$503,_calc!$E$220))=0,"",INDEX('Checks'!$A$4:$A$503,_calc!$E$220)))</f>
        <v/>
      </c>
      <c r="B218" s="47">
        <f>IF(_calc!$E$220="","",IF(ISNUMBER(INDEX('Checks'!$D$4:$D$503,_calc!$E$220)),TEXT(INDEX('Checks'!$D$4:$D$503,_calc!$E$220),"yyyy-mm-dd"),""))</f>
        <v/>
      </c>
      <c r="C218" s="47">
        <f>IF(_calc!$E$220="","",IF(LEN(INDEX('Checks'!$B$4:$B$503,_calc!$E$220))=0,"",INDEX('Checks'!$B$4:$B$503,_calc!$E$220)))</f>
        <v/>
      </c>
      <c r="D218" s="47">
        <f>IF(_calc!$E$220="","",IF(ISNUMBER(INDEX('Checks'!$C$4:$C$503,_calc!$E$220)),TEXT(INDEX('Checks'!$C$4:$C$503,_calc!$E$220),"yyyy-mm-dd"),""))</f>
        <v/>
      </c>
      <c r="E218" s="47">
        <f>IF(_calc!$E$220="","",IF(LEN(INDEX('Checks'!$L$4:$L$503,_calc!$E$220))=0,"",INDEX('Checks'!$L$4:$L$503,_calc!$E$220)))</f>
        <v/>
      </c>
      <c r="F218" s="47">
        <f>IF(_calc!$E$220="","",TRIM(IF(LEN(IF(LEN(INDEX('Checks'!$I$4:$I$503,_calc!$E$220))=0,"",INDEX('Checks'!$I$4:$I$503,_calc!$E$220)))=0,"","Contractor: "&amp;IF(LEN(INDEX('Checks'!$I$4:$I$503,_calc!$E$220))=0,"",INDEX('Checks'!$I$4:$I$503,_calc!$E$220))&amp;". ")&amp;IF(LEN(IF(LEN(INDEX('Checks'!$J$4:$J$503,_calc!$E$220))=0,"",INDEX('Checks'!$J$4:$J$503,_calc!$E$220)))=0,"","Ref: "&amp;IF(LEN(INDEX('Checks'!$J$4:$J$503,_calc!$E$220))=0,"",INDEX('Checks'!$J$4:$J$503,_calc!$E$220))&amp;". ")&amp;IF(LEN(IF(ISNUMBER(INDEX('Checks'!$K$4:$K$503,_calc!$E$220)),TEXT(INDEX('Checks'!$K$4:$K$503,_calc!$E$220),"yyyy-mm-dd"),""))=0,"","Copy to tenant: "&amp;IF(ISNUMBER(INDEX('Checks'!$K$4:$K$503,_calc!$E$220)),TEXT(INDEX('Checks'!$K$4:$K$503,_calc!$E$220),"yyyy-mm-dd"),"")&amp;". ")&amp;IF(LEN(IF(LEN(INDEX('Checks'!$P$4:$P$503,_calc!$E$220))=0,"",INDEX('Checks'!$P$4:$P$503,_calc!$E$220)))=0,"",IF(LEN(INDEX('Checks'!$P$4:$P$503,_calc!$E$220))=0,"",INDEX('Checks'!$P$4:$P$503,_calc!$E$220)))))</f>
        <v/>
      </c>
      <c r="G218" s="47">
        <f>IF(_calc!$E$220="","",IF(LEN(INDEX('Checks'!$N$4:$N$503,_calc!$E$220))=0,"",INDEX('Checks'!$N$4:$N$503,_calc!$E$220)))</f>
        <v/>
      </c>
      <c r="K218" s="47">
        <f>IF(_calc!$E$220="","",IF(LEN(INDEX('Checks'!$M$4:$M$503,_calc!$E$220))=0,"",INDEX('Checks'!$M$4:$M$503,_calc!$E$220)))</f>
        <v/>
      </c>
    </row>
    <row r="219">
      <c r="A219" s="47">
        <f>IF(_calc!$E$221="","",IF(LEN(INDEX('Checks'!$B$4:$B$503,_calc!$E$221))=0,"",INDEX('Checks'!$B$4:$B$503,_calc!$E$221))&amp;" – "&amp;IF(LEN(INDEX('Checks'!$A$4:$A$503,_calc!$E$221))=0,"",INDEX('Checks'!$A$4:$A$503,_calc!$E$221)))</f>
        <v/>
      </c>
      <c r="B219" s="47">
        <f>IF(_calc!$E$221="","",IF(ISNUMBER(INDEX('Checks'!$D$4:$D$503,_calc!$E$221)),TEXT(INDEX('Checks'!$D$4:$D$503,_calc!$E$221),"yyyy-mm-dd"),""))</f>
        <v/>
      </c>
      <c r="C219" s="47">
        <f>IF(_calc!$E$221="","",IF(LEN(INDEX('Checks'!$B$4:$B$503,_calc!$E$221))=0,"",INDEX('Checks'!$B$4:$B$503,_calc!$E$221)))</f>
        <v/>
      </c>
      <c r="D219" s="47">
        <f>IF(_calc!$E$221="","",IF(ISNUMBER(INDEX('Checks'!$C$4:$C$503,_calc!$E$221)),TEXT(INDEX('Checks'!$C$4:$C$503,_calc!$E$221),"yyyy-mm-dd"),""))</f>
        <v/>
      </c>
      <c r="E219" s="47">
        <f>IF(_calc!$E$221="","",IF(LEN(INDEX('Checks'!$L$4:$L$503,_calc!$E$221))=0,"",INDEX('Checks'!$L$4:$L$503,_calc!$E$221)))</f>
        <v/>
      </c>
      <c r="F219" s="47">
        <f>IF(_calc!$E$221="","",TRIM(IF(LEN(IF(LEN(INDEX('Checks'!$I$4:$I$503,_calc!$E$221))=0,"",INDEX('Checks'!$I$4:$I$503,_calc!$E$221)))=0,"","Contractor: "&amp;IF(LEN(INDEX('Checks'!$I$4:$I$503,_calc!$E$221))=0,"",INDEX('Checks'!$I$4:$I$503,_calc!$E$221))&amp;". ")&amp;IF(LEN(IF(LEN(INDEX('Checks'!$J$4:$J$503,_calc!$E$221))=0,"",INDEX('Checks'!$J$4:$J$503,_calc!$E$221)))=0,"","Ref: "&amp;IF(LEN(INDEX('Checks'!$J$4:$J$503,_calc!$E$221))=0,"",INDEX('Checks'!$J$4:$J$503,_calc!$E$221))&amp;". ")&amp;IF(LEN(IF(ISNUMBER(INDEX('Checks'!$K$4:$K$503,_calc!$E$221)),TEXT(INDEX('Checks'!$K$4:$K$503,_calc!$E$221),"yyyy-mm-dd"),""))=0,"","Copy to tenant: "&amp;IF(ISNUMBER(INDEX('Checks'!$K$4:$K$503,_calc!$E$221)),TEXT(INDEX('Checks'!$K$4:$K$503,_calc!$E$221),"yyyy-mm-dd"),"")&amp;". ")&amp;IF(LEN(IF(LEN(INDEX('Checks'!$P$4:$P$503,_calc!$E$221))=0,"",INDEX('Checks'!$P$4:$P$503,_calc!$E$221)))=0,"",IF(LEN(INDEX('Checks'!$P$4:$P$503,_calc!$E$221))=0,"",INDEX('Checks'!$P$4:$P$503,_calc!$E$221)))))</f>
        <v/>
      </c>
      <c r="G219" s="47">
        <f>IF(_calc!$E$221="","",IF(LEN(INDEX('Checks'!$N$4:$N$503,_calc!$E$221))=0,"",INDEX('Checks'!$N$4:$N$503,_calc!$E$221)))</f>
        <v/>
      </c>
      <c r="K219" s="47">
        <f>IF(_calc!$E$221="","",IF(LEN(INDEX('Checks'!$M$4:$M$503,_calc!$E$221))=0,"",INDEX('Checks'!$M$4:$M$503,_calc!$E$221)))</f>
        <v/>
      </c>
    </row>
    <row r="220">
      <c r="A220" s="47">
        <f>IF(_calc!$E$222="","",IF(LEN(INDEX('Checks'!$B$4:$B$503,_calc!$E$222))=0,"",INDEX('Checks'!$B$4:$B$503,_calc!$E$222))&amp;" – "&amp;IF(LEN(INDEX('Checks'!$A$4:$A$503,_calc!$E$222))=0,"",INDEX('Checks'!$A$4:$A$503,_calc!$E$222)))</f>
        <v/>
      </c>
      <c r="B220" s="47">
        <f>IF(_calc!$E$222="","",IF(ISNUMBER(INDEX('Checks'!$D$4:$D$503,_calc!$E$222)),TEXT(INDEX('Checks'!$D$4:$D$503,_calc!$E$222),"yyyy-mm-dd"),""))</f>
        <v/>
      </c>
      <c r="C220" s="47">
        <f>IF(_calc!$E$222="","",IF(LEN(INDEX('Checks'!$B$4:$B$503,_calc!$E$222))=0,"",INDEX('Checks'!$B$4:$B$503,_calc!$E$222)))</f>
        <v/>
      </c>
      <c r="D220" s="47">
        <f>IF(_calc!$E$222="","",IF(ISNUMBER(INDEX('Checks'!$C$4:$C$503,_calc!$E$222)),TEXT(INDEX('Checks'!$C$4:$C$503,_calc!$E$222),"yyyy-mm-dd"),""))</f>
        <v/>
      </c>
      <c r="E220" s="47">
        <f>IF(_calc!$E$222="","",IF(LEN(INDEX('Checks'!$L$4:$L$503,_calc!$E$222))=0,"",INDEX('Checks'!$L$4:$L$503,_calc!$E$222)))</f>
        <v/>
      </c>
      <c r="F220" s="47">
        <f>IF(_calc!$E$222="","",TRIM(IF(LEN(IF(LEN(INDEX('Checks'!$I$4:$I$503,_calc!$E$222))=0,"",INDEX('Checks'!$I$4:$I$503,_calc!$E$222)))=0,"","Contractor: "&amp;IF(LEN(INDEX('Checks'!$I$4:$I$503,_calc!$E$222))=0,"",INDEX('Checks'!$I$4:$I$503,_calc!$E$222))&amp;". ")&amp;IF(LEN(IF(LEN(INDEX('Checks'!$J$4:$J$503,_calc!$E$222))=0,"",INDEX('Checks'!$J$4:$J$503,_calc!$E$222)))=0,"","Ref: "&amp;IF(LEN(INDEX('Checks'!$J$4:$J$503,_calc!$E$222))=0,"",INDEX('Checks'!$J$4:$J$503,_calc!$E$222))&amp;". ")&amp;IF(LEN(IF(ISNUMBER(INDEX('Checks'!$K$4:$K$503,_calc!$E$222)),TEXT(INDEX('Checks'!$K$4:$K$503,_calc!$E$222),"yyyy-mm-dd"),""))=0,"","Copy to tenant: "&amp;IF(ISNUMBER(INDEX('Checks'!$K$4:$K$503,_calc!$E$222)),TEXT(INDEX('Checks'!$K$4:$K$503,_calc!$E$222),"yyyy-mm-dd"),"")&amp;". ")&amp;IF(LEN(IF(LEN(INDEX('Checks'!$P$4:$P$503,_calc!$E$222))=0,"",INDEX('Checks'!$P$4:$P$503,_calc!$E$222)))=0,"",IF(LEN(INDEX('Checks'!$P$4:$P$503,_calc!$E$222))=0,"",INDEX('Checks'!$P$4:$P$503,_calc!$E$222)))))</f>
        <v/>
      </c>
      <c r="G220" s="47">
        <f>IF(_calc!$E$222="","",IF(LEN(INDEX('Checks'!$N$4:$N$503,_calc!$E$222))=0,"",INDEX('Checks'!$N$4:$N$503,_calc!$E$222)))</f>
        <v/>
      </c>
      <c r="K220" s="47">
        <f>IF(_calc!$E$222="","",IF(LEN(INDEX('Checks'!$M$4:$M$503,_calc!$E$222))=0,"",INDEX('Checks'!$M$4:$M$503,_calc!$E$222)))</f>
        <v/>
      </c>
    </row>
    <row r="221">
      <c r="A221" s="47">
        <f>IF(_calc!$E$223="","",IF(LEN(INDEX('Checks'!$B$4:$B$503,_calc!$E$223))=0,"",INDEX('Checks'!$B$4:$B$503,_calc!$E$223))&amp;" – "&amp;IF(LEN(INDEX('Checks'!$A$4:$A$503,_calc!$E$223))=0,"",INDEX('Checks'!$A$4:$A$503,_calc!$E$223)))</f>
        <v/>
      </c>
      <c r="B221" s="47">
        <f>IF(_calc!$E$223="","",IF(ISNUMBER(INDEX('Checks'!$D$4:$D$503,_calc!$E$223)),TEXT(INDEX('Checks'!$D$4:$D$503,_calc!$E$223),"yyyy-mm-dd"),""))</f>
        <v/>
      </c>
      <c r="C221" s="47">
        <f>IF(_calc!$E$223="","",IF(LEN(INDEX('Checks'!$B$4:$B$503,_calc!$E$223))=0,"",INDEX('Checks'!$B$4:$B$503,_calc!$E$223)))</f>
        <v/>
      </c>
      <c r="D221" s="47">
        <f>IF(_calc!$E$223="","",IF(ISNUMBER(INDEX('Checks'!$C$4:$C$503,_calc!$E$223)),TEXT(INDEX('Checks'!$C$4:$C$503,_calc!$E$223),"yyyy-mm-dd"),""))</f>
        <v/>
      </c>
      <c r="E221" s="47">
        <f>IF(_calc!$E$223="","",IF(LEN(INDEX('Checks'!$L$4:$L$503,_calc!$E$223))=0,"",INDEX('Checks'!$L$4:$L$503,_calc!$E$223)))</f>
        <v/>
      </c>
      <c r="F221" s="47">
        <f>IF(_calc!$E$223="","",TRIM(IF(LEN(IF(LEN(INDEX('Checks'!$I$4:$I$503,_calc!$E$223))=0,"",INDEX('Checks'!$I$4:$I$503,_calc!$E$223)))=0,"","Contractor: "&amp;IF(LEN(INDEX('Checks'!$I$4:$I$503,_calc!$E$223))=0,"",INDEX('Checks'!$I$4:$I$503,_calc!$E$223))&amp;". ")&amp;IF(LEN(IF(LEN(INDEX('Checks'!$J$4:$J$503,_calc!$E$223))=0,"",INDEX('Checks'!$J$4:$J$503,_calc!$E$223)))=0,"","Ref: "&amp;IF(LEN(INDEX('Checks'!$J$4:$J$503,_calc!$E$223))=0,"",INDEX('Checks'!$J$4:$J$503,_calc!$E$223))&amp;". ")&amp;IF(LEN(IF(ISNUMBER(INDEX('Checks'!$K$4:$K$503,_calc!$E$223)),TEXT(INDEX('Checks'!$K$4:$K$503,_calc!$E$223),"yyyy-mm-dd"),""))=0,"","Copy to tenant: "&amp;IF(ISNUMBER(INDEX('Checks'!$K$4:$K$503,_calc!$E$223)),TEXT(INDEX('Checks'!$K$4:$K$503,_calc!$E$223),"yyyy-mm-dd"),"")&amp;". ")&amp;IF(LEN(IF(LEN(INDEX('Checks'!$P$4:$P$503,_calc!$E$223))=0,"",INDEX('Checks'!$P$4:$P$503,_calc!$E$223)))=0,"",IF(LEN(INDEX('Checks'!$P$4:$P$503,_calc!$E$223))=0,"",INDEX('Checks'!$P$4:$P$503,_calc!$E$223)))))</f>
        <v/>
      </c>
      <c r="G221" s="47">
        <f>IF(_calc!$E$223="","",IF(LEN(INDEX('Checks'!$N$4:$N$503,_calc!$E$223))=0,"",INDEX('Checks'!$N$4:$N$503,_calc!$E$223)))</f>
        <v/>
      </c>
      <c r="K221" s="47">
        <f>IF(_calc!$E$223="","",IF(LEN(INDEX('Checks'!$M$4:$M$503,_calc!$E$223))=0,"",INDEX('Checks'!$M$4:$M$503,_calc!$E$223)))</f>
        <v/>
      </c>
    </row>
    <row r="222">
      <c r="A222" s="47">
        <f>IF(_calc!$E$224="","",IF(LEN(INDEX('Checks'!$B$4:$B$503,_calc!$E$224))=0,"",INDEX('Checks'!$B$4:$B$503,_calc!$E$224))&amp;" – "&amp;IF(LEN(INDEX('Checks'!$A$4:$A$503,_calc!$E$224))=0,"",INDEX('Checks'!$A$4:$A$503,_calc!$E$224)))</f>
        <v/>
      </c>
      <c r="B222" s="47">
        <f>IF(_calc!$E$224="","",IF(ISNUMBER(INDEX('Checks'!$D$4:$D$503,_calc!$E$224)),TEXT(INDEX('Checks'!$D$4:$D$503,_calc!$E$224),"yyyy-mm-dd"),""))</f>
        <v/>
      </c>
      <c r="C222" s="47">
        <f>IF(_calc!$E$224="","",IF(LEN(INDEX('Checks'!$B$4:$B$503,_calc!$E$224))=0,"",INDEX('Checks'!$B$4:$B$503,_calc!$E$224)))</f>
        <v/>
      </c>
      <c r="D222" s="47">
        <f>IF(_calc!$E$224="","",IF(ISNUMBER(INDEX('Checks'!$C$4:$C$503,_calc!$E$224)),TEXT(INDEX('Checks'!$C$4:$C$503,_calc!$E$224),"yyyy-mm-dd"),""))</f>
        <v/>
      </c>
      <c r="E222" s="47">
        <f>IF(_calc!$E$224="","",IF(LEN(INDEX('Checks'!$L$4:$L$503,_calc!$E$224))=0,"",INDEX('Checks'!$L$4:$L$503,_calc!$E$224)))</f>
        <v/>
      </c>
      <c r="F222" s="47">
        <f>IF(_calc!$E$224="","",TRIM(IF(LEN(IF(LEN(INDEX('Checks'!$I$4:$I$503,_calc!$E$224))=0,"",INDEX('Checks'!$I$4:$I$503,_calc!$E$224)))=0,"","Contractor: "&amp;IF(LEN(INDEX('Checks'!$I$4:$I$503,_calc!$E$224))=0,"",INDEX('Checks'!$I$4:$I$503,_calc!$E$224))&amp;". ")&amp;IF(LEN(IF(LEN(INDEX('Checks'!$J$4:$J$503,_calc!$E$224))=0,"",INDEX('Checks'!$J$4:$J$503,_calc!$E$224)))=0,"","Ref: "&amp;IF(LEN(INDEX('Checks'!$J$4:$J$503,_calc!$E$224))=0,"",INDEX('Checks'!$J$4:$J$503,_calc!$E$224))&amp;". ")&amp;IF(LEN(IF(ISNUMBER(INDEX('Checks'!$K$4:$K$503,_calc!$E$224)),TEXT(INDEX('Checks'!$K$4:$K$503,_calc!$E$224),"yyyy-mm-dd"),""))=0,"","Copy to tenant: "&amp;IF(ISNUMBER(INDEX('Checks'!$K$4:$K$503,_calc!$E$224)),TEXT(INDEX('Checks'!$K$4:$K$503,_calc!$E$224),"yyyy-mm-dd"),"")&amp;". ")&amp;IF(LEN(IF(LEN(INDEX('Checks'!$P$4:$P$503,_calc!$E$224))=0,"",INDEX('Checks'!$P$4:$P$503,_calc!$E$224)))=0,"",IF(LEN(INDEX('Checks'!$P$4:$P$503,_calc!$E$224))=0,"",INDEX('Checks'!$P$4:$P$503,_calc!$E$224)))))</f>
        <v/>
      </c>
      <c r="G222" s="47">
        <f>IF(_calc!$E$224="","",IF(LEN(INDEX('Checks'!$N$4:$N$503,_calc!$E$224))=0,"",INDEX('Checks'!$N$4:$N$503,_calc!$E$224)))</f>
        <v/>
      </c>
      <c r="K222" s="47">
        <f>IF(_calc!$E$224="","",IF(LEN(INDEX('Checks'!$M$4:$M$503,_calc!$E$224))=0,"",INDEX('Checks'!$M$4:$M$503,_calc!$E$224)))</f>
        <v/>
      </c>
    </row>
    <row r="223">
      <c r="A223" s="47">
        <f>IF(_calc!$E$225="","",IF(LEN(INDEX('Checks'!$B$4:$B$503,_calc!$E$225))=0,"",INDEX('Checks'!$B$4:$B$503,_calc!$E$225))&amp;" – "&amp;IF(LEN(INDEX('Checks'!$A$4:$A$503,_calc!$E$225))=0,"",INDEX('Checks'!$A$4:$A$503,_calc!$E$225)))</f>
        <v/>
      </c>
      <c r="B223" s="47">
        <f>IF(_calc!$E$225="","",IF(ISNUMBER(INDEX('Checks'!$D$4:$D$503,_calc!$E$225)),TEXT(INDEX('Checks'!$D$4:$D$503,_calc!$E$225),"yyyy-mm-dd"),""))</f>
        <v/>
      </c>
      <c r="C223" s="47">
        <f>IF(_calc!$E$225="","",IF(LEN(INDEX('Checks'!$B$4:$B$503,_calc!$E$225))=0,"",INDEX('Checks'!$B$4:$B$503,_calc!$E$225)))</f>
        <v/>
      </c>
      <c r="D223" s="47">
        <f>IF(_calc!$E$225="","",IF(ISNUMBER(INDEX('Checks'!$C$4:$C$503,_calc!$E$225)),TEXT(INDEX('Checks'!$C$4:$C$503,_calc!$E$225),"yyyy-mm-dd"),""))</f>
        <v/>
      </c>
      <c r="E223" s="47">
        <f>IF(_calc!$E$225="","",IF(LEN(INDEX('Checks'!$L$4:$L$503,_calc!$E$225))=0,"",INDEX('Checks'!$L$4:$L$503,_calc!$E$225)))</f>
        <v/>
      </c>
      <c r="F223" s="47">
        <f>IF(_calc!$E$225="","",TRIM(IF(LEN(IF(LEN(INDEX('Checks'!$I$4:$I$503,_calc!$E$225))=0,"",INDEX('Checks'!$I$4:$I$503,_calc!$E$225)))=0,"","Contractor: "&amp;IF(LEN(INDEX('Checks'!$I$4:$I$503,_calc!$E$225))=0,"",INDEX('Checks'!$I$4:$I$503,_calc!$E$225))&amp;". ")&amp;IF(LEN(IF(LEN(INDEX('Checks'!$J$4:$J$503,_calc!$E$225))=0,"",INDEX('Checks'!$J$4:$J$503,_calc!$E$225)))=0,"","Ref: "&amp;IF(LEN(INDEX('Checks'!$J$4:$J$503,_calc!$E$225))=0,"",INDEX('Checks'!$J$4:$J$503,_calc!$E$225))&amp;". ")&amp;IF(LEN(IF(ISNUMBER(INDEX('Checks'!$K$4:$K$503,_calc!$E$225)),TEXT(INDEX('Checks'!$K$4:$K$503,_calc!$E$225),"yyyy-mm-dd"),""))=0,"","Copy to tenant: "&amp;IF(ISNUMBER(INDEX('Checks'!$K$4:$K$503,_calc!$E$225)),TEXT(INDEX('Checks'!$K$4:$K$503,_calc!$E$225),"yyyy-mm-dd"),"")&amp;". ")&amp;IF(LEN(IF(LEN(INDEX('Checks'!$P$4:$P$503,_calc!$E$225))=0,"",INDEX('Checks'!$P$4:$P$503,_calc!$E$225)))=0,"",IF(LEN(INDEX('Checks'!$P$4:$P$503,_calc!$E$225))=0,"",INDEX('Checks'!$P$4:$P$503,_calc!$E$225)))))</f>
        <v/>
      </c>
      <c r="G223" s="47">
        <f>IF(_calc!$E$225="","",IF(LEN(INDEX('Checks'!$N$4:$N$503,_calc!$E$225))=0,"",INDEX('Checks'!$N$4:$N$503,_calc!$E$225)))</f>
        <v/>
      </c>
      <c r="K223" s="47">
        <f>IF(_calc!$E$225="","",IF(LEN(INDEX('Checks'!$M$4:$M$503,_calc!$E$225))=0,"",INDEX('Checks'!$M$4:$M$503,_calc!$E$225)))</f>
        <v/>
      </c>
    </row>
    <row r="224">
      <c r="A224" s="47">
        <f>IF(_calc!$E$226="","",IF(LEN(INDEX('Checks'!$B$4:$B$503,_calc!$E$226))=0,"",INDEX('Checks'!$B$4:$B$503,_calc!$E$226))&amp;" – "&amp;IF(LEN(INDEX('Checks'!$A$4:$A$503,_calc!$E$226))=0,"",INDEX('Checks'!$A$4:$A$503,_calc!$E$226)))</f>
        <v/>
      </c>
      <c r="B224" s="47">
        <f>IF(_calc!$E$226="","",IF(ISNUMBER(INDEX('Checks'!$D$4:$D$503,_calc!$E$226)),TEXT(INDEX('Checks'!$D$4:$D$503,_calc!$E$226),"yyyy-mm-dd"),""))</f>
        <v/>
      </c>
      <c r="C224" s="47">
        <f>IF(_calc!$E$226="","",IF(LEN(INDEX('Checks'!$B$4:$B$503,_calc!$E$226))=0,"",INDEX('Checks'!$B$4:$B$503,_calc!$E$226)))</f>
        <v/>
      </c>
      <c r="D224" s="47">
        <f>IF(_calc!$E$226="","",IF(ISNUMBER(INDEX('Checks'!$C$4:$C$503,_calc!$E$226)),TEXT(INDEX('Checks'!$C$4:$C$503,_calc!$E$226),"yyyy-mm-dd"),""))</f>
        <v/>
      </c>
      <c r="E224" s="47">
        <f>IF(_calc!$E$226="","",IF(LEN(INDEX('Checks'!$L$4:$L$503,_calc!$E$226))=0,"",INDEX('Checks'!$L$4:$L$503,_calc!$E$226)))</f>
        <v/>
      </c>
      <c r="F224" s="47">
        <f>IF(_calc!$E$226="","",TRIM(IF(LEN(IF(LEN(INDEX('Checks'!$I$4:$I$503,_calc!$E$226))=0,"",INDEX('Checks'!$I$4:$I$503,_calc!$E$226)))=0,"","Contractor: "&amp;IF(LEN(INDEX('Checks'!$I$4:$I$503,_calc!$E$226))=0,"",INDEX('Checks'!$I$4:$I$503,_calc!$E$226))&amp;". ")&amp;IF(LEN(IF(LEN(INDEX('Checks'!$J$4:$J$503,_calc!$E$226))=0,"",INDEX('Checks'!$J$4:$J$503,_calc!$E$226)))=0,"","Ref: "&amp;IF(LEN(INDEX('Checks'!$J$4:$J$503,_calc!$E$226))=0,"",INDEX('Checks'!$J$4:$J$503,_calc!$E$226))&amp;". ")&amp;IF(LEN(IF(ISNUMBER(INDEX('Checks'!$K$4:$K$503,_calc!$E$226)),TEXT(INDEX('Checks'!$K$4:$K$503,_calc!$E$226),"yyyy-mm-dd"),""))=0,"","Copy to tenant: "&amp;IF(ISNUMBER(INDEX('Checks'!$K$4:$K$503,_calc!$E$226)),TEXT(INDEX('Checks'!$K$4:$K$503,_calc!$E$226),"yyyy-mm-dd"),"")&amp;". ")&amp;IF(LEN(IF(LEN(INDEX('Checks'!$P$4:$P$503,_calc!$E$226))=0,"",INDEX('Checks'!$P$4:$P$503,_calc!$E$226)))=0,"",IF(LEN(INDEX('Checks'!$P$4:$P$503,_calc!$E$226))=0,"",INDEX('Checks'!$P$4:$P$503,_calc!$E$226)))))</f>
        <v/>
      </c>
      <c r="G224" s="47">
        <f>IF(_calc!$E$226="","",IF(LEN(INDEX('Checks'!$N$4:$N$503,_calc!$E$226))=0,"",INDEX('Checks'!$N$4:$N$503,_calc!$E$226)))</f>
        <v/>
      </c>
      <c r="K224" s="47">
        <f>IF(_calc!$E$226="","",IF(LEN(INDEX('Checks'!$M$4:$M$503,_calc!$E$226))=0,"",INDEX('Checks'!$M$4:$M$503,_calc!$E$226)))</f>
        <v/>
      </c>
    </row>
    <row r="225">
      <c r="A225" s="47">
        <f>IF(_calc!$E$227="","",IF(LEN(INDEX('Checks'!$B$4:$B$503,_calc!$E$227))=0,"",INDEX('Checks'!$B$4:$B$503,_calc!$E$227))&amp;" – "&amp;IF(LEN(INDEX('Checks'!$A$4:$A$503,_calc!$E$227))=0,"",INDEX('Checks'!$A$4:$A$503,_calc!$E$227)))</f>
        <v/>
      </c>
      <c r="B225" s="47">
        <f>IF(_calc!$E$227="","",IF(ISNUMBER(INDEX('Checks'!$D$4:$D$503,_calc!$E$227)),TEXT(INDEX('Checks'!$D$4:$D$503,_calc!$E$227),"yyyy-mm-dd"),""))</f>
        <v/>
      </c>
      <c r="C225" s="47">
        <f>IF(_calc!$E$227="","",IF(LEN(INDEX('Checks'!$B$4:$B$503,_calc!$E$227))=0,"",INDEX('Checks'!$B$4:$B$503,_calc!$E$227)))</f>
        <v/>
      </c>
      <c r="D225" s="47">
        <f>IF(_calc!$E$227="","",IF(ISNUMBER(INDEX('Checks'!$C$4:$C$503,_calc!$E$227)),TEXT(INDEX('Checks'!$C$4:$C$503,_calc!$E$227),"yyyy-mm-dd"),""))</f>
        <v/>
      </c>
      <c r="E225" s="47">
        <f>IF(_calc!$E$227="","",IF(LEN(INDEX('Checks'!$L$4:$L$503,_calc!$E$227))=0,"",INDEX('Checks'!$L$4:$L$503,_calc!$E$227)))</f>
        <v/>
      </c>
      <c r="F225" s="47">
        <f>IF(_calc!$E$227="","",TRIM(IF(LEN(IF(LEN(INDEX('Checks'!$I$4:$I$503,_calc!$E$227))=0,"",INDEX('Checks'!$I$4:$I$503,_calc!$E$227)))=0,"","Contractor: "&amp;IF(LEN(INDEX('Checks'!$I$4:$I$503,_calc!$E$227))=0,"",INDEX('Checks'!$I$4:$I$503,_calc!$E$227))&amp;". ")&amp;IF(LEN(IF(LEN(INDEX('Checks'!$J$4:$J$503,_calc!$E$227))=0,"",INDEX('Checks'!$J$4:$J$503,_calc!$E$227)))=0,"","Ref: "&amp;IF(LEN(INDEX('Checks'!$J$4:$J$503,_calc!$E$227))=0,"",INDEX('Checks'!$J$4:$J$503,_calc!$E$227))&amp;". ")&amp;IF(LEN(IF(ISNUMBER(INDEX('Checks'!$K$4:$K$503,_calc!$E$227)),TEXT(INDEX('Checks'!$K$4:$K$503,_calc!$E$227),"yyyy-mm-dd"),""))=0,"","Copy to tenant: "&amp;IF(ISNUMBER(INDEX('Checks'!$K$4:$K$503,_calc!$E$227)),TEXT(INDEX('Checks'!$K$4:$K$503,_calc!$E$227),"yyyy-mm-dd"),"")&amp;". ")&amp;IF(LEN(IF(LEN(INDEX('Checks'!$P$4:$P$503,_calc!$E$227))=0,"",INDEX('Checks'!$P$4:$P$503,_calc!$E$227)))=0,"",IF(LEN(INDEX('Checks'!$P$4:$P$503,_calc!$E$227))=0,"",INDEX('Checks'!$P$4:$P$503,_calc!$E$227)))))</f>
        <v/>
      </c>
      <c r="G225" s="47">
        <f>IF(_calc!$E$227="","",IF(LEN(INDEX('Checks'!$N$4:$N$503,_calc!$E$227))=0,"",INDEX('Checks'!$N$4:$N$503,_calc!$E$227)))</f>
        <v/>
      </c>
      <c r="K225" s="47">
        <f>IF(_calc!$E$227="","",IF(LEN(INDEX('Checks'!$M$4:$M$503,_calc!$E$227))=0,"",INDEX('Checks'!$M$4:$M$503,_calc!$E$227)))</f>
        <v/>
      </c>
    </row>
    <row r="226">
      <c r="A226" s="47">
        <f>IF(_calc!$E$228="","",IF(LEN(INDEX('Checks'!$B$4:$B$503,_calc!$E$228))=0,"",INDEX('Checks'!$B$4:$B$503,_calc!$E$228))&amp;" – "&amp;IF(LEN(INDEX('Checks'!$A$4:$A$503,_calc!$E$228))=0,"",INDEX('Checks'!$A$4:$A$503,_calc!$E$228)))</f>
        <v/>
      </c>
      <c r="B226" s="47">
        <f>IF(_calc!$E$228="","",IF(ISNUMBER(INDEX('Checks'!$D$4:$D$503,_calc!$E$228)),TEXT(INDEX('Checks'!$D$4:$D$503,_calc!$E$228),"yyyy-mm-dd"),""))</f>
        <v/>
      </c>
      <c r="C226" s="47">
        <f>IF(_calc!$E$228="","",IF(LEN(INDEX('Checks'!$B$4:$B$503,_calc!$E$228))=0,"",INDEX('Checks'!$B$4:$B$503,_calc!$E$228)))</f>
        <v/>
      </c>
      <c r="D226" s="47">
        <f>IF(_calc!$E$228="","",IF(ISNUMBER(INDEX('Checks'!$C$4:$C$503,_calc!$E$228)),TEXT(INDEX('Checks'!$C$4:$C$503,_calc!$E$228),"yyyy-mm-dd"),""))</f>
        <v/>
      </c>
      <c r="E226" s="47">
        <f>IF(_calc!$E$228="","",IF(LEN(INDEX('Checks'!$L$4:$L$503,_calc!$E$228))=0,"",INDEX('Checks'!$L$4:$L$503,_calc!$E$228)))</f>
        <v/>
      </c>
      <c r="F226" s="47">
        <f>IF(_calc!$E$228="","",TRIM(IF(LEN(IF(LEN(INDEX('Checks'!$I$4:$I$503,_calc!$E$228))=0,"",INDEX('Checks'!$I$4:$I$503,_calc!$E$228)))=0,"","Contractor: "&amp;IF(LEN(INDEX('Checks'!$I$4:$I$503,_calc!$E$228))=0,"",INDEX('Checks'!$I$4:$I$503,_calc!$E$228))&amp;". ")&amp;IF(LEN(IF(LEN(INDEX('Checks'!$J$4:$J$503,_calc!$E$228))=0,"",INDEX('Checks'!$J$4:$J$503,_calc!$E$228)))=0,"","Ref: "&amp;IF(LEN(INDEX('Checks'!$J$4:$J$503,_calc!$E$228))=0,"",INDEX('Checks'!$J$4:$J$503,_calc!$E$228))&amp;". ")&amp;IF(LEN(IF(ISNUMBER(INDEX('Checks'!$K$4:$K$503,_calc!$E$228)),TEXT(INDEX('Checks'!$K$4:$K$503,_calc!$E$228),"yyyy-mm-dd"),""))=0,"","Copy to tenant: "&amp;IF(ISNUMBER(INDEX('Checks'!$K$4:$K$503,_calc!$E$228)),TEXT(INDEX('Checks'!$K$4:$K$503,_calc!$E$228),"yyyy-mm-dd"),"")&amp;". ")&amp;IF(LEN(IF(LEN(INDEX('Checks'!$P$4:$P$503,_calc!$E$228))=0,"",INDEX('Checks'!$P$4:$P$503,_calc!$E$228)))=0,"",IF(LEN(INDEX('Checks'!$P$4:$P$503,_calc!$E$228))=0,"",INDEX('Checks'!$P$4:$P$503,_calc!$E$228)))))</f>
        <v/>
      </c>
      <c r="G226" s="47">
        <f>IF(_calc!$E$228="","",IF(LEN(INDEX('Checks'!$N$4:$N$503,_calc!$E$228))=0,"",INDEX('Checks'!$N$4:$N$503,_calc!$E$228)))</f>
        <v/>
      </c>
      <c r="K226" s="47">
        <f>IF(_calc!$E$228="","",IF(LEN(INDEX('Checks'!$M$4:$M$503,_calc!$E$228))=0,"",INDEX('Checks'!$M$4:$M$503,_calc!$E$228)))</f>
        <v/>
      </c>
    </row>
    <row r="227">
      <c r="A227" s="47">
        <f>IF(_calc!$E$229="","",IF(LEN(INDEX('Checks'!$B$4:$B$503,_calc!$E$229))=0,"",INDEX('Checks'!$B$4:$B$503,_calc!$E$229))&amp;" – "&amp;IF(LEN(INDEX('Checks'!$A$4:$A$503,_calc!$E$229))=0,"",INDEX('Checks'!$A$4:$A$503,_calc!$E$229)))</f>
        <v/>
      </c>
      <c r="B227" s="47">
        <f>IF(_calc!$E$229="","",IF(ISNUMBER(INDEX('Checks'!$D$4:$D$503,_calc!$E$229)),TEXT(INDEX('Checks'!$D$4:$D$503,_calc!$E$229),"yyyy-mm-dd"),""))</f>
        <v/>
      </c>
      <c r="C227" s="47">
        <f>IF(_calc!$E$229="","",IF(LEN(INDEX('Checks'!$B$4:$B$503,_calc!$E$229))=0,"",INDEX('Checks'!$B$4:$B$503,_calc!$E$229)))</f>
        <v/>
      </c>
      <c r="D227" s="47">
        <f>IF(_calc!$E$229="","",IF(ISNUMBER(INDEX('Checks'!$C$4:$C$503,_calc!$E$229)),TEXT(INDEX('Checks'!$C$4:$C$503,_calc!$E$229),"yyyy-mm-dd"),""))</f>
        <v/>
      </c>
      <c r="E227" s="47">
        <f>IF(_calc!$E$229="","",IF(LEN(INDEX('Checks'!$L$4:$L$503,_calc!$E$229))=0,"",INDEX('Checks'!$L$4:$L$503,_calc!$E$229)))</f>
        <v/>
      </c>
      <c r="F227" s="47">
        <f>IF(_calc!$E$229="","",TRIM(IF(LEN(IF(LEN(INDEX('Checks'!$I$4:$I$503,_calc!$E$229))=0,"",INDEX('Checks'!$I$4:$I$503,_calc!$E$229)))=0,"","Contractor: "&amp;IF(LEN(INDEX('Checks'!$I$4:$I$503,_calc!$E$229))=0,"",INDEX('Checks'!$I$4:$I$503,_calc!$E$229))&amp;". ")&amp;IF(LEN(IF(LEN(INDEX('Checks'!$J$4:$J$503,_calc!$E$229))=0,"",INDEX('Checks'!$J$4:$J$503,_calc!$E$229)))=0,"","Ref: "&amp;IF(LEN(INDEX('Checks'!$J$4:$J$503,_calc!$E$229))=0,"",INDEX('Checks'!$J$4:$J$503,_calc!$E$229))&amp;". ")&amp;IF(LEN(IF(ISNUMBER(INDEX('Checks'!$K$4:$K$503,_calc!$E$229)),TEXT(INDEX('Checks'!$K$4:$K$503,_calc!$E$229),"yyyy-mm-dd"),""))=0,"","Copy to tenant: "&amp;IF(ISNUMBER(INDEX('Checks'!$K$4:$K$503,_calc!$E$229)),TEXT(INDEX('Checks'!$K$4:$K$503,_calc!$E$229),"yyyy-mm-dd"),"")&amp;". ")&amp;IF(LEN(IF(LEN(INDEX('Checks'!$P$4:$P$503,_calc!$E$229))=0,"",INDEX('Checks'!$P$4:$P$503,_calc!$E$229)))=0,"",IF(LEN(INDEX('Checks'!$P$4:$P$503,_calc!$E$229))=0,"",INDEX('Checks'!$P$4:$P$503,_calc!$E$229)))))</f>
        <v/>
      </c>
      <c r="G227" s="47">
        <f>IF(_calc!$E$229="","",IF(LEN(INDEX('Checks'!$N$4:$N$503,_calc!$E$229))=0,"",INDEX('Checks'!$N$4:$N$503,_calc!$E$229)))</f>
        <v/>
      </c>
      <c r="K227" s="47">
        <f>IF(_calc!$E$229="","",IF(LEN(INDEX('Checks'!$M$4:$M$503,_calc!$E$229))=0,"",INDEX('Checks'!$M$4:$M$503,_calc!$E$229)))</f>
        <v/>
      </c>
    </row>
    <row r="228">
      <c r="A228" s="47">
        <f>IF(_calc!$E$230="","",IF(LEN(INDEX('Checks'!$B$4:$B$503,_calc!$E$230))=0,"",INDEX('Checks'!$B$4:$B$503,_calc!$E$230))&amp;" – "&amp;IF(LEN(INDEX('Checks'!$A$4:$A$503,_calc!$E$230))=0,"",INDEX('Checks'!$A$4:$A$503,_calc!$E$230)))</f>
        <v/>
      </c>
      <c r="B228" s="47">
        <f>IF(_calc!$E$230="","",IF(ISNUMBER(INDEX('Checks'!$D$4:$D$503,_calc!$E$230)),TEXT(INDEX('Checks'!$D$4:$D$503,_calc!$E$230),"yyyy-mm-dd"),""))</f>
        <v/>
      </c>
      <c r="C228" s="47">
        <f>IF(_calc!$E$230="","",IF(LEN(INDEX('Checks'!$B$4:$B$503,_calc!$E$230))=0,"",INDEX('Checks'!$B$4:$B$503,_calc!$E$230)))</f>
        <v/>
      </c>
      <c r="D228" s="47">
        <f>IF(_calc!$E$230="","",IF(ISNUMBER(INDEX('Checks'!$C$4:$C$503,_calc!$E$230)),TEXT(INDEX('Checks'!$C$4:$C$503,_calc!$E$230),"yyyy-mm-dd"),""))</f>
        <v/>
      </c>
      <c r="E228" s="47">
        <f>IF(_calc!$E$230="","",IF(LEN(INDEX('Checks'!$L$4:$L$503,_calc!$E$230))=0,"",INDEX('Checks'!$L$4:$L$503,_calc!$E$230)))</f>
        <v/>
      </c>
      <c r="F228" s="47">
        <f>IF(_calc!$E$230="","",TRIM(IF(LEN(IF(LEN(INDEX('Checks'!$I$4:$I$503,_calc!$E$230))=0,"",INDEX('Checks'!$I$4:$I$503,_calc!$E$230)))=0,"","Contractor: "&amp;IF(LEN(INDEX('Checks'!$I$4:$I$503,_calc!$E$230))=0,"",INDEX('Checks'!$I$4:$I$503,_calc!$E$230))&amp;". ")&amp;IF(LEN(IF(LEN(INDEX('Checks'!$J$4:$J$503,_calc!$E$230))=0,"",INDEX('Checks'!$J$4:$J$503,_calc!$E$230)))=0,"","Ref: "&amp;IF(LEN(INDEX('Checks'!$J$4:$J$503,_calc!$E$230))=0,"",INDEX('Checks'!$J$4:$J$503,_calc!$E$230))&amp;". ")&amp;IF(LEN(IF(ISNUMBER(INDEX('Checks'!$K$4:$K$503,_calc!$E$230)),TEXT(INDEX('Checks'!$K$4:$K$503,_calc!$E$230),"yyyy-mm-dd"),""))=0,"","Copy to tenant: "&amp;IF(ISNUMBER(INDEX('Checks'!$K$4:$K$503,_calc!$E$230)),TEXT(INDEX('Checks'!$K$4:$K$503,_calc!$E$230),"yyyy-mm-dd"),"")&amp;". ")&amp;IF(LEN(IF(LEN(INDEX('Checks'!$P$4:$P$503,_calc!$E$230))=0,"",INDEX('Checks'!$P$4:$P$503,_calc!$E$230)))=0,"",IF(LEN(INDEX('Checks'!$P$4:$P$503,_calc!$E$230))=0,"",INDEX('Checks'!$P$4:$P$503,_calc!$E$230)))))</f>
        <v/>
      </c>
      <c r="G228" s="47">
        <f>IF(_calc!$E$230="","",IF(LEN(INDEX('Checks'!$N$4:$N$503,_calc!$E$230))=0,"",INDEX('Checks'!$N$4:$N$503,_calc!$E$230)))</f>
        <v/>
      </c>
      <c r="K228" s="47">
        <f>IF(_calc!$E$230="","",IF(LEN(INDEX('Checks'!$M$4:$M$503,_calc!$E$230))=0,"",INDEX('Checks'!$M$4:$M$503,_calc!$E$230)))</f>
        <v/>
      </c>
    </row>
    <row r="229">
      <c r="A229" s="47">
        <f>IF(_calc!$E$231="","",IF(LEN(INDEX('Checks'!$B$4:$B$503,_calc!$E$231))=0,"",INDEX('Checks'!$B$4:$B$503,_calc!$E$231))&amp;" – "&amp;IF(LEN(INDEX('Checks'!$A$4:$A$503,_calc!$E$231))=0,"",INDEX('Checks'!$A$4:$A$503,_calc!$E$231)))</f>
        <v/>
      </c>
      <c r="B229" s="47">
        <f>IF(_calc!$E$231="","",IF(ISNUMBER(INDEX('Checks'!$D$4:$D$503,_calc!$E$231)),TEXT(INDEX('Checks'!$D$4:$D$503,_calc!$E$231),"yyyy-mm-dd"),""))</f>
        <v/>
      </c>
      <c r="C229" s="47">
        <f>IF(_calc!$E$231="","",IF(LEN(INDEX('Checks'!$B$4:$B$503,_calc!$E$231))=0,"",INDEX('Checks'!$B$4:$B$503,_calc!$E$231)))</f>
        <v/>
      </c>
      <c r="D229" s="47">
        <f>IF(_calc!$E$231="","",IF(ISNUMBER(INDEX('Checks'!$C$4:$C$503,_calc!$E$231)),TEXT(INDEX('Checks'!$C$4:$C$503,_calc!$E$231),"yyyy-mm-dd"),""))</f>
        <v/>
      </c>
      <c r="E229" s="47">
        <f>IF(_calc!$E$231="","",IF(LEN(INDEX('Checks'!$L$4:$L$503,_calc!$E$231))=0,"",INDEX('Checks'!$L$4:$L$503,_calc!$E$231)))</f>
        <v/>
      </c>
      <c r="F229" s="47">
        <f>IF(_calc!$E$231="","",TRIM(IF(LEN(IF(LEN(INDEX('Checks'!$I$4:$I$503,_calc!$E$231))=0,"",INDEX('Checks'!$I$4:$I$503,_calc!$E$231)))=0,"","Contractor: "&amp;IF(LEN(INDEX('Checks'!$I$4:$I$503,_calc!$E$231))=0,"",INDEX('Checks'!$I$4:$I$503,_calc!$E$231))&amp;". ")&amp;IF(LEN(IF(LEN(INDEX('Checks'!$J$4:$J$503,_calc!$E$231))=0,"",INDEX('Checks'!$J$4:$J$503,_calc!$E$231)))=0,"","Ref: "&amp;IF(LEN(INDEX('Checks'!$J$4:$J$503,_calc!$E$231))=0,"",INDEX('Checks'!$J$4:$J$503,_calc!$E$231))&amp;". ")&amp;IF(LEN(IF(ISNUMBER(INDEX('Checks'!$K$4:$K$503,_calc!$E$231)),TEXT(INDEX('Checks'!$K$4:$K$503,_calc!$E$231),"yyyy-mm-dd"),""))=0,"","Copy to tenant: "&amp;IF(ISNUMBER(INDEX('Checks'!$K$4:$K$503,_calc!$E$231)),TEXT(INDEX('Checks'!$K$4:$K$503,_calc!$E$231),"yyyy-mm-dd"),"")&amp;". ")&amp;IF(LEN(IF(LEN(INDEX('Checks'!$P$4:$P$503,_calc!$E$231))=0,"",INDEX('Checks'!$P$4:$P$503,_calc!$E$231)))=0,"",IF(LEN(INDEX('Checks'!$P$4:$P$503,_calc!$E$231))=0,"",INDEX('Checks'!$P$4:$P$503,_calc!$E$231)))))</f>
        <v/>
      </c>
      <c r="G229" s="47">
        <f>IF(_calc!$E$231="","",IF(LEN(INDEX('Checks'!$N$4:$N$503,_calc!$E$231))=0,"",INDEX('Checks'!$N$4:$N$503,_calc!$E$231)))</f>
        <v/>
      </c>
      <c r="K229" s="47">
        <f>IF(_calc!$E$231="","",IF(LEN(INDEX('Checks'!$M$4:$M$503,_calc!$E$231))=0,"",INDEX('Checks'!$M$4:$M$503,_calc!$E$231)))</f>
        <v/>
      </c>
    </row>
    <row r="230">
      <c r="A230" s="47">
        <f>IF(_calc!$E$232="","",IF(LEN(INDEX('Checks'!$B$4:$B$503,_calc!$E$232))=0,"",INDEX('Checks'!$B$4:$B$503,_calc!$E$232))&amp;" – "&amp;IF(LEN(INDEX('Checks'!$A$4:$A$503,_calc!$E$232))=0,"",INDEX('Checks'!$A$4:$A$503,_calc!$E$232)))</f>
        <v/>
      </c>
      <c r="B230" s="47">
        <f>IF(_calc!$E$232="","",IF(ISNUMBER(INDEX('Checks'!$D$4:$D$503,_calc!$E$232)),TEXT(INDEX('Checks'!$D$4:$D$503,_calc!$E$232),"yyyy-mm-dd"),""))</f>
        <v/>
      </c>
      <c r="C230" s="47">
        <f>IF(_calc!$E$232="","",IF(LEN(INDEX('Checks'!$B$4:$B$503,_calc!$E$232))=0,"",INDEX('Checks'!$B$4:$B$503,_calc!$E$232)))</f>
        <v/>
      </c>
      <c r="D230" s="47">
        <f>IF(_calc!$E$232="","",IF(ISNUMBER(INDEX('Checks'!$C$4:$C$503,_calc!$E$232)),TEXT(INDEX('Checks'!$C$4:$C$503,_calc!$E$232),"yyyy-mm-dd"),""))</f>
        <v/>
      </c>
      <c r="E230" s="47">
        <f>IF(_calc!$E$232="","",IF(LEN(INDEX('Checks'!$L$4:$L$503,_calc!$E$232))=0,"",INDEX('Checks'!$L$4:$L$503,_calc!$E$232)))</f>
        <v/>
      </c>
      <c r="F230" s="47">
        <f>IF(_calc!$E$232="","",TRIM(IF(LEN(IF(LEN(INDEX('Checks'!$I$4:$I$503,_calc!$E$232))=0,"",INDEX('Checks'!$I$4:$I$503,_calc!$E$232)))=0,"","Contractor: "&amp;IF(LEN(INDEX('Checks'!$I$4:$I$503,_calc!$E$232))=0,"",INDEX('Checks'!$I$4:$I$503,_calc!$E$232))&amp;". ")&amp;IF(LEN(IF(LEN(INDEX('Checks'!$J$4:$J$503,_calc!$E$232))=0,"",INDEX('Checks'!$J$4:$J$503,_calc!$E$232)))=0,"","Ref: "&amp;IF(LEN(INDEX('Checks'!$J$4:$J$503,_calc!$E$232))=0,"",INDEX('Checks'!$J$4:$J$503,_calc!$E$232))&amp;". ")&amp;IF(LEN(IF(ISNUMBER(INDEX('Checks'!$K$4:$K$503,_calc!$E$232)),TEXT(INDEX('Checks'!$K$4:$K$503,_calc!$E$232),"yyyy-mm-dd"),""))=0,"","Copy to tenant: "&amp;IF(ISNUMBER(INDEX('Checks'!$K$4:$K$503,_calc!$E$232)),TEXT(INDEX('Checks'!$K$4:$K$503,_calc!$E$232),"yyyy-mm-dd"),"")&amp;". ")&amp;IF(LEN(IF(LEN(INDEX('Checks'!$P$4:$P$503,_calc!$E$232))=0,"",INDEX('Checks'!$P$4:$P$503,_calc!$E$232)))=0,"",IF(LEN(INDEX('Checks'!$P$4:$P$503,_calc!$E$232))=0,"",INDEX('Checks'!$P$4:$P$503,_calc!$E$232)))))</f>
        <v/>
      </c>
      <c r="G230" s="47">
        <f>IF(_calc!$E$232="","",IF(LEN(INDEX('Checks'!$N$4:$N$503,_calc!$E$232))=0,"",INDEX('Checks'!$N$4:$N$503,_calc!$E$232)))</f>
        <v/>
      </c>
      <c r="K230" s="47">
        <f>IF(_calc!$E$232="","",IF(LEN(INDEX('Checks'!$M$4:$M$503,_calc!$E$232))=0,"",INDEX('Checks'!$M$4:$M$503,_calc!$E$232)))</f>
        <v/>
      </c>
    </row>
    <row r="231">
      <c r="A231" s="47">
        <f>IF(_calc!$E$233="","",IF(LEN(INDEX('Checks'!$B$4:$B$503,_calc!$E$233))=0,"",INDEX('Checks'!$B$4:$B$503,_calc!$E$233))&amp;" – "&amp;IF(LEN(INDEX('Checks'!$A$4:$A$503,_calc!$E$233))=0,"",INDEX('Checks'!$A$4:$A$503,_calc!$E$233)))</f>
        <v/>
      </c>
      <c r="B231" s="47">
        <f>IF(_calc!$E$233="","",IF(ISNUMBER(INDEX('Checks'!$D$4:$D$503,_calc!$E$233)),TEXT(INDEX('Checks'!$D$4:$D$503,_calc!$E$233),"yyyy-mm-dd"),""))</f>
        <v/>
      </c>
      <c r="C231" s="47">
        <f>IF(_calc!$E$233="","",IF(LEN(INDEX('Checks'!$B$4:$B$503,_calc!$E$233))=0,"",INDEX('Checks'!$B$4:$B$503,_calc!$E$233)))</f>
        <v/>
      </c>
      <c r="D231" s="47">
        <f>IF(_calc!$E$233="","",IF(ISNUMBER(INDEX('Checks'!$C$4:$C$503,_calc!$E$233)),TEXT(INDEX('Checks'!$C$4:$C$503,_calc!$E$233),"yyyy-mm-dd"),""))</f>
        <v/>
      </c>
      <c r="E231" s="47">
        <f>IF(_calc!$E$233="","",IF(LEN(INDEX('Checks'!$L$4:$L$503,_calc!$E$233))=0,"",INDEX('Checks'!$L$4:$L$503,_calc!$E$233)))</f>
        <v/>
      </c>
      <c r="F231" s="47">
        <f>IF(_calc!$E$233="","",TRIM(IF(LEN(IF(LEN(INDEX('Checks'!$I$4:$I$503,_calc!$E$233))=0,"",INDEX('Checks'!$I$4:$I$503,_calc!$E$233)))=0,"","Contractor: "&amp;IF(LEN(INDEX('Checks'!$I$4:$I$503,_calc!$E$233))=0,"",INDEX('Checks'!$I$4:$I$503,_calc!$E$233))&amp;". ")&amp;IF(LEN(IF(LEN(INDEX('Checks'!$J$4:$J$503,_calc!$E$233))=0,"",INDEX('Checks'!$J$4:$J$503,_calc!$E$233)))=0,"","Ref: "&amp;IF(LEN(INDEX('Checks'!$J$4:$J$503,_calc!$E$233))=0,"",INDEX('Checks'!$J$4:$J$503,_calc!$E$233))&amp;". ")&amp;IF(LEN(IF(ISNUMBER(INDEX('Checks'!$K$4:$K$503,_calc!$E$233)),TEXT(INDEX('Checks'!$K$4:$K$503,_calc!$E$233),"yyyy-mm-dd"),""))=0,"","Copy to tenant: "&amp;IF(ISNUMBER(INDEX('Checks'!$K$4:$K$503,_calc!$E$233)),TEXT(INDEX('Checks'!$K$4:$K$503,_calc!$E$233),"yyyy-mm-dd"),"")&amp;". ")&amp;IF(LEN(IF(LEN(INDEX('Checks'!$P$4:$P$503,_calc!$E$233))=0,"",INDEX('Checks'!$P$4:$P$503,_calc!$E$233)))=0,"",IF(LEN(INDEX('Checks'!$P$4:$P$503,_calc!$E$233))=0,"",INDEX('Checks'!$P$4:$P$503,_calc!$E$233)))))</f>
        <v/>
      </c>
      <c r="G231" s="47">
        <f>IF(_calc!$E$233="","",IF(LEN(INDEX('Checks'!$N$4:$N$503,_calc!$E$233))=0,"",INDEX('Checks'!$N$4:$N$503,_calc!$E$233)))</f>
        <v/>
      </c>
      <c r="K231" s="47">
        <f>IF(_calc!$E$233="","",IF(LEN(INDEX('Checks'!$M$4:$M$503,_calc!$E$233))=0,"",INDEX('Checks'!$M$4:$M$503,_calc!$E$233)))</f>
        <v/>
      </c>
    </row>
    <row r="232">
      <c r="A232" s="47">
        <f>IF(_calc!$E$234="","",IF(LEN(INDEX('Checks'!$B$4:$B$503,_calc!$E$234))=0,"",INDEX('Checks'!$B$4:$B$503,_calc!$E$234))&amp;" – "&amp;IF(LEN(INDEX('Checks'!$A$4:$A$503,_calc!$E$234))=0,"",INDEX('Checks'!$A$4:$A$503,_calc!$E$234)))</f>
        <v/>
      </c>
      <c r="B232" s="47">
        <f>IF(_calc!$E$234="","",IF(ISNUMBER(INDEX('Checks'!$D$4:$D$503,_calc!$E$234)),TEXT(INDEX('Checks'!$D$4:$D$503,_calc!$E$234),"yyyy-mm-dd"),""))</f>
        <v/>
      </c>
      <c r="C232" s="47">
        <f>IF(_calc!$E$234="","",IF(LEN(INDEX('Checks'!$B$4:$B$503,_calc!$E$234))=0,"",INDEX('Checks'!$B$4:$B$503,_calc!$E$234)))</f>
        <v/>
      </c>
      <c r="D232" s="47">
        <f>IF(_calc!$E$234="","",IF(ISNUMBER(INDEX('Checks'!$C$4:$C$503,_calc!$E$234)),TEXT(INDEX('Checks'!$C$4:$C$503,_calc!$E$234),"yyyy-mm-dd"),""))</f>
        <v/>
      </c>
      <c r="E232" s="47">
        <f>IF(_calc!$E$234="","",IF(LEN(INDEX('Checks'!$L$4:$L$503,_calc!$E$234))=0,"",INDEX('Checks'!$L$4:$L$503,_calc!$E$234)))</f>
        <v/>
      </c>
      <c r="F232" s="47">
        <f>IF(_calc!$E$234="","",TRIM(IF(LEN(IF(LEN(INDEX('Checks'!$I$4:$I$503,_calc!$E$234))=0,"",INDEX('Checks'!$I$4:$I$503,_calc!$E$234)))=0,"","Contractor: "&amp;IF(LEN(INDEX('Checks'!$I$4:$I$503,_calc!$E$234))=0,"",INDEX('Checks'!$I$4:$I$503,_calc!$E$234))&amp;". ")&amp;IF(LEN(IF(LEN(INDEX('Checks'!$J$4:$J$503,_calc!$E$234))=0,"",INDEX('Checks'!$J$4:$J$503,_calc!$E$234)))=0,"","Ref: "&amp;IF(LEN(INDEX('Checks'!$J$4:$J$503,_calc!$E$234))=0,"",INDEX('Checks'!$J$4:$J$503,_calc!$E$234))&amp;". ")&amp;IF(LEN(IF(ISNUMBER(INDEX('Checks'!$K$4:$K$503,_calc!$E$234)),TEXT(INDEX('Checks'!$K$4:$K$503,_calc!$E$234),"yyyy-mm-dd"),""))=0,"","Copy to tenant: "&amp;IF(ISNUMBER(INDEX('Checks'!$K$4:$K$503,_calc!$E$234)),TEXT(INDEX('Checks'!$K$4:$K$503,_calc!$E$234),"yyyy-mm-dd"),"")&amp;". ")&amp;IF(LEN(IF(LEN(INDEX('Checks'!$P$4:$P$503,_calc!$E$234))=0,"",INDEX('Checks'!$P$4:$P$503,_calc!$E$234)))=0,"",IF(LEN(INDEX('Checks'!$P$4:$P$503,_calc!$E$234))=0,"",INDEX('Checks'!$P$4:$P$503,_calc!$E$234)))))</f>
        <v/>
      </c>
      <c r="G232" s="47">
        <f>IF(_calc!$E$234="","",IF(LEN(INDEX('Checks'!$N$4:$N$503,_calc!$E$234))=0,"",INDEX('Checks'!$N$4:$N$503,_calc!$E$234)))</f>
        <v/>
      </c>
      <c r="K232" s="47">
        <f>IF(_calc!$E$234="","",IF(LEN(INDEX('Checks'!$M$4:$M$503,_calc!$E$234))=0,"",INDEX('Checks'!$M$4:$M$503,_calc!$E$234)))</f>
        <v/>
      </c>
    </row>
    <row r="233">
      <c r="A233" s="47">
        <f>IF(_calc!$E$235="","",IF(LEN(INDEX('Checks'!$B$4:$B$503,_calc!$E$235))=0,"",INDEX('Checks'!$B$4:$B$503,_calc!$E$235))&amp;" – "&amp;IF(LEN(INDEX('Checks'!$A$4:$A$503,_calc!$E$235))=0,"",INDEX('Checks'!$A$4:$A$503,_calc!$E$235)))</f>
        <v/>
      </c>
      <c r="B233" s="47">
        <f>IF(_calc!$E$235="","",IF(ISNUMBER(INDEX('Checks'!$D$4:$D$503,_calc!$E$235)),TEXT(INDEX('Checks'!$D$4:$D$503,_calc!$E$235),"yyyy-mm-dd"),""))</f>
        <v/>
      </c>
      <c r="C233" s="47">
        <f>IF(_calc!$E$235="","",IF(LEN(INDEX('Checks'!$B$4:$B$503,_calc!$E$235))=0,"",INDEX('Checks'!$B$4:$B$503,_calc!$E$235)))</f>
        <v/>
      </c>
      <c r="D233" s="47">
        <f>IF(_calc!$E$235="","",IF(ISNUMBER(INDEX('Checks'!$C$4:$C$503,_calc!$E$235)),TEXT(INDEX('Checks'!$C$4:$C$503,_calc!$E$235),"yyyy-mm-dd"),""))</f>
        <v/>
      </c>
      <c r="E233" s="47">
        <f>IF(_calc!$E$235="","",IF(LEN(INDEX('Checks'!$L$4:$L$503,_calc!$E$235))=0,"",INDEX('Checks'!$L$4:$L$503,_calc!$E$235)))</f>
        <v/>
      </c>
      <c r="F233" s="47">
        <f>IF(_calc!$E$235="","",TRIM(IF(LEN(IF(LEN(INDEX('Checks'!$I$4:$I$503,_calc!$E$235))=0,"",INDEX('Checks'!$I$4:$I$503,_calc!$E$235)))=0,"","Contractor: "&amp;IF(LEN(INDEX('Checks'!$I$4:$I$503,_calc!$E$235))=0,"",INDEX('Checks'!$I$4:$I$503,_calc!$E$235))&amp;". ")&amp;IF(LEN(IF(LEN(INDEX('Checks'!$J$4:$J$503,_calc!$E$235))=0,"",INDEX('Checks'!$J$4:$J$503,_calc!$E$235)))=0,"","Ref: "&amp;IF(LEN(INDEX('Checks'!$J$4:$J$503,_calc!$E$235))=0,"",INDEX('Checks'!$J$4:$J$503,_calc!$E$235))&amp;". ")&amp;IF(LEN(IF(ISNUMBER(INDEX('Checks'!$K$4:$K$503,_calc!$E$235)),TEXT(INDEX('Checks'!$K$4:$K$503,_calc!$E$235),"yyyy-mm-dd"),""))=0,"","Copy to tenant: "&amp;IF(ISNUMBER(INDEX('Checks'!$K$4:$K$503,_calc!$E$235)),TEXT(INDEX('Checks'!$K$4:$K$503,_calc!$E$235),"yyyy-mm-dd"),"")&amp;". ")&amp;IF(LEN(IF(LEN(INDEX('Checks'!$P$4:$P$503,_calc!$E$235))=0,"",INDEX('Checks'!$P$4:$P$503,_calc!$E$235)))=0,"",IF(LEN(INDEX('Checks'!$P$4:$P$503,_calc!$E$235))=0,"",INDEX('Checks'!$P$4:$P$503,_calc!$E$235)))))</f>
        <v/>
      </c>
      <c r="G233" s="47">
        <f>IF(_calc!$E$235="","",IF(LEN(INDEX('Checks'!$N$4:$N$503,_calc!$E$235))=0,"",INDEX('Checks'!$N$4:$N$503,_calc!$E$235)))</f>
        <v/>
      </c>
      <c r="K233" s="47">
        <f>IF(_calc!$E$235="","",IF(LEN(INDEX('Checks'!$M$4:$M$503,_calc!$E$235))=0,"",INDEX('Checks'!$M$4:$M$503,_calc!$E$235)))</f>
        <v/>
      </c>
    </row>
    <row r="234">
      <c r="A234" s="47">
        <f>IF(_calc!$E$236="","",IF(LEN(INDEX('Checks'!$B$4:$B$503,_calc!$E$236))=0,"",INDEX('Checks'!$B$4:$B$503,_calc!$E$236))&amp;" – "&amp;IF(LEN(INDEX('Checks'!$A$4:$A$503,_calc!$E$236))=0,"",INDEX('Checks'!$A$4:$A$503,_calc!$E$236)))</f>
        <v/>
      </c>
      <c r="B234" s="47">
        <f>IF(_calc!$E$236="","",IF(ISNUMBER(INDEX('Checks'!$D$4:$D$503,_calc!$E$236)),TEXT(INDEX('Checks'!$D$4:$D$503,_calc!$E$236),"yyyy-mm-dd"),""))</f>
        <v/>
      </c>
      <c r="C234" s="47">
        <f>IF(_calc!$E$236="","",IF(LEN(INDEX('Checks'!$B$4:$B$503,_calc!$E$236))=0,"",INDEX('Checks'!$B$4:$B$503,_calc!$E$236)))</f>
        <v/>
      </c>
      <c r="D234" s="47">
        <f>IF(_calc!$E$236="","",IF(ISNUMBER(INDEX('Checks'!$C$4:$C$503,_calc!$E$236)),TEXT(INDEX('Checks'!$C$4:$C$503,_calc!$E$236),"yyyy-mm-dd"),""))</f>
        <v/>
      </c>
      <c r="E234" s="47">
        <f>IF(_calc!$E$236="","",IF(LEN(INDEX('Checks'!$L$4:$L$503,_calc!$E$236))=0,"",INDEX('Checks'!$L$4:$L$503,_calc!$E$236)))</f>
        <v/>
      </c>
      <c r="F234" s="47">
        <f>IF(_calc!$E$236="","",TRIM(IF(LEN(IF(LEN(INDEX('Checks'!$I$4:$I$503,_calc!$E$236))=0,"",INDEX('Checks'!$I$4:$I$503,_calc!$E$236)))=0,"","Contractor: "&amp;IF(LEN(INDEX('Checks'!$I$4:$I$503,_calc!$E$236))=0,"",INDEX('Checks'!$I$4:$I$503,_calc!$E$236))&amp;". ")&amp;IF(LEN(IF(LEN(INDEX('Checks'!$J$4:$J$503,_calc!$E$236))=0,"",INDEX('Checks'!$J$4:$J$503,_calc!$E$236)))=0,"","Ref: "&amp;IF(LEN(INDEX('Checks'!$J$4:$J$503,_calc!$E$236))=0,"",INDEX('Checks'!$J$4:$J$503,_calc!$E$236))&amp;". ")&amp;IF(LEN(IF(ISNUMBER(INDEX('Checks'!$K$4:$K$503,_calc!$E$236)),TEXT(INDEX('Checks'!$K$4:$K$503,_calc!$E$236),"yyyy-mm-dd"),""))=0,"","Copy to tenant: "&amp;IF(ISNUMBER(INDEX('Checks'!$K$4:$K$503,_calc!$E$236)),TEXT(INDEX('Checks'!$K$4:$K$503,_calc!$E$236),"yyyy-mm-dd"),"")&amp;". ")&amp;IF(LEN(IF(LEN(INDEX('Checks'!$P$4:$P$503,_calc!$E$236))=0,"",INDEX('Checks'!$P$4:$P$503,_calc!$E$236)))=0,"",IF(LEN(INDEX('Checks'!$P$4:$P$503,_calc!$E$236))=0,"",INDEX('Checks'!$P$4:$P$503,_calc!$E$236)))))</f>
        <v/>
      </c>
      <c r="G234" s="47">
        <f>IF(_calc!$E$236="","",IF(LEN(INDEX('Checks'!$N$4:$N$503,_calc!$E$236))=0,"",INDEX('Checks'!$N$4:$N$503,_calc!$E$236)))</f>
        <v/>
      </c>
      <c r="K234" s="47">
        <f>IF(_calc!$E$236="","",IF(LEN(INDEX('Checks'!$M$4:$M$503,_calc!$E$236))=0,"",INDEX('Checks'!$M$4:$M$503,_calc!$E$236)))</f>
        <v/>
      </c>
    </row>
    <row r="235">
      <c r="A235" s="47">
        <f>IF(_calc!$E$237="","",IF(LEN(INDEX('Checks'!$B$4:$B$503,_calc!$E$237))=0,"",INDEX('Checks'!$B$4:$B$503,_calc!$E$237))&amp;" – "&amp;IF(LEN(INDEX('Checks'!$A$4:$A$503,_calc!$E$237))=0,"",INDEX('Checks'!$A$4:$A$503,_calc!$E$237)))</f>
        <v/>
      </c>
      <c r="B235" s="47">
        <f>IF(_calc!$E$237="","",IF(ISNUMBER(INDEX('Checks'!$D$4:$D$503,_calc!$E$237)),TEXT(INDEX('Checks'!$D$4:$D$503,_calc!$E$237),"yyyy-mm-dd"),""))</f>
        <v/>
      </c>
      <c r="C235" s="47">
        <f>IF(_calc!$E$237="","",IF(LEN(INDEX('Checks'!$B$4:$B$503,_calc!$E$237))=0,"",INDEX('Checks'!$B$4:$B$503,_calc!$E$237)))</f>
        <v/>
      </c>
      <c r="D235" s="47">
        <f>IF(_calc!$E$237="","",IF(ISNUMBER(INDEX('Checks'!$C$4:$C$503,_calc!$E$237)),TEXT(INDEX('Checks'!$C$4:$C$503,_calc!$E$237),"yyyy-mm-dd"),""))</f>
        <v/>
      </c>
      <c r="E235" s="47">
        <f>IF(_calc!$E$237="","",IF(LEN(INDEX('Checks'!$L$4:$L$503,_calc!$E$237))=0,"",INDEX('Checks'!$L$4:$L$503,_calc!$E$237)))</f>
        <v/>
      </c>
      <c r="F235" s="47">
        <f>IF(_calc!$E$237="","",TRIM(IF(LEN(IF(LEN(INDEX('Checks'!$I$4:$I$503,_calc!$E$237))=0,"",INDEX('Checks'!$I$4:$I$503,_calc!$E$237)))=0,"","Contractor: "&amp;IF(LEN(INDEX('Checks'!$I$4:$I$503,_calc!$E$237))=0,"",INDEX('Checks'!$I$4:$I$503,_calc!$E$237))&amp;". ")&amp;IF(LEN(IF(LEN(INDEX('Checks'!$J$4:$J$503,_calc!$E$237))=0,"",INDEX('Checks'!$J$4:$J$503,_calc!$E$237)))=0,"","Ref: "&amp;IF(LEN(INDEX('Checks'!$J$4:$J$503,_calc!$E$237))=0,"",INDEX('Checks'!$J$4:$J$503,_calc!$E$237))&amp;". ")&amp;IF(LEN(IF(ISNUMBER(INDEX('Checks'!$K$4:$K$503,_calc!$E$237)),TEXT(INDEX('Checks'!$K$4:$K$503,_calc!$E$237),"yyyy-mm-dd"),""))=0,"","Copy to tenant: "&amp;IF(ISNUMBER(INDEX('Checks'!$K$4:$K$503,_calc!$E$237)),TEXT(INDEX('Checks'!$K$4:$K$503,_calc!$E$237),"yyyy-mm-dd"),"")&amp;". ")&amp;IF(LEN(IF(LEN(INDEX('Checks'!$P$4:$P$503,_calc!$E$237))=0,"",INDEX('Checks'!$P$4:$P$503,_calc!$E$237)))=0,"",IF(LEN(INDEX('Checks'!$P$4:$P$503,_calc!$E$237))=0,"",INDEX('Checks'!$P$4:$P$503,_calc!$E$237)))))</f>
        <v/>
      </c>
      <c r="G235" s="47">
        <f>IF(_calc!$E$237="","",IF(LEN(INDEX('Checks'!$N$4:$N$503,_calc!$E$237))=0,"",INDEX('Checks'!$N$4:$N$503,_calc!$E$237)))</f>
        <v/>
      </c>
      <c r="K235" s="47">
        <f>IF(_calc!$E$237="","",IF(LEN(INDEX('Checks'!$M$4:$M$503,_calc!$E$237))=0,"",INDEX('Checks'!$M$4:$M$503,_calc!$E$237)))</f>
        <v/>
      </c>
    </row>
    <row r="236">
      <c r="A236" s="47">
        <f>IF(_calc!$E$238="","",IF(LEN(INDEX('Checks'!$B$4:$B$503,_calc!$E$238))=0,"",INDEX('Checks'!$B$4:$B$503,_calc!$E$238))&amp;" – "&amp;IF(LEN(INDEX('Checks'!$A$4:$A$503,_calc!$E$238))=0,"",INDEX('Checks'!$A$4:$A$503,_calc!$E$238)))</f>
        <v/>
      </c>
      <c r="B236" s="47">
        <f>IF(_calc!$E$238="","",IF(ISNUMBER(INDEX('Checks'!$D$4:$D$503,_calc!$E$238)),TEXT(INDEX('Checks'!$D$4:$D$503,_calc!$E$238),"yyyy-mm-dd"),""))</f>
        <v/>
      </c>
      <c r="C236" s="47">
        <f>IF(_calc!$E$238="","",IF(LEN(INDEX('Checks'!$B$4:$B$503,_calc!$E$238))=0,"",INDEX('Checks'!$B$4:$B$503,_calc!$E$238)))</f>
        <v/>
      </c>
      <c r="D236" s="47">
        <f>IF(_calc!$E$238="","",IF(ISNUMBER(INDEX('Checks'!$C$4:$C$503,_calc!$E$238)),TEXT(INDEX('Checks'!$C$4:$C$503,_calc!$E$238),"yyyy-mm-dd"),""))</f>
        <v/>
      </c>
      <c r="E236" s="47">
        <f>IF(_calc!$E$238="","",IF(LEN(INDEX('Checks'!$L$4:$L$503,_calc!$E$238))=0,"",INDEX('Checks'!$L$4:$L$503,_calc!$E$238)))</f>
        <v/>
      </c>
      <c r="F236" s="47">
        <f>IF(_calc!$E$238="","",TRIM(IF(LEN(IF(LEN(INDEX('Checks'!$I$4:$I$503,_calc!$E$238))=0,"",INDEX('Checks'!$I$4:$I$503,_calc!$E$238)))=0,"","Contractor: "&amp;IF(LEN(INDEX('Checks'!$I$4:$I$503,_calc!$E$238))=0,"",INDEX('Checks'!$I$4:$I$503,_calc!$E$238))&amp;". ")&amp;IF(LEN(IF(LEN(INDEX('Checks'!$J$4:$J$503,_calc!$E$238))=0,"",INDEX('Checks'!$J$4:$J$503,_calc!$E$238)))=0,"","Ref: "&amp;IF(LEN(INDEX('Checks'!$J$4:$J$503,_calc!$E$238))=0,"",INDEX('Checks'!$J$4:$J$503,_calc!$E$238))&amp;". ")&amp;IF(LEN(IF(ISNUMBER(INDEX('Checks'!$K$4:$K$503,_calc!$E$238)),TEXT(INDEX('Checks'!$K$4:$K$503,_calc!$E$238),"yyyy-mm-dd"),""))=0,"","Copy to tenant: "&amp;IF(ISNUMBER(INDEX('Checks'!$K$4:$K$503,_calc!$E$238)),TEXT(INDEX('Checks'!$K$4:$K$503,_calc!$E$238),"yyyy-mm-dd"),"")&amp;". ")&amp;IF(LEN(IF(LEN(INDEX('Checks'!$P$4:$P$503,_calc!$E$238))=0,"",INDEX('Checks'!$P$4:$P$503,_calc!$E$238)))=0,"",IF(LEN(INDEX('Checks'!$P$4:$P$503,_calc!$E$238))=0,"",INDEX('Checks'!$P$4:$P$503,_calc!$E$238)))))</f>
        <v/>
      </c>
      <c r="G236" s="47">
        <f>IF(_calc!$E$238="","",IF(LEN(INDEX('Checks'!$N$4:$N$503,_calc!$E$238))=0,"",INDEX('Checks'!$N$4:$N$503,_calc!$E$238)))</f>
        <v/>
      </c>
      <c r="K236" s="47">
        <f>IF(_calc!$E$238="","",IF(LEN(INDEX('Checks'!$M$4:$M$503,_calc!$E$238))=0,"",INDEX('Checks'!$M$4:$M$503,_calc!$E$238)))</f>
        <v/>
      </c>
    </row>
    <row r="237">
      <c r="A237" s="47">
        <f>IF(_calc!$E$239="","",IF(LEN(INDEX('Checks'!$B$4:$B$503,_calc!$E$239))=0,"",INDEX('Checks'!$B$4:$B$503,_calc!$E$239))&amp;" – "&amp;IF(LEN(INDEX('Checks'!$A$4:$A$503,_calc!$E$239))=0,"",INDEX('Checks'!$A$4:$A$503,_calc!$E$239)))</f>
        <v/>
      </c>
      <c r="B237" s="47">
        <f>IF(_calc!$E$239="","",IF(ISNUMBER(INDEX('Checks'!$D$4:$D$503,_calc!$E$239)),TEXT(INDEX('Checks'!$D$4:$D$503,_calc!$E$239),"yyyy-mm-dd"),""))</f>
        <v/>
      </c>
      <c r="C237" s="47">
        <f>IF(_calc!$E$239="","",IF(LEN(INDEX('Checks'!$B$4:$B$503,_calc!$E$239))=0,"",INDEX('Checks'!$B$4:$B$503,_calc!$E$239)))</f>
        <v/>
      </c>
      <c r="D237" s="47">
        <f>IF(_calc!$E$239="","",IF(ISNUMBER(INDEX('Checks'!$C$4:$C$503,_calc!$E$239)),TEXT(INDEX('Checks'!$C$4:$C$503,_calc!$E$239),"yyyy-mm-dd"),""))</f>
        <v/>
      </c>
      <c r="E237" s="47">
        <f>IF(_calc!$E$239="","",IF(LEN(INDEX('Checks'!$L$4:$L$503,_calc!$E$239))=0,"",INDEX('Checks'!$L$4:$L$503,_calc!$E$239)))</f>
        <v/>
      </c>
      <c r="F237" s="47">
        <f>IF(_calc!$E$239="","",TRIM(IF(LEN(IF(LEN(INDEX('Checks'!$I$4:$I$503,_calc!$E$239))=0,"",INDEX('Checks'!$I$4:$I$503,_calc!$E$239)))=0,"","Contractor: "&amp;IF(LEN(INDEX('Checks'!$I$4:$I$503,_calc!$E$239))=0,"",INDEX('Checks'!$I$4:$I$503,_calc!$E$239))&amp;". ")&amp;IF(LEN(IF(LEN(INDEX('Checks'!$J$4:$J$503,_calc!$E$239))=0,"",INDEX('Checks'!$J$4:$J$503,_calc!$E$239)))=0,"","Ref: "&amp;IF(LEN(INDEX('Checks'!$J$4:$J$503,_calc!$E$239))=0,"",INDEX('Checks'!$J$4:$J$503,_calc!$E$239))&amp;". ")&amp;IF(LEN(IF(ISNUMBER(INDEX('Checks'!$K$4:$K$503,_calc!$E$239)),TEXT(INDEX('Checks'!$K$4:$K$503,_calc!$E$239),"yyyy-mm-dd"),""))=0,"","Copy to tenant: "&amp;IF(ISNUMBER(INDEX('Checks'!$K$4:$K$503,_calc!$E$239)),TEXT(INDEX('Checks'!$K$4:$K$503,_calc!$E$239),"yyyy-mm-dd"),"")&amp;". ")&amp;IF(LEN(IF(LEN(INDEX('Checks'!$P$4:$P$503,_calc!$E$239))=0,"",INDEX('Checks'!$P$4:$P$503,_calc!$E$239)))=0,"",IF(LEN(INDEX('Checks'!$P$4:$P$503,_calc!$E$239))=0,"",INDEX('Checks'!$P$4:$P$503,_calc!$E$239)))))</f>
        <v/>
      </c>
      <c r="G237" s="47">
        <f>IF(_calc!$E$239="","",IF(LEN(INDEX('Checks'!$N$4:$N$503,_calc!$E$239))=0,"",INDEX('Checks'!$N$4:$N$503,_calc!$E$239)))</f>
        <v/>
      </c>
      <c r="K237" s="47">
        <f>IF(_calc!$E$239="","",IF(LEN(INDEX('Checks'!$M$4:$M$503,_calc!$E$239))=0,"",INDEX('Checks'!$M$4:$M$503,_calc!$E$239)))</f>
        <v/>
      </c>
    </row>
    <row r="238">
      <c r="A238" s="47">
        <f>IF(_calc!$E$240="","",IF(LEN(INDEX('Checks'!$B$4:$B$503,_calc!$E$240))=0,"",INDEX('Checks'!$B$4:$B$503,_calc!$E$240))&amp;" – "&amp;IF(LEN(INDEX('Checks'!$A$4:$A$503,_calc!$E$240))=0,"",INDEX('Checks'!$A$4:$A$503,_calc!$E$240)))</f>
        <v/>
      </c>
      <c r="B238" s="47">
        <f>IF(_calc!$E$240="","",IF(ISNUMBER(INDEX('Checks'!$D$4:$D$503,_calc!$E$240)),TEXT(INDEX('Checks'!$D$4:$D$503,_calc!$E$240),"yyyy-mm-dd"),""))</f>
        <v/>
      </c>
      <c r="C238" s="47">
        <f>IF(_calc!$E$240="","",IF(LEN(INDEX('Checks'!$B$4:$B$503,_calc!$E$240))=0,"",INDEX('Checks'!$B$4:$B$503,_calc!$E$240)))</f>
        <v/>
      </c>
      <c r="D238" s="47">
        <f>IF(_calc!$E$240="","",IF(ISNUMBER(INDEX('Checks'!$C$4:$C$503,_calc!$E$240)),TEXT(INDEX('Checks'!$C$4:$C$503,_calc!$E$240),"yyyy-mm-dd"),""))</f>
        <v/>
      </c>
      <c r="E238" s="47">
        <f>IF(_calc!$E$240="","",IF(LEN(INDEX('Checks'!$L$4:$L$503,_calc!$E$240))=0,"",INDEX('Checks'!$L$4:$L$503,_calc!$E$240)))</f>
        <v/>
      </c>
      <c r="F238" s="47">
        <f>IF(_calc!$E$240="","",TRIM(IF(LEN(IF(LEN(INDEX('Checks'!$I$4:$I$503,_calc!$E$240))=0,"",INDEX('Checks'!$I$4:$I$503,_calc!$E$240)))=0,"","Contractor: "&amp;IF(LEN(INDEX('Checks'!$I$4:$I$503,_calc!$E$240))=0,"",INDEX('Checks'!$I$4:$I$503,_calc!$E$240))&amp;". ")&amp;IF(LEN(IF(LEN(INDEX('Checks'!$J$4:$J$503,_calc!$E$240))=0,"",INDEX('Checks'!$J$4:$J$503,_calc!$E$240)))=0,"","Ref: "&amp;IF(LEN(INDEX('Checks'!$J$4:$J$503,_calc!$E$240))=0,"",INDEX('Checks'!$J$4:$J$503,_calc!$E$240))&amp;". ")&amp;IF(LEN(IF(ISNUMBER(INDEX('Checks'!$K$4:$K$503,_calc!$E$240)),TEXT(INDEX('Checks'!$K$4:$K$503,_calc!$E$240),"yyyy-mm-dd"),""))=0,"","Copy to tenant: "&amp;IF(ISNUMBER(INDEX('Checks'!$K$4:$K$503,_calc!$E$240)),TEXT(INDEX('Checks'!$K$4:$K$503,_calc!$E$240),"yyyy-mm-dd"),"")&amp;". ")&amp;IF(LEN(IF(LEN(INDEX('Checks'!$P$4:$P$503,_calc!$E$240))=0,"",INDEX('Checks'!$P$4:$P$503,_calc!$E$240)))=0,"",IF(LEN(INDEX('Checks'!$P$4:$P$503,_calc!$E$240))=0,"",INDEX('Checks'!$P$4:$P$503,_calc!$E$240)))))</f>
        <v/>
      </c>
      <c r="G238" s="47">
        <f>IF(_calc!$E$240="","",IF(LEN(INDEX('Checks'!$N$4:$N$503,_calc!$E$240))=0,"",INDEX('Checks'!$N$4:$N$503,_calc!$E$240)))</f>
        <v/>
      </c>
      <c r="K238" s="47">
        <f>IF(_calc!$E$240="","",IF(LEN(INDEX('Checks'!$M$4:$M$503,_calc!$E$240))=0,"",INDEX('Checks'!$M$4:$M$503,_calc!$E$240)))</f>
        <v/>
      </c>
    </row>
    <row r="239">
      <c r="A239" s="47">
        <f>IF(_calc!$E$241="","",IF(LEN(INDEX('Checks'!$B$4:$B$503,_calc!$E$241))=0,"",INDEX('Checks'!$B$4:$B$503,_calc!$E$241))&amp;" – "&amp;IF(LEN(INDEX('Checks'!$A$4:$A$503,_calc!$E$241))=0,"",INDEX('Checks'!$A$4:$A$503,_calc!$E$241)))</f>
        <v/>
      </c>
      <c r="B239" s="47">
        <f>IF(_calc!$E$241="","",IF(ISNUMBER(INDEX('Checks'!$D$4:$D$503,_calc!$E$241)),TEXT(INDEX('Checks'!$D$4:$D$503,_calc!$E$241),"yyyy-mm-dd"),""))</f>
        <v/>
      </c>
      <c r="C239" s="47">
        <f>IF(_calc!$E$241="","",IF(LEN(INDEX('Checks'!$B$4:$B$503,_calc!$E$241))=0,"",INDEX('Checks'!$B$4:$B$503,_calc!$E$241)))</f>
        <v/>
      </c>
      <c r="D239" s="47">
        <f>IF(_calc!$E$241="","",IF(ISNUMBER(INDEX('Checks'!$C$4:$C$503,_calc!$E$241)),TEXT(INDEX('Checks'!$C$4:$C$503,_calc!$E$241),"yyyy-mm-dd"),""))</f>
        <v/>
      </c>
      <c r="E239" s="47">
        <f>IF(_calc!$E$241="","",IF(LEN(INDEX('Checks'!$L$4:$L$503,_calc!$E$241))=0,"",INDEX('Checks'!$L$4:$L$503,_calc!$E$241)))</f>
        <v/>
      </c>
      <c r="F239" s="47">
        <f>IF(_calc!$E$241="","",TRIM(IF(LEN(IF(LEN(INDEX('Checks'!$I$4:$I$503,_calc!$E$241))=0,"",INDEX('Checks'!$I$4:$I$503,_calc!$E$241)))=0,"","Contractor: "&amp;IF(LEN(INDEX('Checks'!$I$4:$I$503,_calc!$E$241))=0,"",INDEX('Checks'!$I$4:$I$503,_calc!$E$241))&amp;". ")&amp;IF(LEN(IF(LEN(INDEX('Checks'!$J$4:$J$503,_calc!$E$241))=0,"",INDEX('Checks'!$J$4:$J$503,_calc!$E$241)))=0,"","Ref: "&amp;IF(LEN(INDEX('Checks'!$J$4:$J$503,_calc!$E$241))=0,"",INDEX('Checks'!$J$4:$J$503,_calc!$E$241))&amp;". ")&amp;IF(LEN(IF(ISNUMBER(INDEX('Checks'!$K$4:$K$503,_calc!$E$241)),TEXT(INDEX('Checks'!$K$4:$K$503,_calc!$E$241),"yyyy-mm-dd"),""))=0,"","Copy to tenant: "&amp;IF(ISNUMBER(INDEX('Checks'!$K$4:$K$503,_calc!$E$241)),TEXT(INDEX('Checks'!$K$4:$K$503,_calc!$E$241),"yyyy-mm-dd"),"")&amp;". ")&amp;IF(LEN(IF(LEN(INDEX('Checks'!$P$4:$P$503,_calc!$E$241))=0,"",INDEX('Checks'!$P$4:$P$503,_calc!$E$241)))=0,"",IF(LEN(INDEX('Checks'!$P$4:$P$503,_calc!$E$241))=0,"",INDEX('Checks'!$P$4:$P$503,_calc!$E$241)))))</f>
        <v/>
      </c>
      <c r="G239" s="47">
        <f>IF(_calc!$E$241="","",IF(LEN(INDEX('Checks'!$N$4:$N$503,_calc!$E$241))=0,"",INDEX('Checks'!$N$4:$N$503,_calc!$E$241)))</f>
        <v/>
      </c>
      <c r="K239" s="47">
        <f>IF(_calc!$E$241="","",IF(LEN(INDEX('Checks'!$M$4:$M$503,_calc!$E$241))=0,"",INDEX('Checks'!$M$4:$M$503,_calc!$E$241)))</f>
        <v/>
      </c>
    </row>
    <row r="240">
      <c r="A240" s="47">
        <f>IF(_calc!$E$242="","",IF(LEN(INDEX('Checks'!$B$4:$B$503,_calc!$E$242))=0,"",INDEX('Checks'!$B$4:$B$503,_calc!$E$242))&amp;" – "&amp;IF(LEN(INDEX('Checks'!$A$4:$A$503,_calc!$E$242))=0,"",INDEX('Checks'!$A$4:$A$503,_calc!$E$242)))</f>
        <v/>
      </c>
      <c r="B240" s="47">
        <f>IF(_calc!$E$242="","",IF(ISNUMBER(INDEX('Checks'!$D$4:$D$503,_calc!$E$242)),TEXT(INDEX('Checks'!$D$4:$D$503,_calc!$E$242),"yyyy-mm-dd"),""))</f>
        <v/>
      </c>
      <c r="C240" s="47">
        <f>IF(_calc!$E$242="","",IF(LEN(INDEX('Checks'!$B$4:$B$503,_calc!$E$242))=0,"",INDEX('Checks'!$B$4:$B$503,_calc!$E$242)))</f>
        <v/>
      </c>
      <c r="D240" s="47">
        <f>IF(_calc!$E$242="","",IF(ISNUMBER(INDEX('Checks'!$C$4:$C$503,_calc!$E$242)),TEXT(INDEX('Checks'!$C$4:$C$503,_calc!$E$242),"yyyy-mm-dd"),""))</f>
        <v/>
      </c>
      <c r="E240" s="47">
        <f>IF(_calc!$E$242="","",IF(LEN(INDEX('Checks'!$L$4:$L$503,_calc!$E$242))=0,"",INDEX('Checks'!$L$4:$L$503,_calc!$E$242)))</f>
        <v/>
      </c>
      <c r="F240" s="47">
        <f>IF(_calc!$E$242="","",TRIM(IF(LEN(IF(LEN(INDEX('Checks'!$I$4:$I$503,_calc!$E$242))=0,"",INDEX('Checks'!$I$4:$I$503,_calc!$E$242)))=0,"","Contractor: "&amp;IF(LEN(INDEX('Checks'!$I$4:$I$503,_calc!$E$242))=0,"",INDEX('Checks'!$I$4:$I$503,_calc!$E$242))&amp;". ")&amp;IF(LEN(IF(LEN(INDEX('Checks'!$J$4:$J$503,_calc!$E$242))=0,"",INDEX('Checks'!$J$4:$J$503,_calc!$E$242)))=0,"","Ref: "&amp;IF(LEN(INDEX('Checks'!$J$4:$J$503,_calc!$E$242))=0,"",INDEX('Checks'!$J$4:$J$503,_calc!$E$242))&amp;". ")&amp;IF(LEN(IF(ISNUMBER(INDEX('Checks'!$K$4:$K$503,_calc!$E$242)),TEXT(INDEX('Checks'!$K$4:$K$503,_calc!$E$242),"yyyy-mm-dd"),""))=0,"","Copy to tenant: "&amp;IF(ISNUMBER(INDEX('Checks'!$K$4:$K$503,_calc!$E$242)),TEXT(INDEX('Checks'!$K$4:$K$503,_calc!$E$242),"yyyy-mm-dd"),"")&amp;". ")&amp;IF(LEN(IF(LEN(INDEX('Checks'!$P$4:$P$503,_calc!$E$242))=0,"",INDEX('Checks'!$P$4:$P$503,_calc!$E$242)))=0,"",IF(LEN(INDEX('Checks'!$P$4:$P$503,_calc!$E$242))=0,"",INDEX('Checks'!$P$4:$P$503,_calc!$E$242)))))</f>
        <v/>
      </c>
      <c r="G240" s="47">
        <f>IF(_calc!$E$242="","",IF(LEN(INDEX('Checks'!$N$4:$N$503,_calc!$E$242))=0,"",INDEX('Checks'!$N$4:$N$503,_calc!$E$242)))</f>
        <v/>
      </c>
      <c r="K240" s="47">
        <f>IF(_calc!$E$242="","",IF(LEN(INDEX('Checks'!$M$4:$M$503,_calc!$E$242))=0,"",INDEX('Checks'!$M$4:$M$503,_calc!$E$242)))</f>
        <v/>
      </c>
    </row>
    <row r="241">
      <c r="A241" s="47">
        <f>IF(_calc!$E$243="","",IF(LEN(INDEX('Checks'!$B$4:$B$503,_calc!$E$243))=0,"",INDEX('Checks'!$B$4:$B$503,_calc!$E$243))&amp;" – "&amp;IF(LEN(INDEX('Checks'!$A$4:$A$503,_calc!$E$243))=0,"",INDEX('Checks'!$A$4:$A$503,_calc!$E$243)))</f>
        <v/>
      </c>
      <c r="B241" s="47">
        <f>IF(_calc!$E$243="","",IF(ISNUMBER(INDEX('Checks'!$D$4:$D$503,_calc!$E$243)),TEXT(INDEX('Checks'!$D$4:$D$503,_calc!$E$243),"yyyy-mm-dd"),""))</f>
        <v/>
      </c>
      <c r="C241" s="47">
        <f>IF(_calc!$E$243="","",IF(LEN(INDEX('Checks'!$B$4:$B$503,_calc!$E$243))=0,"",INDEX('Checks'!$B$4:$B$503,_calc!$E$243)))</f>
        <v/>
      </c>
      <c r="D241" s="47">
        <f>IF(_calc!$E$243="","",IF(ISNUMBER(INDEX('Checks'!$C$4:$C$503,_calc!$E$243)),TEXT(INDEX('Checks'!$C$4:$C$503,_calc!$E$243),"yyyy-mm-dd"),""))</f>
        <v/>
      </c>
      <c r="E241" s="47">
        <f>IF(_calc!$E$243="","",IF(LEN(INDEX('Checks'!$L$4:$L$503,_calc!$E$243))=0,"",INDEX('Checks'!$L$4:$L$503,_calc!$E$243)))</f>
        <v/>
      </c>
      <c r="F241" s="47">
        <f>IF(_calc!$E$243="","",TRIM(IF(LEN(IF(LEN(INDEX('Checks'!$I$4:$I$503,_calc!$E$243))=0,"",INDEX('Checks'!$I$4:$I$503,_calc!$E$243)))=0,"","Contractor: "&amp;IF(LEN(INDEX('Checks'!$I$4:$I$503,_calc!$E$243))=0,"",INDEX('Checks'!$I$4:$I$503,_calc!$E$243))&amp;". ")&amp;IF(LEN(IF(LEN(INDEX('Checks'!$J$4:$J$503,_calc!$E$243))=0,"",INDEX('Checks'!$J$4:$J$503,_calc!$E$243)))=0,"","Ref: "&amp;IF(LEN(INDEX('Checks'!$J$4:$J$503,_calc!$E$243))=0,"",INDEX('Checks'!$J$4:$J$503,_calc!$E$243))&amp;". ")&amp;IF(LEN(IF(ISNUMBER(INDEX('Checks'!$K$4:$K$503,_calc!$E$243)),TEXT(INDEX('Checks'!$K$4:$K$503,_calc!$E$243),"yyyy-mm-dd"),""))=0,"","Copy to tenant: "&amp;IF(ISNUMBER(INDEX('Checks'!$K$4:$K$503,_calc!$E$243)),TEXT(INDEX('Checks'!$K$4:$K$503,_calc!$E$243),"yyyy-mm-dd"),"")&amp;". ")&amp;IF(LEN(IF(LEN(INDEX('Checks'!$P$4:$P$503,_calc!$E$243))=0,"",INDEX('Checks'!$P$4:$P$503,_calc!$E$243)))=0,"",IF(LEN(INDEX('Checks'!$P$4:$P$503,_calc!$E$243))=0,"",INDEX('Checks'!$P$4:$P$503,_calc!$E$243)))))</f>
        <v/>
      </c>
      <c r="G241" s="47">
        <f>IF(_calc!$E$243="","",IF(LEN(INDEX('Checks'!$N$4:$N$503,_calc!$E$243))=0,"",INDEX('Checks'!$N$4:$N$503,_calc!$E$243)))</f>
        <v/>
      </c>
      <c r="K241" s="47">
        <f>IF(_calc!$E$243="","",IF(LEN(INDEX('Checks'!$M$4:$M$503,_calc!$E$243))=0,"",INDEX('Checks'!$M$4:$M$503,_calc!$E$243)))</f>
        <v/>
      </c>
    </row>
    <row r="242">
      <c r="A242" s="47">
        <f>IF(_calc!$E$244="","",IF(LEN(INDEX('Checks'!$B$4:$B$503,_calc!$E$244))=0,"",INDEX('Checks'!$B$4:$B$503,_calc!$E$244))&amp;" – "&amp;IF(LEN(INDEX('Checks'!$A$4:$A$503,_calc!$E$244))=0,"",INDEX('Checks'!$A$4:$A$503,_calc!$E$244)))</f>
        <v/>
      </c>
      <c r="B242" s="47">
        <f>IF(_calc!$E$244="","",IF(ISNUMBER(INDEX('Checks'!$D$4:$D$503,_calc!$E$244)),TEXT(INDEX('Checks'!$D$4:$D$503,_calc!$E$244),"yyyy-mm-dd"),""))</f>
        <v/>
      </c>
      <c r="C242" s="47">
        <f>IF(_calc!$E$244="","",IF(LEN(INDEX('Checks'!$B$4:$B$503,_calc!$E$244))=0,"",INDEX('Checks'!$B$4:$B$503,_calc!$E$244)))</f>
        <v/>
      </c>
      <c r="D242" s="47">
        <f>IF(_calc!$E$244="","",IF(ISNUMBER(INDEX('Checks'!$C$4:$C$503,_calc!$E$244)),TEXT(INDEX('Checks'!$C$4:$C$503,_calc!$E$244),"yyyy-mm-dd"),""))</f>
        <v/>
      </c>
      <c r="E242" s="47">
        <f>IF(_calc!$E$244="","",IF(LEN(INDEX('Checks'!$L$4:$L$503,_calc!$E$244))=0,"",INDEX('Checks'!$L$4:$L$503,_calc!$E$244)))</f>
        <v/>
      </c>
      <c r="F242" s="47">
        <f>IF(_calc!$E$244="","",TRIM(IF(LEN(IF(LEN(INDEX('Checks'!$I$4:$I$503,_calc!$E$244))=0,"",INDEX('Checks'!$I$4:$I$503,_calc!$E$244)))=0,"","Contractor: "&amp;IF(LEN(INDEX('Checks'!$I$4:$I$503,_calc!$E$244))=0,"",INDEX('Checks'!$I$4:$I$503,_calc!$E$244))&amp;". ")&amp;IF(LEN(IF(LEN(INDEX('Checks'!$J$4:$J$503,_calc!$E$244))=0,"",INDEX('Checks'!$J$4:$J$503,_calc!$E$244)))=0,"","Ref: "&amp;IF(LEN(INDEX('Checks'!$J$4:$J$503,_calc!$E$244))=0,"",INDEX('Checks'!$J$4:$J$503,_calc!$E$244))&amp;". ")&amp;IF(LEN(IF(ISNUMBER(INDEX('Checks'!$K$4:$K$503,_calc!$E$244)),TEXT(INDEX('Checks'!$K$4:$K$503,_calc!$E$244),"yyyy-mm-dd"),""))=0,"","Copy to tenant: "&amp;IF(ISNUMBER(INDEX('Checks'!$K$4:$K$503,_calc!$E$244)),TEXT(INDEX('Checks'!$K$4:$K$503,_calc!$E$244),"yyyy-mm-dd"),"")&amp;". ")&amp;IF(LEN(IF(LEN(INDEX('Checks'!$P$4:$P$503,_calc!$E$244))=0,"",INDEX('Checks'!$P$4:$P$503,_calc!$E$244)))=0,"",IF(LEN(INDEX('Checks'!$P$4:$P$503,_calc!$E$244))=0,"",INDEX('Checks'!$P$4:$P$503,_calc!$E$244)))))</f>
        <v/>
      </c>
      <c r="G242" s="47">
        <f>IF(_calc!$E$244="","",IF(LEN(INDEX('Checks'!$N$4:$N$503,_calc!$E$244))=0,"",INDEX('Checks'!$N$4:$N$503,_calc!$E$244)))</f>
        <v/>
      </c>
      <c r="K242" s="47">
        <f>IF(_calc!$E$244="","",IF(LEN(INDEX('Checks'!$M$4:$M$503,_calc!$E$244))=0,"",INDEX('Checks'!$M$4:$M$503,_calc!$E$244)))</f>
        <v/>
      </c>
    </row>
    <row r="243">
      <c r="A243" s="47">
        <f>IF(_calc!$E$245="","",IF(LEN(INDEX('Checks'!$B$4:$B$503,_calc!$E$245))=0,"",INDEX('Checks'!$B$4:$B$503,_calc!$E$245))&amp;" – "&amp;IF(LEN(INDEX('Checks'!$A$4:$A$503,_calc!$E$245))=0,"",INDEX('Checks'!$A$4:$A$503,_calc!$E$245)))</f>
        <v/>
      </c>
      <c r="B243" s="47">
        <f>IF(_calc!$E$245="","",IF(ISNUMBER(INDEX('Checks'!$D$4:$D$503,_calc!$E$245)),TEXT(INDEX('Checks'!$D$4:$D$503,_calc!$E$245),"yyyy-mm-dd"),""))</f>
        <v/>
      </c>
      <c r="C243" s="47">
        <f>IF(_calc!$E$245="","",IF(LEN(INDEX('Checks'!$B$4:$B$503,_calc!$E$245))=0,"",INDEX('Checks'!$B$4:$B$503,_calc!$E$245)))</f>
        <v/>
      </c>
      <c r="D243" s="47">
        <f>IF(_calc!$E$245="","",IF(ISNUMBER(INDEX('Checks'!$C$4:$C$503,_calc!$E$245)),TEXT(INDEX('Checks'!$C$4:$C$503,_calc!$E$245),"yyyy-mm-dd"),""))</f>
        <v/>
      </c>
      <c r="E243" s="47">
        <f>IF(_calc!$E$245="","",IF(LEN(INDEX('Checks'!$L$4:$L$503,_calc!$E$245))=0,"",INDEX('Checks'!$L$4:$L$503,_calc!$E$245)))</f>
        <v/>
      </c>
      <c r="F243" s="47">
        <f>IF(_calc!$E$245="","",TRIM(IF(LEN(IF(LEN(INDEX('Checks'!$I$4:$I$503,_calc!$E$245))=0,"",INDEX('Checks'!$I$4:$I$503,_calc!$E$245)))=0,"","Contractor: "&amp;IF(LEN(INDEX('Checks'!$I$4:$I$503,_calc!$E$245))=0,"",INDEX('Checks'!$I$4:$I$503,_calc!$E$245))&amp;". ")&amp;IF(LEN(IF(LEN(INDEX('Checks'!$J$4:$J$503,_calc!$E$245))=0,"",INDEX('Checks'!$J$4:$J$503,_calc!$E$245)))=0,"","Ref: "&amp;IF(LEN(INDEX('Checks'!$J$4:$J$503,_calc!$E$245))=0,"",INDEX('Checks'!$J$4:$J$503,_calc!$E$245))&amp;". ")&amp;IF(LEN(IF(ISNUMBER(INDEX('Checks'!$K$4:$K$503,_calc!$E$245)),TEXT(INDEX('Checks'!$K$4:$K$503,_calc!$E$245),"yyyy-mm-dd"),""))=0,"","Copy to tenant: "&amp;IF(ISNUMBER(INDEX('Checks'!$K$4:$K$503,_calc!$E$245)),TEXT(INDEX('Checks'!$K$4:$K$503,_calc!$E$245),"yyyy-mm-dd"),"")&amp;". ")&amp;IF(LEN(IF(LEN(INDEX('Checks'!$P$4:$P$503,_calc!$E$245))=0,"",INDEX('Checks'!$P$4:$P$503,_calc!$E$245)))=0,"",IF(LEN(INDEX('Checks'!$P$4:$P$503,_calc!$E$245))=0,"",INDEX('Checks'!$P$4:$P$503,_calc!$E$245)))))</f>
        <v/>
      </c>
      <c r="G243" s="47">
        <f>IF(_calc!$E$245="","",IF(LEN(INDEX('Checks'!$N$4:$N$503,_calc!$E$245))=0,"",INDEX('Checks'!$N$4:$N$503,_calc!$E$245)))</f>
        <v/>
      </c>
      <c r="K243" s="47">
        <f>IF(_calc!$E$245="","",IF(LEN(INDEX('Checks'!$M$4:$M$503,_calc!$E$245))=0,"",INDEX('Checks'!$M$4:$M$503,_calc!$E$245)))</f>
        <v/>
      </c>
    </row>
    <row r="244">
      <c r="A244" s="47">
        <f>IF(_calc!$E$246="","",IF(LEN(INDEX('Checks'!$B$4:$B$503,_calc!$E$246))=0,"",INDEX('Checks'!$B$4:$B$503,_calc!$E$246))&amp;" – "&amp;IF(LEN(INDEX('Checks'!$A$4:$A$503,_calc!$E$246))=0,"",INDEX('Checks'!$A$4:$A$503,_calc!$E$246)))</f>
        <v/>
      </c>
      <c r="B244" s="47">
        <f>IF(_calc!$E$246="","",IF(ISNUMBER(INDEX('Checks'!$D$4:$D$503,_calc!$E$246)),TEXT(INDEX('Checks'!$D$4:$D$503,_calc!$E$246),"yyyy-mm-dd"),""))</f>
        <v/>
      </c>
      <c r="C244" s="47">
        <f>IF(_calc!$E$246="","",IF(LEN(INDEX('Checks'!$B$4:$B$503,_calc!$E$246))=0,"",INDEX('Checks'!$B$4:$B$503,_calc!$E$246)))</f>
        <v/>
      </c>
      <c r="D244" s="47">
        <f>IF(_calc!$E$246="","",IF(ISNUMBER(INDEX('Checks'!$C$4:$C$503,_calc!$E$246)),TEXT(INDEX('Checks'!$C$4:$C$503,_calc!$E$246),"yyyy-mm-dd"),""))</f>
        <v/>
      </c>
      <c r="E244" s="47">
        <f>IF(_calc!$E$246="","",IF(LEN(INDEX('Checks'!$L$4:$L$503,_calc!$E$246))=0,"",INDEX('Checks'!$L$4:$L$503,_calc!$E$246)))</f>
        <v/>
      </c>
      <c r="F244" s="47">
        <f>IF(_calc!$E$246="","",TRIM(IF(LEN(IF(LEN(INDEX('Checks'!$I$4:$I$503,_calc!$E$246))=0,"",INDEX('Checks'!$I$4:$I$503,_calc!$E$246)))=0,"","Contractor: "&amp;IF(LEN(INDEX('Checks'!$I$4:$I$503,_calc!$E$246))=0,"",INDEX('Checks'!$I$4:$I$503,_calc!$E$246))&amp;". ")&amp;IF(LEN(IF(LEN(INDEX('Checks'!$J$4:$J$503,_calc!$E$246))=0,"",INDEX('Checks'!$J$4:$J$503,_calc!$E$246)))=0,"","Ref: "&amp;IF(LEN(INDEX('Checks'!$J$4:$J$503,_calc!$E$246))=0,"",INDEX('Checks'!$J$4:$J$503,_calc!$E$246))&amp;". ")&amp;IF(LEN(IF(ISNUMBER(INDEX('Checks'!$K$4:$K$503,_calc!$E$246)),TEXT(INDEX('Checks'!$K$4:$K$503,_calc!$E$246),"yyyy-mm-dd"),""))=0,"","Copy to tenant: "&amp;IF(ISNUMBER(INDEX('Checks'!$K$4:$K$503,_calc!$E$246)),TEXT(INDEX('Checks'!$K$4:$K$503,_calc!$E$246),"yyyy-mm-dd"),"")&amp;". ")&amp;IF(LEN(IF(LEN(INDEX('Checks'!$P$4:$P$503,_calc!$E$246))=0,"",INDEX('Checks'!$P$4:$P$503,_calc!$E$246)))=0,"",IF(LEN(INDEX('Checks'!$P$4:$P$503,_calc!$E$246))=0,"",INDEX('Checks'!$P$4:$P$503,_calc!$E$246)))))</f>
        <v/>
      </c>
      <c r="G244" s="47">
        <f>IF(_calc!$E$246="","",IF(LEN(INDEX('Checks'!$N$4:$N$503,_calc!$E$246))=0,"",INDEX('Checks'!$N$4:$N$503,_calc!$E$246)))</f>
        <v/>
      </c>
      <c r="K244" s="47">
        <f>IF(_calc!$E$246="","",IF(LEN(INDEX('Checks'!$M$4:$M$503,_calc!$E$246))=0,"",INDEX('Checks'!$M$4:$M$503,_calc!$E$246)))</f>
        <v/>
      </c>
    </row>
    <row r="245">
      <c r="A245" s="47">
        <f>IF(_calc!$E$247="","",IF(LEN(INDEX('Checks'!$B$4:$B$503,_calc!$E$247))=0,"",INDEX('Checks'!$B$4:$B$503,_calc!$E$247))&amp;" – "&amp;IF(LEN(INDEX('Checks'!$A$4:$A$503,_calc!$E$247))=0,"",INDEX('Checks'!$A$4:$A$503,_calc!$E$247)))</f>
        <v/>
      </c>
      <c r="B245" s="47">
        <f>IF(_calc!$E$247="","",IF(ISNUMBER(INDEX('Checks'!$D$4:$D$503,_calc!$E$247)),TEXT(INDEX('Checks'!$D$4:$D$503,_calc!$E$247),"yyyy-mm-dd"),""))</f>
        <v/>
      </c>
      <c r="C245" s="47">
        <f>IF(_calc!$E$247="","",IF(LEN(INDEX('Checks'!$B$4:$B$503,_calc!$E$247))=0,"",INDEX('Checks'!$B$4:$B$503,_calc!$E$247)))</f>
        <v/>
      </c>
      <c r="D245" s="47">
        <f>IF(_calc!$E$247="","",IF(ISNUMBER(INDEX('Checks'!$C$4:$C$503,_calc!$E$247)),TEXT(INDEX('Checks'!$C$4:$C$503,_calc!$E$247),"yyyy-mm-dd"),""))</f>
        <v/>
      </c>
      <c r="E245" s="47">
        <f>IF(_calc!$E$247="","",IF(LEN(INDEX('Checks'!$L$4:$L$503,_calc!$E$247))=0,"",INDEX('Checks'!$L$4:$L$503,_calc!$E$247)))</f>
        <v/>
      </c>
      <c r="F245" s="47">
        <f>IF(_calc!$E$247="","",TRIM(IF(LEN(IF(LEN(INDEX('Checks'!$I$4:$I$503,_calc!$E$247))=0,"",INDEX('Checks'!$I$4:$I$503,_calc!$E$247)))=0,"","Contractor: "&amp;IF(LEN(INDEX('Checks'!$I$4:$I$503,_calc!$E$247))=0,"",INDEX('Checks'!$I$4:$I$503,_calc!$E$247))&amp;". ")&amp;IF(LEN(IF(LEN(INDEX('Checks'!$J$4:$J$503,_calc!$E$247))=0,"",INDEX('Checks'!$J$4:$J$503,_calc!$E$247)))=0,"","Ref: "&amp;IF(LEN(INDEX('Checks'!$J$4:$J$503,_calc!$E$247))=0,"",INDEX('Checks'!$J$4:$J$503,_calc!$E$247))&amp;". ")&amp;IF(LEN(IF(ISNUMBER(INDEX('Checks'!$K$4:$K$503,_calc!$E$247)),TEXT(INDEX('Checks'!$K$4:$K$503,_calc!$E$247),"yyyy-mm-dd"),""))=0,"","Copy to tenant: "&amp;IF(ISNUMBER(INDEX('Checks'!$K$4:$K$503,_calc!$E$247)),TEXT(INDEX('Checks'!$K$4:$K$503,_calc!$E$247),"yyyy-mm-dd"),"")&amp;". ")&amp;IF(LEN(IF(LEN(INDEX('Checks'!$P$4:$P$503,_calc!$E$247))=0,"",INDEX('Checks'!$P$4:$P$503,_calc!$E$247)))=0,"",IF(LEN(INDEX('Checks'!$P$4:$P$503,_calc!$E$247))=0,"",INDEX('Checks'!$P$4:$P$503,_calc!$E$247)))))</f>
        <v/>
      </c>
      <c r="G245" s="47">
        <f>IF(_calc!$E$247="","",IF(LEN(INDEX('Checks'!$N$4:$N$503,_calc!$E$247))=0,"",INDEX('Checks'!$N$4:$N$503,_calc!$E$247)))</f>
        <v/>
      </c>
      <c r="K245" s="47">
        <f>IF(_calc!$E$247="","",IF(LEN(INDEX('Checks'!$M$4:$M$503,_calc!$E$247))=0,"",INDEX('Checks'!$M$4:$M$503,_calc!$E$247)))</f>
        <v/>
      </c>
    </row>
    <row r="246">
      <c r="A246" s="47">
        <f>IF(_calc!$E$248="","",IF(LEN(INDEX('Checks'!$B$4:$B$503,_calc!$E$248))=0,"",INDEX('Checks'!$B$4:$B$503,_calc!$E$248))&amp;" – "&amp;IF(LEN(INDEX('Checks'!$A$4:$A$503,_calc!$E$248))=0,"",INDEX('Checks'!$A$4:$A$503,_calc!$E$248)))</f>
        <v/>
      </c>
      <c r="B246" s="47">
        <f>IF(_calc!$E$248="","",IF(ISNUMBER(INDEX('Checks'!$D$4:$D$503,_calc!$E$248)),TEXT(INDEX('Checks'!$D$4:$D$503,_calc!$E$248),"yyyy-mm-dd"),""))</f>
        <v/>
      </c>
      <c r="C246" s="47">
        <f>IF(_calc!$E$248="","",IF(LEN(INDEX('Checks'!$B$4:$B$503,_calc!$E$248))=0,"",INDEX('Checks'!$B$4:$B$503,_calc!$E$248)))</f>
        <v/>
      </c>
      <c r="D246" s="47">
        <f>IF(_calc!$E$248="","",IF(ISNUMBER(INDEX('Checks'!$C$4:$C$503,_calc!$E$248)),TEXT(INDEX('Checks'!$C$4:$C$503,_calc!$E$248),"yyyy-mm-dd"),""))</f>
        <v/>
      </c>
      <c r="E246" s="47">
        <f>IF(_calc!$E$248="","",IF(LEN(INDEX('Checks'!$L$4:$L$503,_calc!$E$248))=0,"",INDEX('Checks'!$L$4:$L$503,_calc!$E$248)))</f>
        <v/>
      </c>
      <c r="F246" s="47">
        <f>IF(_calc!$E$248="","",TRIM(IF(LEN(IF(LEN(INDEX('Checks'!$I$4:$I$503,_calc!$E$248))=0,"",INDEX('Checks'!$I$4:$I$503,_calc!$E$248)))=0,"","Contractor: "&amp;IF(LEN(INDEX('Checks'!$I$4:$I$503,_calc!$E$248))=0,"",INDEX('Checks'!$I$4:$I$503,_calc!$E$248))&amp;". ")&amp;IF(LEN(IF(LEN(INDEX('Checks'!$J$4:$J$503,_calc!$E$248))=0,"",INDEX('Checks'!$J$4:$J$503,_calc!$E$248)))=0,"","Ref: "&amp;IF(LEN(INDEX('Checks'!$J$4:$J$503,_calc!$E$248))=0,"",INDEX('Checks'!$J$4:$J$503,_calc!$E$248))&amp;". ")&amp;IF(LEN(IF(ISNUMBER(INDEX('Checks'!$K$4:$K$503,_calc!$E$248)),TEXT(INDEX('Checks'!$K$4:$K$503,_calc!$E$248),"yyyy-mm-dd"),""))=0,"","Copy to tenant: "&amp;IF(ISNUMBER(INDEX('Checks'!$K$4:$K$503,_calc!$E$248)),TEXT(INDEX('Checks'!$K$4:$K$503,_calc!$E$248),"yyyy-mm-dd"),"")&amp;". ")&amp;IF(LEN(IF(LEN(INDEX('Checks'!$P$4:$P$503,_calc!$E$248))=0,"",INDEX('Checks'!$P$4:$P$503,_calc!$E$248)))=0,"",IF(LEN(INDEX('Checks'!$P$4:$P$503,_calc!$E$248))=0,"",INDEX('Checks'!$P$4:$P$503,_calc!$E$248)))))</f>
        <v/>
      </c>
      <c r="G246" s="47">
        <f>IF(_calc!$E$248="","",IF(LEN(INDEX('Checks'!$N$4:$N$503,_calc!$E$248))=0,"",INDEX('Checks'!$N$4:$N$503,_calc!$E$248)))</f>
        <v/>
      </c>
      <c r="K246" s="47">
        <f>IF(_calc!$E$248="","",IF(LEN(INDEX('Checks'!$M$4:$M$503,_calc!$E$248))=0,"",INDEX('Checks'!$M$4:$M$503,_calc!$E$248)))</f>
        <v/>
      </c>
    </row>
    <row r="247">
      <c r="A247" s="47">
        <f>IF(_calc!$E$249="","",IF(LEN(INDEX('Checks'!$B$4:$B$503,_calc!$E$249))=0,"",INDEX('Checks'!$B$4:$B$503,_calc!$E$249))&amp;" – "&amp;IF(LEN(INDEX('Checks'!$A$4:$A$503,_calc!$E$249))=0,"",INDEX('Checks'!$A$4:$A$503,_calc!$E$249)))</f>
        <v/>
      </c>
      <c r="B247" s="47">
        <f>IF(_calc!$E$249="","",IF(ISNUMBER(INDEX('Checks'!$D$4:$D$503,_calc!$E$249)),TEXT(INDEX('Checks'!$D$4:$D$503,_calc!$E$249),"yyyy-mm-dd"),""))</f>
        <v/>
      </c>
      <c r="C247" s="47">
        <f>IF(_calc!$E$249="","",IF(LEN(INDEX('Checks'!$B$4:$B$503,_calc!$E$249))=0,"",INDEX('Checks'!$B$4:$B$503,_calc!$E$249)))</f>
        <v/>
      </c>
      <c r="D247" s="47">
        <f>IF(_calc!$E$249="","",IF(ISNUMBER(INDEX('Checks'!$C$4:$C$503,_calc!$E$249)),TEXT(INDEX('Checks'!$C$4:$C$503,_calc!$E$249),"yyyy-mm-dd"),""))</f>
        <v/>
      </c>
      <c r="E247" s="47">
        <f>IF(_calc!$E$249="","",IF(LEN(INDEX('Checks'!$L$4:$L$503,_calc!$E$249))=0,"",INDEX('Checks'!$L$4:$L$503,_calc!$E$249)))</f>
        <v/>
      </c>
      <c r="F247" s="47">
        <f>IF(_calc!$E$249="","",TRIM(IF(LEN(IF(LEN(INDEX('Checks'!$I$4:$I$503,_calc!$E$249))=0,"",INDEX('Checks'!$I$4:$I$503,_calc!$E$249)))=0,"","Contractor: "&amp;IF(LEN(INDEX('Checks'!$I$4:$I$503,_calc!$E$249))=0,"",INDEX('Checks'!$I$4:$I$503,_calc!$E$249))&amp;". ")&amp;IF(LEN(IF(LEN(INDEX('Checks'!$J$4:$J$503,_calc!$E$249))=0,"",INDEX('Checks'!$J$4:$J$503,_calc!$E$249)))=0,"","Ref: "&amp;IF(LEN(INDEX('Checks'!$J$4:$J$503,_calc!$E$249))=0,"",INDEX('Checks'!$J$4:$J$503,_calc!$E$249))&amp;". ")&amp;IF(LEN(IF(ISNUMBER(INDEX('Checks'!$K$4:$K$503,_calc!$E$249)),TEXT(INDEX('Checks'!$K$4:$K$503,_calc!$E$249),"yyyy-mm-dd"),""))=0,"","Copy to tenant: "&amp;IF(ISNUMBER(INDEX('Checks'!$K$4:$K$503,_calc!$E$249)),TEXT(INDEX('Checks'!$K$4:$K$503,_calc!$E$249),"yyyy-mm-dd"),"")&amp;". ")&amp;IF(LEN(IF(LEN(INDEX('Checks'!$P$4:$P$503,_calc!$E$249))=0,"",INDEX('Checks'!$P$4:$P$503,_calc!$E$249)))=0,"",IF(LEN(INDEX('Checks'!$P$4:$P$503,_calc!$E$249))=0,"",INDEX('Checks'!$P$4:$P$503,_calc!$E$249)))))</f>
        <v/>
      </c>
      <c r="G247" s="47">
        <f>IF(_calc!$E$249="","",IF(LEN(INDEX('Checks'!$N$4:$N$503,_calc!$E$249))=0,"",INDEX('Checks'!$N$4:$N$503,_calc!$E$249)))</f>
        <v/>
      </c>
      <c r="K247" s="47">
        <f>IF(_calc!$E$249="","",IF(LEN(INDEX('Checks'!$M$4:$M$503,_calc!$E$249))=0,"",INDEX('Checks'!$M$4:$M$503,_calc!$E$249)))</f>
        <v/>
      </c>
    </row>
    <row r="248">
      <c r="A248" s="47">
        <f>IF(_calc!$E$250="","",IF(LEN(INDEX('Checks'!$B$4:$B$503,_calc!$E$250))=0,"",INDEX('Checks'!$B$4:$B$503,_calc!$E$250))&amp;" – "&amp;IF(LEN(INDEX('Checks'!$A$4:$A$503,_calc!$E$250))=0,"",INDEX('Checks'!$A$4:$A$503,_calc!$E$250)))</f>
        <v/>
      </c>
      <c r="B248" s="47">
        <f>IF(_calc!$E$250="","",IF(ISNUMBER(INDEX('Checks'!$D$4:$D$503,_calc!$E$250)),TEXT(INDEX('Checks'!$D$4:$D$503,_calc!$E$250),"yyyy-mm-dd"),""))</f>
        <v/>
      </c>
      <c r="C248" s="47">
        <f>IF(_calc!$E$250="","",IF(LEN(INDEX('Checks'!$B$4:$B$503,_calc!$E$250))=0,"",INDEX('Checks'!$B$4:$B$503,_calc!$E$250)))</f>
        <v/>
      </c>
      <c r="D248" s="47">
        <f>IF(_calc!$E$250="","",IF(ISNUMBER(INDEX('Checks'!$C$4:$C$503,_calc!$E$250)),TEXT(INDEX('Checks'!$C$4:$C$503,_calc!$E$250),"yyyy-mm-dd"),""))</f>
        <v/>
      </c>
      <c r="E248" s="47">
        <f>IF(_calc!$E$250="","",IF(LEN(INDEX('Checks'!$L$4:$L$503,_calc!$E$250))=0,"",INDEX('Checks'!$L$4:$L$503,_calc!$E$250)))</f>
        <v/>
      </c>
      <c r="F248" s="47">
        <f>IF(_calc!$E$250="","",TRIM(IF(LEN(IF(LEN(INDEX('Checks'!$I$4:$I$503,_calc!$E$250))=0,"",INDEX('Checks'!$I$4:$I$503,_calc!$E$250)))=0,"","Contractor: "&amp;IF(LEN(INDEX('Checks'!$I$4:$I$503,_calc!$E$250))=0,"",INDEX('Checks'!$I$4:$I$503,_calc!$E$250))&amp;". ")&amp;IF(LEN(IF(LEN(INDEX('Checks'!$J$4:$J$503,_calc!$E$250))=0,"",INDEX('Checks'!$J$4:$J$503,_calc!$E$250)))=0,"","Ref: "&amp;IF(LEN(INDEX('Checks'!$J$4:$J$503,_calc!$E$250))=0,"",INDEX('Checks'!$J$4:$J$503,_calc!$E$250))&amp;". ")&amp;IF(LEN(IF(ISNUMBER(INDEX('Checks'!$K$4:$K$503,_calc!$E$250)),TEXT(INDEX('Checks'!$K$4:$K$503,_calc!$E$250),"yyyy-mm-dd"),""))=0,"","Copy to tenant: "&amp;IF(ISNUMBER(INDEX('Checks'!$K$4:$K$503,_calc!$E$250)),TEXT(INDEX('Checks'!$K$4:$K$503,_calc!$E$250),"yyyy-mm-dd"),"")&amp;". ")&amp;IF(LEN(IF(LEN(INDEX('Checks'!$P$4:$P$503,_calc!$E$250))=0,"",INDEX('Checks'!$P$4:$P$503,_calc!$E$250)))=0,"",IF(LEN(INDEX('Checks'!$P$4:$P$503,_calc!$E$250))=0,"",INDEX('Checks'!$P$4:$P$503,_calc!$E$250)))))</f>
        <v/>
      </c>
      <c r="G248" s="47">
        <f>IF(_calc!$E$250="","",IF(LEN(INDEX('Checks'!$N$4:$N$503,_calc!$E$250))=0,"",INDEX('Checks'!$N$4:$N$503,_calc!$E$250)))</f>
        <v/>
      </c>
      <c r="K248" s="47">
        <f>IF(_calc!$E$250="","",IF(LEN(INDEX('Checks'!$M$4:$M$503,_calc!$E$250))=0,"",INDEX('Checks'!$M$4:$M$503,_calc!$E$250)))</f>
        <v/>
      </c>
    </row>
    <row r="249">
      <c r="A249" s="47">
        <f>IF(_calc!$E$251="","",IF(LEN(INDEX('Checks'!$B$4:$B$503,_calc!$E$251))=0,"",INDEX('Checks'!$B$4:$B$503,_calc!$E$251))&amp;" – "&amp;IF(LEN(INDEX('Checks'!$A$4:$A$503,_calc!$E$251))=0,"",INDEX('Checks'!$A$4:$A$503,_calc!$E$251)))</f>
        <v/>
      </c>
      <c r="B249" s="47">
        <f>IF(_calc!$E$251="","",IF(ISNUMBER(INDEX('Checks'!$D$4:$D$503,_calc!$E$251)),TEXT(INDEX('Checks'!$D$4:$D$503,_calc!$E$251),"yyyy-mm-dd"),""))</f>
        <v/>
      </c>
      <c r="C249" s="47">
        <f>IF(_calc!$E$251="","",IF(LEN(INDEX('Checks'!$B$4:$B$503,_calc!$E$251))=0,"",INDEX('Checks'!$B$4:$B$503,_calc!$E$251)))</f>
        <v/>
      </c>
      <c r="D249" s="47">
        <f>IF(_calc!$E$251="","",IF(ISNUMBER(INDEX('Checks'!$C$4:$C$503,_calc!$E$251)),TEXT(INDEX('Checks'!$C$4:$C$503,_calc!$E$251),"yyyy-mm-dd"),""))</f>
        <v/>
      </c>
      <c r="E249" s="47">
        <f>IF(_calc!$E$251="","",IF(LEN(INDEX('Checks'!$L$4:$L$503,_calc!$E$251))=0,"",INDEX('Checks'!$L$4:$L$503,_calc!$E$251)))</f>
        <v/>
      </c>
      <c r="F249" s="47">
        <f>IF(_calc!$E$251="","",TRIM(IF(LEN(IF(LEN(INDEX('Checks'!$I$4:$I$503,_calc!$E$251))=0,"",INDEX('Checks'!$I$4:$I$503,_calc!$E$251)))=0,"","Contractor: "&amp;IF(LEN(INDEX('Checks'!$I$4:$I$503,_calc!$E$251))=0,"",INDEX('Checks'!$I$4:$I$503,_calc!$E$251))&amp;". ")&amp;IF(LEN(IF(LEN(INDEX('Checks'!$J$4:$J$503,_calc!$E$251))=0,"",INDEX('Checks'!$J$4:$J$503,_calc!$E$251)))=0,"","Ref: "&amp;IF(LEN(INDEX('Checks'!$J$4:$J$503,_calc!$E$251))=0,"",INDEX('Checks'!$J$4:$J$503,_calc!$E$251))&amp;". ")&amp;IF(LEN(IF(ISNUMBER(INDEX('Checks'!$K$4:$K$503,_calc!$E$251)),TEXT(INDEX('Checks'!$K$4:$K$503,_calc!$E$251),"yyyy-mm-dd"),""))=0,"","Copy to tenant: "&amp;IF(ISNUMBER(INDEX('Checks'!$K$4:$K$503,_calc!$E$251)),TEXT(INDEX('Checks'!$K$4:$K$503,_calc!$E$251),"yyyy-mm-dd"),"")&amp;". ")&amp;IF(LEN(IF(LEN(INDEX('Checks'!$P$4:$P$503,_calc!$E$251))=0,"",INDEX('Checks'!$P$4:$P$503,_calc!$E$251)))=0,"",IF(LEN(INDEX('Checks'!$P$4:$P$503,_calc!$E$251))=0,"",INDEX('Checks'!$P$4:$P$503,_calc!$E$251)))))</f>
        <v/>
      </c>
      <c r="G249" s="47">
        <f>IF(_calc!$E$251="","",IF(LEN(INDEX('Checks'!$N$4:$N$503,_calc!$E$251))=0,"",INDEX('Checks'!$N$4:$N$503,_calc!$E$251)))</f>
        <v/>
      </c>
      <c r="K249" s="47">
        <f>IF(_calc!$E$251="","",IF(LEN(INDEX('Checks'!$M$4:$M$503,_calc!$E$251))=0,"",INDEX('Checks'!$M$4:$M$503,_calc!$E$251)))</f>
        <v/>
      </c>
    </row>
    <row r="250">
      <c r="A250" s="47">
        <f>IF(_calc!$E$252="","",IF(LEN(INDEX('Checks'!$B$4:$B$503,_calc!$E$252))=0,"",INDEX('Checks'!$B$4:$B$503,_calc!$E$252))&amp;" – "&amp;IF(LEN(INDEX('Checks'!$A$4:$A$503,_calc!$E$252))=0,"",INDEX('Checks'!$A$4:$A$503,_calc!$E$252)))</f>
        <v/>
      </c>
      <c r="B250" s="47">
        <f>IF(_calc!$E$252="","",IF(ISNUMBER(INDEX('Checks'!$D$4:$D$503,_calc!$E$252)),TEXT(INDEX('Checks'!$D$4:$D$503,_calc!$E$252),"yyyy-mm-dd"),""))</f>
        <v/>
      </c>
      <c r="C250" s="47">
        <f>IF(_calc!$E$252="","",IF(LEN(INDEX('Checks'!$B$4:$B$503,_calc!$E$252))=0,"",INDEX('Checks'!$B$4:$B$503,_calc!$E$252)))</f>
        <v/>
      </c>
      <c r="D250" s="47">
        <f>IF(_calc!$E$252="","",IF(ISNUMBER(INDEX('Checks'!$C$4:$C$503,_calc!$E$252)),TEXT(INDEX('Checks'!$C$4:$C$503,_calc!$E$252),"yyyy-mm-dd"),""))</f>
        <v/>
      </c>
      <c r="E250" s="47">
        <f>IF(_calc!$E$252="","",IF(LEN(INDEX('Checks'!$L$4:$L$503,_calc!$E$252))=0,"",INDEX('Checks'!$L$4:$L$503,_calc!$E$252)))</f>
        <v/>
      </c>
      <c r="F250" s="47">
        <f>IF(_calc!$E$252="","",TRIM(IF(LEN(IF(LEN(INDEX('Checks'!$I$4:$I$503,_calc!$E$252))=0,"",INDEX('Checks'!$I$4:$I$503,_calc!$E$252)))=0,"","Contractor: "&amp;IF(LEN(INDEX('Checks'!$I$4:$I$503,_calc!$E$252))=0,"",INDEX('Checks'!$I$4:$I$503,_calc!$E$252))&amp;". ")&amp;IF(LEN(IF(LEN(INDEX('Checks'!$J$4:$J$503,_calc!$E$252))=0,"",INDEX('Checks'!$J$4:$J$503,_calc!$E$252)))=0,"","Ref: "&amp;IF(LEN(INDEX('Checks'!$J$4:$J$503,_calc!$E$252))=0,"",INDEX('Checks'!$J$4:$J$503,_calc!$E$252))&amp;". ")&amp;IF(LEN(IF(ISNUMBER(INDEX('Checks'!$K$4:$K$503,_calc!$E$252)),TEXT(INDEX('Checks'!$K$4:$K$503,_calc!$E$252),"yyyy-mm-dd"),""))=0,"","Copy to tenant: "&amp;IF(ISNUMBER(INDEX('Checks'!$K$4:$K$503,_calc!$E$252)),TEXT(INDEX('Checks'!$K$4:$K$503,_calc!$E$252),"yyyy-mm-dd"),"")&amp;". ")&amp;IF(LEN(IF(LEN(INDEX('Checks'!$P$4:$P$503,_calc!$E$252))=0,"",INDEX('Checks'!$P$4:$P$503,_calc!$E$252)))=0,"",IF(LEN(INDEX('Checks'!$P$4:$P$503,_calc!$E$252))=0,"",INDEX('Checks'!$P$4:$P$503,_calc!$E$252)))))</f>
        <v/>
      </c>
      <c r="G250" s="47">
        <f>IF(_calc!$E$252="","",IF(LEN(INDEX('Checks'!$N$4:$N$503,_calc!$E$252))=0,"",INDEX('Checks'!$N$4:$N$503,_calc!$E$252)))</f>
        <v/>
      </c>
      <c r="K250" s="47">
        <f>IF(_calc!$E$252="","",IF(LEN(INDEX('Checks'!$M$4:$M$503,_calc!$E$252))=0,"",INDEX('Checks'!$M$4:$M$503,_calc!$E$252)))</f>
        <v/>
      </c>
    </row>
    <row r="251">
      <c r="A251" s="47">
        <f>IF(_calc!$E$253="","",IF(LEN(INDEX('Checks'!$B$4:$B$503,_calc!$E$253))=0,"",INDEX('Checks'!$B$4:$B$503,_calc!$E$253))&amp;" – "&amp;IF(LEN(INDEX('Checks'!$A$4:$A$503,_calc!$E$253))=0,"",INDEX('Checks'!$A$4:$A$503,_calc!$E$253)))</f>
        <v/>
      </c>
      <c r="B251" s="47">
        <f>IF(_calc!$E$253="","",IF(ISNUMBER(INDEX('Checks'!$D$4:$D$503,_calc!$E$253)),TEXT(INDEX('Checks'!$D$4:$D$503,_calc!$E$253),"yyyy-mm-dd"),""))</f>
        <v/>
      </c>
      <c r="C251" s="47">
        <f>IF(_calc!$E$253="","",IF(LEN(INDEX('Checks'!$B$4:$B$503,_calc!$E$253))=0,"",INDEX('Checks'!$B$4:$B$503,_calc!$E$253)))</f>
        <v/>
      </c>
      <c r="D251" s="47">
        <f>IF(_calc!$E$253="","",IF(ISNUMBER(INDEX('Checks'!$C$4:$C$503,_calc!$E$253)),TEXT(INDEX('Checks'!$C$4:$C$503,_calc!$E$253),"yyyy-mm-dd"),""))</f>
        <v/>
      </c>
      <c r="E251" s="47">
        <f>IF(_calc!$E$253="","",IF(LEN(INDEX('Checks'!$L$4:$L$503,_calc!$E$253))=0,"",INDEX('Checks'!$L$4:$L$503,_calc!$E$253)))</f>
        <v/>
      </c>
      <c r="F251" s="47">
        <f>IF(_calc!$E$253="","",TRIM(IF(LEN(IF(LEN(INDEX('Checks'!$I$4:$I$503,_calc!$E$253))=0,"",INDEX('Checks'!$I$4:$I$503,_calc!$E$253)))=0,"","Contractor: "&amp;IF(LEN(INDEX('Checks'!$I$4:$I$503,_calc!$E$253))=0,"",INDEX('Checks'!$I$4:$I$503,_calc!$E$253))&amp;". ")&amp;IF(LEN(IF(LEN(INDEX('Checks'!$J$4:$J$503,_calc!$E$253))=0,"",INDEX('Checks'!$J$4:$J$503,_calc!$E$253)))=0,"","Ref: "&amp;IF(LEN(INDEX('Checks'!$J$4:$J$503,_calc!$E$253))=0,"",INDEX('Checks'!$J$4:$J$503,_calc!$E$253))&amp;". ")&amp;IF(LEN(IF(ISNUMBER(INDEX('Checks'!$K$4:$K$503,_calc!$E$253)),TEXT(INDEX('Checks'!$K$4:$K$503,_calc!$E$253),"yyyy-mm-dd"),""))=0,"","Copy to tenant: "&amp;IF(ISNUMBER(INDEX('Checks'!$K$4:$K$503,_calc!$E$253)),TEXT(INDEX('Checks'!$K$4:$K$503,_calc!$E$253),"yyyy-mm-dd"),"")&amp;". ")&amp;IF(LEN(IF(LEN(INDEX('Checks'!$P$4:$P$503,_calc!$E$253))=0,"",INDEX('Checks'!$P$4:$P$503,_calc!$E$253)))=0,"",IF(LEN(INDEX('Checks'!$P$4:$P$503,_calc!$E$253))=0,"",INDEX('Checks'!$P$4:$P$503,_calc!$E$253)))))</f>
        <v/>
      </c>
      <c r="G251" s="47">
        <f>IF(_calc!$E$253="","",IF(LEN(INDEX('Checks'!$N$4:$N$503,_calc!$E$253))=0,"",INDEX('Checks'!$N$4:$N$503,_calc!$E$253)))</f>
        <v/>
      </c>
      <c r="K251" s="47">
        <f>IF(_calc!$E$253="","",IF(LEN(INDEX('Checks'!$M$4:$M$503,_calc!$E$253))=0,"",INDEX('Checks'!$M$4:$M$503,_calc!$E$253)))</f>
        <v/>
      </c>
    </row>
    <row r="252">
      <c r="A252" s="47">
        <f>IF(_calc!$E$254="","",IF(LEN(INDEX('Checks'!$B$4:$B$503,_calc!$E$254))=0,"",INDEX('Checks'!$B$4:$B$503,_calc!$E$254))&amp;" – "&amp;IF(LEN(INDEX('Checks'!$A$4:$A$503,_calc!$E$254))=0,"",INDEX('Checks'!$A$4:$A$503,_calc!$E$254)))</f>
        <v/>
      </c>
      <c r="B252" s="47">
        <f>IF(_calc!$E$254="","",IF(ISNUMBER(INDEX('Checks'!$D$4:$D$503,_calc!$E$254)),TEXT(INDEX('Checks'!$D$4:$D$503,_calc!$E$254),"yyyy-mm-dd"),""))</f>
        <v/>
      </c>
      <c r="C252" s="47">
        <f>IF(_calc!$E$254="","",IF(LEN(INDEX('Checks'!$B$4:$B$503,_calc!$E$254))=0,"",INDEX('Checks'!$B$4:$B$503,_calc!$E$254)))</f>
        <v/>
      </c>
      <c r="D252" s="47">
        <f>IF(_calc!$E$254="","",IF(ISNUMBER(INDEX('Checks'!$C$4:$C$503,_calc!$E$254)),TEXT(INDEX('Checks'!$C$4:$C$503,_calc!$E$254),"yyyy-mm-dd"),""))</f>
        <v/>
      </c>
      <c r="E252" s="47">
        <f>IF(_calc!$E$254="","",IF(LEN(INDEX('Checks'!$L$4:$L$503,_calc!$E$254))=0,"",INDEX('Checks'!$L$4:$L$503,_calc!$E$254)))</f>
        <v/>
      </c>
      <c r="F252" s="47">
        <f>IF(_calc!$E$254="","",TRIM(IF(LEN(IF(LEN(INDEX('Checks'!$I$4:$I$503,_calc!$E$254))=0,"",INDEX('Checks'!$I$4:$I$503,_calc!$E$254)))=0,"","Contractor: "&amp;IF(LEN(INDEX('Checks'!$I$4:$I$503,_calc!$E$254))=0,"",INDEX('Checks'!$I$4:$I$503,_calc!$E$254))&amp;". ")&amp;IF(LEN(IF(LEN(INDEX('Checks'!$J$4:$J$503,_calc!$E$254))=0,"",INDEX('Checks'!$J$4:$J$503,_calc!$E$254)))=0,"","Ref: "&amp;IF(LEN(INDEX('Checks'!$J$4:$J$503,_calc!$E$254))=0,"",INDEX('Checks'!$J$4:$J$503,_calc!$E$254))&amp;". ")&amp;IF(LEN(IF(ISNUMBER(INDEX('Checks'!$K$4:$K$503,_calc!$E$254)),TEXT(INDEX('Checks'!$K$4:$K$503,_calc!$E$254),"yyyy-mm-dd"),""))=0,"","Copy to tenant: "&amp;IF(ISNUMBER(INDEX('Checks'!$K$4:$K$503,_calc!$E$254)),TEXT(INDEX('Checks'!$K$4:$K$503,_calc!$E$254),"yyyy-mm-dd"),"")&amp;". ")&amp;IF(LEN(IF(LEN(INDEX('Checks'!$P$4:$P$503,_calc!$E$254))=0,"",INDEX('Checks'!$P$4:$P$503,_calc!$E$254)))=0,"",IF(LEN(INDEX('Checks'!$P$4:$P$503,_calc!$E$254))=0,"",INDEX('Checks'!$P$4:$P$503,_calc!$E$254)))))</f>
        <v/>
      </c>
      <c r="G252" s="47">
        <f>IF(_calc!$E$254="","",IF(LEN(INDEX('Checks'!$N$4:$N$503,_calc!$E$254))=0,"",INDEX('Checks'!$N$4:$N$503,_calc!$E$254)))</f>
        <v/>
      </c>
      <c r="K252" s="47">
        <f>IF(_calc!$E$254="","",IF(LEN(INDEX('Checks'!$M$4:$M$503,_calc!$E$254))=0,"",INDEX('Checks'!$M$4:$M$503,_calc!$E$254)))</f>
        <v/>
      </c>
    </row>
    <row r="253">
      <c r="A253" s="47">
        <f>IF(_calc!$E$255="","",IF(LEN(INDEX('Checks'!$B$4:$B$503,_calc!$E$255))=0,"",INDEX('Checks'!$B$4:$B$503,_calc!$E$255))&amp;" – "&amp;IF(LEN(INDEX('Checks'!$A$4:$A$503,_calc!$E$255))=0,"",INDEX('Checks'!$A$4:$A$503,_calc!$E$255)))</f>
        <v/>
      </c>
      <c r="B253" s="47">
        <f>IF(_calc!$E$255="","",IF(ISNUMBER(INDEX('Checks'!$D$4:$D$503,_calc!$E$255)),TEXT(INDEX('Checks'!$D$4:$D$503,_calc!$E$255),"yyyy-mm-dd"),""))</f>
        <v/>
      </c>
      <c r="C253" s="47">
        <f>IF(_calc!$E$255="","",IF(LEN(INDEX('Checks'!$B$4:$B$503,_calc!$E$255))=0,"",INDEX('Checks'!$B$4:$B$503,_calc!$E$255)))</f>
        <v/>
      </c>
      <c r="D253" s="47">
        <f>IF(_calc!$E$255="","",IF(ISNUMBER(INDEX('Checks'!$C$4:$C$503,_calc!$E$255)),TEXT(INDEX('Checks'!$C$4:$C$503,_calc!$E$255),"yyyy-mm-dd"),""))</f>
        <v/>
      </c>
      <c r="E253" s="47">
        <f>IF(_calc!$E$255="","",IF(LEN(INDEX('Checks'!$L$4:$L$503,_calc!$E$255))=0,"",INDEX('Checks'!$L$4:$L$503,_calc!$E$255)))</f>
        <v/>
      </c>
      <c r="F253" s="47">
        <f>IF(_calc!$E$255="","",TRIM(IF(LEN(IF(LEN(INDEX('Checks'!$I$4:$I$503,_calc!$E$255))=0,"",INDEX('Checks'!$I$4:$I$503,_calc!$E$255)))=0,"","Contractor: "&amp;IF(LEN(INDEX('Checks'!$I$4:$I$503,_calc!$E$255))=0,"",INDEX('Checks'!$I$4:$I$503,_calc!$E$255))&amp;". ")&amp;IF(LEN(IF(LEN(INDEX('Checks'!$J$4:$J$503,_calc!$E$255))=0,"",INDEX('Checks'!$J$4:$J$503,_calc!$E$255)))=0,"","Ref: "&amp;IF(LEN(INDEX('Checks'!$J$4:$J$503,_calc!$E$255))=0,"",INDEX('Checks'!$J$4:$J$503,_calc!$E$255))&amp;". ")&amp;IF(LEN(IF(ISNUMBER(INDEX('Checks'!$K$4:$K$503,_calc!$E$255)),TEXT(INDEX('Checks'!$K$4:$K$503,_calc!$E$255),"yyyy-mm-dd"),""))=0,"","Copy to tenant: "&amp;IF(ISNUMBER(INDEX('Checks'!$K$4:$K$503,_calc!$E$255)),TEXT(INDEX('Checks'!$K$4:$K$503,_calc!$E$255),"yyyy-mm-dd"),"")&amp;". ")&amp;IF(LEN(IF(LEN(INDEX('Checks'!$P$4:$P$503,_calc!$E$255))=0,"",INDEX('Checks'!$P$4:$P$503,_calc!$E$255)))=0,"",IF(LEN(INDEX('Checks'!$P$4:$P$503,_calc!$E$255))=0,"",INDEX('Checks'!$P$4:$P$503,_calc!$E$255)))))</f>
        <v/>
      </c>
      <c r="G253" s="47">
        <f>IF(_calc!$E$255="","",IF(LEN(INDEX('Checks'!$N$4:$N$503,_calc!$E$255))=0,"",INDEX('Checks'!$N$4:$N$503,_calc!$E$255)))</f>
        <v/>
      </c>
      <c r="K253" s="47">
        <f>IF(_calc!$E$255="","",IF(LEN(INDEX('Checks'!$M$4:$M$503,_calc!$E$255))=0,"",INDEX('Checks'!$M$4:$M$503,_calc!$E$255)))</f>
        <v/>
      </c>
    </row>
    <row r="254">
      <c r="A254" s="47">
        <f>IF(_calc!$E$256="","",IF(LEN(INDEX('Checks'!$B$4:$B$503,_calc!$E$256))=0,"",INDEX('Checks'!$B$4:$B$503,_calc!$E$256))&amp;" – "&amp;IF(LEN(INDEX('Checks'!$A$4:$A$503,_calc!$E$256))=0,"",INDEX('Checks'!$A$4:$A$503,_calc!$E$256)))</f>
        <v/>
      </c>
      <c r="B254" s="47">
        <f>IF(_calc!$E$256="","",IF(ISNUMBER(INDEX('Checks'!$D$4:$D$503,_calc!$E$256)),TEXT(INDEX('Checks'!$D$4:$D$503,_calc!$E$256),"yyyy-mm-dd"),""))</f>
        <v/>
      </c>
      <c r="C254" s="47">
        <f>IF(_calc!$E$256="","",IF(LEN(INDEX('Checks'!$B$4:$B$503,_calc!$E$256))=0,"",INDEX('Checks'!$B$4:$B$503,_calc!$E$256)))</f>
        <v/>
      </c>
      <c r="D254" s="47">
        <f>IF(_calc!$E$256="","",IF(ISNUMBER(INDEX('Checks'!$C$4:$C$503,_calc!$E$256)),TEXT(INDEX('Checks'!$C$4:$C$503,_calc!$E$256),"yyyy-mm-dd"),""))</f>
        <v/>
      </c>
      <c r="E254" s="47">
        <f>IF(_calc!$E$256="","",IF(LEN(INDEX('Checks'!$L$4:$L$503,_calc!$E$256))=0,"",INDEX('Checks'!$L$4:$L$503,_calc!$E$256)))</f>
        <v/>
      </c>
      <c r="F254" s="47">
        <f>IF(_calc!$E$256="","",TRIM(IF(LEN(IF(LEN(INDEX('Checks'!$I$4:$I$503,_calc!$E$256))=0,"",INDEX('Checks'!$I$4:$I$503,_calc!$E$256)))=0,"","Contractor: "&amp;IF(LEN(INDEX('Checks'!$I$4:$I$503,_calc!$E$256))=0,"",INDEX('Checks'!$I$4:$I$503,_calc!$E$256))&amp;". ")&amp;IF(LEN(IF(LEN(INDEX('Checks'!$J$4:$J$503,_calc!$E$256))=0,"",INDEX('Checks'!$J$4:$J$503,_calc!$E$256)))=0,"","Ref: "&amp;IF(LEN(INDEX('Checks'!$J$4:$J$503,_calc!$E$256))=0,"",INDEX('Checks'!$J$4:$J$503,_calc!$E$256))&amp;". ")&amp;IF(LEN(IF(ISNUMBER(INDEX('Checks'!$K$4:$K$503,_calc!$E$256)),TEXT(INDEX('Checks'!$K$4:$K$503,_calc!$E$256),"yyyy-mm-dd"),""))=0,"","Copy to tenant: "&amp;IF(ISNUMBER(INDEX('Checks'!$K$4:$K$503,_calc!$E$256)),TEXT(INDEX('Checks'!$K$4:$K$503,_calc!$E$256),"yyyy-mm-dd"),"")&amp;". ")&amp;IF(LEN(IF(LEN(INDEX('Checks'!$P$4:$P$503,_calc!$E$256))=0,"",INDEX('Checks'!$P$4:$P$503,_calc!$E$256)))=0,"",IF(LEN(INDEX('Checks'!$P$4:$P$503,_calc!$E$256))=0,"",INDEX('Checks'!$P$4:$P$503,_calc!$E$256)))))</f>
        <v/>
      </c>
      <c r="G254" s="47">
        <f>IF(_calc!$E$256="","",IF(LEN(INDEX('Checks'!$N$4:$N$503,_calc!$E$256))=0,"",INDEX('Checks'!$N$4:$N$503,_calc!$E$256)))</f>
        <v/>
      </c>
      <c r="K254" s="47">
        <f>IF(_calc!$E$256="","",IF(LEN(INDEX('Checks'!$M$4:$M$503,_calc!$E$256))=0,"",INDEX('Checks'!$M$4:$M$503,_calc!$E$256)))</f>
        <v/>
      </c>
    </row>
    <row r="255">
      <c r="A255" s="47">
        <f>IF(_calc!$E$257="","",IF(LEN(INDEX('Checks'!$B$4:$B$503,_calc!$E$257))=0,"",INDEX('Checks'!$B$4:$B$503,_calc!$E$257))&amp;" – "&amp;IF(LEN(INDEX('Checks'!$A$4:$A$503,_calc!$E$257))=0,"",INDEX('Checks'!$A$4:$A$503,_calc!$E$257)))</f>
        <v/>
      </c>
      <c r="B255" s="47">
        <f>IF(_calc!$E$257="","",IF(ISNUMBER(INDEX('Checks'!$D$4:$D$503,_calc!$E$257)),TEXT(INDEX('Checks'!$D$4:$D$503,_calc!$E$257),"yyyy-mm-dd"),""))</f>
        <v/>
      </c>
      <c r="C255" s="47">
        <f>IF(_calc!$E$257="","",IF(LEN(INDEX('Checks'!$B$4:$B$503,_calc!$E$257))=0,"",INDEX('Checks'!$B$4:$B$503,_calc!$E$257)))</f>
        <v/>
      </c>
      <c r="D255" s="47">
        <f>IF(_calc!$E$257="","",IF(ISNUMBER(INDEX('Checks'!$C$4:$C$503,_calc!$E$257)),TEXT(INDEX('Checks'!$C$4:$C$503,_calc!$E$257),"yyyy-mm-dd"),""))</f>
        <v/>
      </c>
      <c r="E255" s="47">
        <f>IF(_calc!$E$257="","",IF(LEN(INDEX('Checks'!$L$4:$L$503,_calc!$E$257))=0,"",INDEX('Checks'!$L$4:$L$503,_calc!$E$257)))</f>
        <v/>
      </c>
      <c r="F255" s="47">
        <f>IF(_calc!$E$257="","",TRIM(IF(LEN(IF(LEN(INDEX('Checks'!$I$4:$I$503,_calc!$E$257))=0,"",INDEX('Checks'!$I$4:$I$503,_calc!$E$257)))=0,"","Contractor: "&amp;IF(LEN(INDEX('Checks'!$I$4:$I$503,_calc!$E$257))=0,"",INDEX('Checks'!$I$4:$I$503,_calc!$E$257))&amp;". ")&amp;IF(LEN(IF(LEN(INDEX('Checks'!$J$4:$J$503,_calc!$E$257))=0,"",INDEX('Checks'!$J$4:$J$503,_calc!$E$257)))=0,"","Ref: "&amp;IF(LEN(INDEX('Checks'!$J$4:$J$503,_calc!$E$257))=0,"",INDEX('Checks'!$J$4:$J$503,_calc!$E$257))&amp;". ")&amp;IF(LEN(IF(ISNUMBER(INDEX('Checks'!$K$4:$K$503,_calc!$E$257)),TEXT(INDEX('Checks'!$K$4:$K$503,_calc!$E$257),"yyyy-mm-dd"),""))=0,"","Copy to tenant: "&amp;IF(ISNUMBER(INDEX('Checks'!$K$4:$K$503,_calc!$E$257)),TEXT(INDEX('Checks'!$K$4:$K$503,_calc!$E$257),"yyyy-mm-dd"),"")&amp;". ")&amp;IF(LEN(IF(LEN(INDEX('Checks'!$P$4:$P$503,_calc!$E$257))=0,"",INDEX('Checks'!$P$4:$P$503,_calc!$E$257)))=0,"",IF(LEN(INDEX('Checks'!$P$4:$P$503,_calc!$E$257))=0,"",INDEX('Checks'!$P$4:$P$503,_calc!$E$257)))))</f>
        <v/>
      </c>
      <c r="G255" s="47">
        <f>IF(_calc!$E$257="","",IF(LEN(INDEX('Checks'!$N$4:$N$503,_calc!$E$257))=0,"",INDEX('Checks'!$N$4:$N$503,_calc!$E$257)))</f>
        <v/>
      </c>
      <c r="K255" s="47">
        <f>IF(_calc!$E$257="","",IF(LEN(INDEX('Checks'!$M$4:$M$503,_calc!$E$257))=0,"",INDEX('Checks'!$M$4:$M$503,_calc!$E$257)))</f>
        <v/>
      </c>
    </row>
    <row r="256">
      <c r="A256" s="47">
        <f>IF(_calc!$E$258="","",IF(LEN(INDEX('Checks'!$B$4:$B$503,_calc!$E$258))=0,"",INDEX('Checks'!$B$4:$B$503,_calc!$E$258))&amp;" – "&amp;IF(LEN(INDEX('Checks'!$A$4:$A$503,_calc!$E$258))=0,"",INDEX('Checks'!$A$4:$A$503,_calc!$E$258)))</f>
        <v/>
      </c>
      <c r="B256" s="47">
        <f>IF(_calc!$E$258="","",IF(ISNUMBER(INDEX('Checks'!$D$4:$D$503,_calc!$E$258)),TEXT(INDEX('Checks'!$D$4:$D$503,_calc!$E$258),"yyyy-mm-dd"),""))</f>
        <v/>
      </c>
      <c r="C256" s="47">
        <f>IF(_calc!$E$258="","",IF(LEN(INDEX('Checks'!$B$4:$B$503,_calc!$E$258))=0,"",INDEX('Checks'!$B$4:$B$503,_calc!$E$258)))</f>
        <v/>
      </c>
      <c r="D256" s="47">
        <f>IF(_calc!$E$258="","",IF(ISNUMBER(INDEX('Checks'!$C$4:$C$503,_calc!$E$258)),TEXT(INDEX('Checks'!$C$4:$C$503,_calc!$E$258),"yyyy-mm-dd"),""))</f>
        <v/>
      </c>
      <c r="E256" s="47">
        <f>IF(_calc!$E$258="","",IF(LEN(INDEX('Checks'!$L$4:$L$503,_calc!$E$258))=0,"",INDEX('Checks'!$L$4:$L$503,_calc!$E$258)))</f>
        <v/>
      </c>
      <c r="F256" s="47">
        <f>IF(_calc!$E$258="","",TRIM(IF(LEN(IF(LEN(INDEX('Checks'!$I$4:$I$503,_calc!$E$258))=0,"",INDEX('Checks'!$I$4:$I$503,_calc!$E$258)))=0,"","Contractor: "&amp;IF(LEN(INDEX('Checks'!$I$4:$I$503,_calc!$E$258))=0,"",INDEX('Checks'!$I$4:$I$503,_calc!$E$258))&amp;". ")&amp;IF(LEN(IF(LEN(INDEX('Checks'!$J$4:$J$503,_calc!$E$258))=0,"",INDEX('Checks'!$J$4:$J$503,_calc!$E$258)))=0,"","Ref: "&amp;IF(LEN(INDEX('Checks'!$J$4:$J$503,_calc!$E$258))=0,"",INDEX('Checks'!$J$4:$J$503,_calc!$E$258))&amp;". ")&amp;IF(LEN(IF(ISNUMBER(INDEX('Checks'!$K$4:$K$503,_calc!$E$258)),TEXT(INDEX('Checks'!$K$4:$K$503,_calc!$E$258),"yyyy-mm-dd"),""))=0,"","Copy to tenant: "&amp;IF(ISNUMBER(INDEX('Checks'!$K$4:$K$503,_calc!$E$258)),TEXT(INDEX('Checks'!$K$4:$K$503,_calc!$E$258),"yyyy-mm-dd"),"")&amp;". ")&amp;IF(LEN(IF(LEN(INDEX('Checks'!$P$4:$P$503,_calc!$E$258))=0,"",INDEX('Checks'!$P$4:$P$503,_calc!$E$258)))=0,"",IF(LEN(INDEX('Checks'!$P$4:$P$503,_calc!$E$258))=0,"",INDEX('Checks'!$P$4:$P$503,_calc!$E$258)))))</f>
        <v/>
      </c>
      <c r="G256" s="47">
        <f>IF(_calc!$E$258="","",IF(LEN(INDEX('Checks'!$N$4:$N$503,_calc!$E$258))=0,"",INDEX('Checks'!$N$4:$N$503,_calc!$E$258)))</f>
        <v/>
      </c>
      <c r="K256" s="47">
        <f>IF(_calc!$E$258="","",IF(LEN(INDEX('Checks'!$M$4:$M$503,_calc!$E$258))=0,"",INDEX('Checks'!$M$4:$M$503,_calc!$E$258)))</f>
        <v/>
      </c>
    </row>
    <row r="257">
      <c r="A257" s="47">
        <f>IF(_calc!$E$259="","",IF(LEN(INDEX('Checks'!$B$4:$B$503,_calc!$E$259))=0,"",INDEX('Checks'!$B$4:$B$503,_calc!$E$259))&amp;" – "&amp;IF(LEN(INDEX('Checks'!$A$4:$A$503,_calc!$E$259))=0,"",INDEX('Checks'!$A$4:$A$503,_calc!$E$259)))</f>
        <v/>
      </c>
      <c r="B257" s="47">
        <f>IF(_calc!$E$259="","",IF(ISNUMBER(INDEX('Checks'!$D$4:$D$503,_calc!$E$259)),TEXT(INDEX('Checks'!$D$4:$D$503,_calc!$E$259),"yyyy-mm-dd"),""))</f>
        <v/>
      </c>
      <c r="C257" s="47">
        <f>IF(_calc!$E$259="","",IF(LEN(INDEX('Checks'!$B$4:$B$503,_calc!$E$259))=0,"",INDEX('Checks'!$B$4:$B$503,_calc!$E$259)))</f>
        <v/>
      </c>
      <c r="D257" s="47">
        <f>IF(_calc!$E$259="","",IF(ISNUMBER(INDEX('Checks'!$C$4:$C$503,_calc!$E$259)),TEXT(INDEX('Checks'!$C$4:$C$503,_calc!$E$259),"yyyy-mm-dd"),""))</f>
        <v/>
      </c>
      <c r="E257" s="47">
        <f>IF(_calc!$E$259="","",IF(LEN(INDEX('Checks'!$L$4:$L$503,_calc!$E$259))=0,"",INDEX('Checks'!$L$4:$L$503,_calc!$E$259)))</f>
        <v/>
      </c>
      <c r="F257" s="47">
        <f>IF(_calc!$E$259="","",TRIM(IF(LEN(IF(LEN(INDEX('Checks'!$I$4:$I$503,_calc!$E$259))=0,"",INDEX('Checks'!$I$4:$I$503,_calc!$E$259)))=0,"","Contractor: "&amp;IF(LEN(INDEX('Checks'!$I$4:$I$503,_calc!$E$259))=0,"",INDEX('Checks'!$I$4:$I$503,_calc!$E$259))&amp;". ")&amp;IF(LEN(IF(LEN(INDEX('Checks'!$J$4:$J$503,_calc!$E$259))=0,"",INDEX('Checks'!$J$4:$J$503,_calc!$E$259)))=0,"","Ref: "&amp;IF(LEN(INDEX('Checks'!$J$4:$J$503,_calc!$E$259))=0,"",INDEX('Checks'!$J$4:$J$503,_calc!$E$259))&amp;". ")&amp;IF(LEN(IF(ISNUMBER(INDEX('Checks'!$K$4:$K$503,_calc!$E$259)),TEXT(INDEX('Checks'!$K$4:$K$503,_calc!$E$259),"yyyy-mm-dd"),""))=0,"","Copy to tenant: "&amp;IF(ISNUMBER(INDEX('Checks'!$K$4:$K$503,_calc!$E$259)),TEXT(INDEX('Checks'!$K$4:$K$503,_calc!$E$259),"yyyy-mm-dd"),"")&amp;". ")&amp;IF(LEN(IF(LEN(INDEX('Checks'!$P$4:$P$503,_calc!$E$259))=0,"",INDEX('Checks'!$P$4:$P$503,_calc!$E$259)))=0,"",IF(LEN(INDEX('Checks'!$P$4:$P$503,_calc!$E$259))=0,"",INDEX('Checks'!$P$4:$P$503,_calc!$E$259)))))</f>
        <v/>
      </c>
      <c r="G257" s="47">
        <f>IF(_calc!$E$259="","",IF(LEN(INDEX('Checks'!$N$4:$N$503,_calc!$E$259))=0,"",INDEX('Checks'!$N$4:$N$503,_calc!$E$259)))</f>
        <v/>
      </c>
      <c r="K257" s="47">
        <f>IF(_calc!$E$259="","",IF(LEN(INDEX('Checks'!$M$4:$M$503,_calc!$E$259))=0,"",INDEX('Checks'!$M$4:$M$503,_calc!$E$259)))</f>
        <v/>
      </c>
    </row>
    <row r="258">
      <c r="A258" s="47">
        <f>IF(_calc!$E$260="","",IF(LEN(INDEX('Checks'!$B$4:$B$503,_calc!$E$260))=0,"",INDEX('Checks'!$B$4:$B$503,_calc!$E$260))&amp;" – "&amp;IF(LEN(INDEX('Checks'!$A$4:$A$503,_calc!$E$260))=0,"",INDEX('Checks'!$A$4:$A$503,_calc!$E$260)))</f>
        <v/>
      </c>
      <c r="B258" s="47">
        <f>IF(_calc!$E$260="","",IF(ISNUMBER(INDEX('Checks'!$D$4:$D$503,_calc!$E$260)),TEXT(INDEX('Checks'!$D$4:$D$503,_calc!$E$260),"yyyy-mm-dd"),""))</f>
        <v/>
      </c>
      <c r="C258" s="47">
        <f>IF(_calc!$E$260="","",IF(LEN(INDEX('Checks'!$B$4:$B$503,_calc!$E$260))=0,"",INDEX('Checks'!$B$4:$B$503,_calc!$E$260)))</f>
        <v/>
      </c>
      <c r="D258" s="47">
        <f>IF(_calc!$E$260="","",IF(ISNUMBER(INDEX('Checks'!$C$4:$C$503,_calc!$E$260)),TEXT(INDEX('Checks'!$C$4:$C$503,_calc!$E$260),"yyyy-mm-dd"),""))</f>
        <v/>
      </c>
      <c r="E258" s="47">
        <f>IF(_calc!$E$260="","",IF(LEN(INDEX('Checks'!$L$4:$L$503,_calc!$E$260))=0,"",INDEX('Checks'!$L$4:$L$503,_calc!$E$260)))</f>
        <v/>
      </c>
      <c r="F258" s="47">
        <f>IF(_calc!$E$260="","",TRIM(IF(LEN(IF(LEN(INDEX('Checks'!$I$4:$I$503,_calc!$E$260))=0,"",INDEX('Checks'!$I$4:$I$503,_calc!$E$260)))=0,"","Contractor: "&amp;IF(LEN(INDEX('Checks'!$I$4:$I$503,_calc!$E$260))=0,"",INDEX('Checks'!$I$4:$I$503,_calc!$E$260))&amp;". ")&amp;IF(LEN(IF(LEN(INDEX('Checks'!$J$4:$J$503,_calc!$E$260))=0,"",INDEX('Checks'!$J$4:$J$503,_calc!$E$260)))=0,"","Ref: "&amp;IF(LEN(INDEX('Checks'!$J$4:$J$503,_calc!$E$260))=0,"",INDEX('Checks'!$J$4:$J$503,_calc!$E$260))&amp;". ")&amp;IF(LEN(IF(ISNUMBER(INDEX('Checks'!$K$4:$K$503,_calc!$E$260)),TEXT(INDEX('Checks'!$K$4:$K$503,_calc!$E$260),"yyyy-mm-dd"),""))=0,"","Copy to tenant: "&amp;IF(ISNUMBER(INDEX('Checks'!$K$4:$K$503,_calc!$E$260)),TEXT(INDEX('Checks'!$K$4:$K$503,_calc!$E$260),"yyyy-mm-dd"),"")&amp;". ")&amp;IF(LEN(IF(LEN(INDEX('Checks'!$P$4:$P$503,_calc!$E$260))=0,"",INDEX('Checks'!$P$4:$P$503,_calc!$E$260)))=0,"",IF(LEN(INDEX('Checks'!$P$4:$P$503,_calc!$E$260))=0,"",INDEX('Checks'!$P$4:$P$503,_calc!$E$260)))))</f>
        <v/>
      </c>
      <c r="G258" s="47">
        <f>IF(_calc!$E$260="","",IF(LEN(INDEX('Checks'!$N$4:$N$503,_calc!$E$260))=0,"",INDEX('Checks'!$N$4:$N$503,_calc!$E$260)))</f>
        <v/>
      </c>
      <c r="K258" s="47">
        <f>IF(_calc!$E$260="","",IF(LEN(INDEX('Checks'!$M$4:$M$503,_calc!$E$260))=0,"",INDEX('Checks'!$M$4:$M$503,_calc!$E$260)))</f>
        <v/>
      </c>
    </row>
    <row r="259">
      <c r="A259" s="47">
        <f>IF(_calc!$E$261="","",IF(LEN(INDEX('Checks'!$B$4:$B$503,_calc!$E$261))=0,"",INDEX('Checks'!$B$4:$B$503,_calc!$E$261))&amp;" – "&amp;IF(LEN(INDEX('Checks'!$A$4:$A$503,_calc!$E$261))=0,"",INDEX('Checks'!$A$4:$A$503,_calc!$E$261)))</f>
        <v/>
      </c>
      <c r="B259" s="47">
        <f>IF(_calc!$E$261="","",IF(ISNUMBER(INDEX('Checks'!$D$4:$D$503,_calc!$E$261)),TEXT(INDEX('Checks'!$D$4:$D$503,_calc!$E$261),"yyyy-mm-dd"),""))</f>
        <v/>
      </c>
      <c r="C259" s="47">
        <f>IF(_calc!$E$261="","",IF(LEN(INDEX('Checks'!$B$4:$B$503,_calc!$E$261))=0,"",INDEX('Checks'!$B$4:$B$503,_calc!$E$261)))</f>
        <v/>
      </c>
      <c r="D259" s="47">
        <f>IF(_calc!$E$261="","",IF(ISNUMBER(INDEX('Checks'!$C$4:$C$503,_calc!$E$261)),TEXT(INDEX('Checks'!$C$4:$C$503,_calc!$E$261),"yyyy-mm-dd"),""))</f>
        <v/>
      </c>
      <c r="E259" s="47">
        <f>IF(_calc!$E$261="","",IF(LEN(INDEX('Checks'!$L$4:$L$503,_calc!$E$261))=0,"",INDEX('Checks'!$L$4:$L$503,_calc!$E$261)))</f>
        <v/>
      </c>
      <c r="F259" s="47">
        <f>IF(_calc!$E$261="","",TRIM(IF(LEN(IF(LEN(INDEX('Checks'!$I$4:$I$503,_calc!$E$261))=0,"",INDEX('Checks'!$I$4:$I$503,_calc!$E$261)))=0,"","Contractor: "&amp;IF(LEN(INDEX('Checks'!$I$4:$I$503,_calc!$E$261))=0,"",INDEX('Checks'!$I$4:$I$503,_calc!$E$261))&amp;". ")&amp;IF(LEN(IF(LEN(INDEX('Checks'!$J$4:$J$503,_calc!$E$261))=0,"",INDEX('Checks'!$J$4:$J$503,_calc!$E$261)))=0,"","Ref: "&amp;IF(LEN(INDEX('Checks'!$J$4:$J$503,_calc!$E$261))=0,"",INDEX('Checks'!$J$4:$J$503,_calc!$E$261))&amp;". ")&amp;IF(LEN(IF(ISNUMBER(INDEX('Checks'!$K$4:$K$503,_calc!$E$261)),TEXT(INDEX('Checks'!$K$4:$K$503,_calc!$E$261),"yyyy-mm-dd"),""))=0,"","Copy to tenant: "&amp;IF(ISNUMBER(INDEX('Checks'!$K$4:$K$503,_calc!$E$261)),TEXT(INDEX('Checks'!$K$4:$K$503,_calc!$E$261),"yyyy-mm-dd"),"")&amp;". ")&amp;IF(LEN(IF(LEN(INDEX('Checks'!$P$4:$P$503,_calc!$E$261))=0,"",INDEX('Checks'!$P$4:$P$503,_calc!$E$261)))=0,"",IF(LEN(INDEX('Checks'!$P$4:$P$503,_calc!$E$261))=0,"",INDEX('Checks'!$P$4:$P$503,_calc!$E$261)))))</f>
        <v/>
      </c>
      <c r="G259" s="47">
        <f>IF(_calc!$E$261="","",IF(LEN(INDEX('Checks'!$N$4:$N$503,_calc!$E$261))=0,"",INDEX('Checks'!$N$4:$N$503,_calc!$E$261)))</f>
        <v/>
      </c>
      <c r="K259" s="47">
        <f>IF(_calc!$E$261="","",IF(LEN(INDEX('Checks'!$M$4:$M$503,_calc!$E$261))=0,"",INDEX('Checks'!$M$4:$M$503,_calc!$E$261)))</f>
        <v/>
      </c>
    </row>
    <row r="260">
      <c r="A260" s="47">
        <f>IF(_calc!$E$262="","",IF(LEN(INDEX('Checks'!$B$4:$B$503,_calc!$E$262))=0,"",INDEX('Checks'!$B$4:$B$503,_calc!$E$262))&amp;" – "&amp;IF(LEN(INDEX('Checks'!$A$4:$A$503,_calc!$E$262))=0,"",INDEX('Checks'!$A$4:$A$503,_calc!$E$262)))</f>
        <v/>
      </c>
      <c r="B260" s="47">
        <f>IF(_calc!$E$262="","",IF(ISNUMBER(INDEX('Checks'!$D$4:$D$503,_calc!$E$262)),TEXT(INDEX('Checks'!$D$4:$D$503,_calc!$E$262),"yyyy-mm-dd"),""))</f>
        <v/>
      </c>
      <c r="C260" s="47">
        <f>IF(_calc!$E$262="","",IF(LEN(INDEX('Checks'!$B$4:$B$503,_calc!$E$262))=0,"",INDEX('Checks'!$B$4:$B$503,_calc!$E$262)))</f>
        <v/>
      </c>
      <c r="D260" s="47">
        <f>IF(_calc!$E$262="","",IF(ISNUMBER(INDEX('Checks'!$C$4:$C$503,_calc!$E$262)),TEXT(INDEX('Checks'!$C$4:$C$503,_calc!$E$262),"yyyy-mm-dd"),""))</f>
        <v/>
      </c>
      <c r="E260" s="47">
        <f>IF(_calc!$E$262="","",IF(LEN(INDEX('Checks'!$L$4:$L$503,_calc!$E$262))=0,"",INDEX('Checks'!$L$4:$L$503,_calc!$E$262)))</f>
        <v/>
      </c>
      <c r="F260" s="47">
        <f>IF(_calc!$E$262="","",TRIM(IF(LEN(IF(LEN(INDEX('Checks'!$I$4:$I$503,_calc!$E$262))=0,"",INDEX('Checks'!$I$4:$I$503,_calc!$E$262)))=0,"","Contractor: "&amp;IF(LEN(INDEX('Checks'!$I$4:$I$503,_calc!$E$262))=0,"",INDEX('Checks'!$I$4:$I$503,_calc!$E$262))&amp;". ")&amp;IF(LEN(IF(LEN(INDEX('Checks'!$J$4:$J$503,_calc!$E$262))=0,"",INDEX('Checks'!$J$4:$J$503,_calc!$E$262)))=0,"","Ref: "&amp;IF(LEN(INDEX('Checks'!$J$4:$J$503,_calc!$E$262))=0,"",INDEX('Checks'!$J$4:$J$503,_calc!$E$262))&amp;". ")&amp;IF(LEN(IF(ISNUMBER(INDEX('Checks'!$K$4:$K$503,_calc!$E$262)),TEXT(INDEX('Checks'!$K$4:$K$503,_calc!$E$262),"yyyy-mm-dd"),""))=0,"","Copy to tenant: "&amp;IF(ISNUMBER(INDEX('Checks'!$K$4:$K$503,_calc!$E$262)),TEXT(INDEX('Checks'!$K$4:$K$503,_calc!$E$262),"yyyy-mm-dd"),"")&amp;". ")&amp;IF(LEN(IF(LEN(INDEX('Checks'!$P$4:$P$503,_calc!$E$262))=0,"",INDEX('Checks'!$P$4:$P$503,_calc!$E$262)))=0,"",IF(LEN(INDEX('Checks'!$P$4:$P$503,_calc!$E$262))=0,"",INDEX('Checks'!$P$4:$P$503,_calc!$E$262)))))</f>
        <v/>
      </c>
      <c r="G260" s="47">
        <f>IF(_calc!$E$262="","",IF(LEN(INDEX('Checks'!$N$4:$N$503,_calc!$E$262))=0,"",INDEX('Checks'!$N$4:$N$503,_calc!$E$262)))</f>
        <v/>
      </c>
      <c r="K260" s="47">
        <f>IF(_calc!$E$262="","",IF(LEN(INDEX('Checks'!$M$4:$M$503,_calc!$E$262))=0,"",INDEX('Checks'!$M$4:$M$503,_calc!$E$262)))</f>
        <v/>
      </c>
    </row>
    <row r="261">
      <c r="A261" s="47">
        <f>IF(_calc!$E$263="","",IF(LEN(INDEX('Checks'!$B$4:$B$503,_calc!$E$263))=0,"",INDEX('Checks'!$B$4:$B$503,_calc!$E$263))&amp;" – "&amp;IF(LEN(INDEX('Checks'!$A$4:$A$503,_calc!$E$263))=0,"",INDEX('Checks'!$A$4:$A$503,_calc!$E$263)))</f>
        <v/>
      </c>
      <c r="B261" s="47">
        <f>IF(_calc!$E$263="","",IF(ISNUMBER(INDEX('Checks'!$D$4:$D$503,_calc!$E$263)),TEXT(INDEX('Checks'!$D$4:$D$503,_calc!$E$263),"yyyy-mm-dd"),""))</f>
        <v/>
      </c>
      <c r="C261" s="47">
        <f>IF(_calc!$E$263="","",IF(LEN(INDEX('Checks'!$B$4:$B$503,_calc!$E$263))=0,"",INDEX('Checks'!$B$4:$B$503,_calc!$E$263)))</f>
        <v/>
      </c>
      <c r="D261" s="47">
        <f>IF(_calc!$E$263="","",IF(ISNUMBER(INDEX('Checks'!$C$4:$C$503,_calc!$E$263)),TEXT(INDEX('Checks'!$C$4:$C$503,_calc!$E$263),"yyyy-mm-dd"),""))</f>
        <v/>
      </c>
      <c r="E261" s="47">
        <f>IF(_calc!$E$263="","",IF(LEN(INDEX('Checks'!$L$4:$L$503,_calc!$E$263))=0,"",INDEX('Checks'!$L$4:$L$503,_calc!$E$263)))</f>
        <v/>
      </c>
      <c r="F261" s="47">
        <f>IF(_calc!$E$263="","",TRIM(IF(LEN(IF(LEN(INDEX('Checks'!$I$4:$I$503,_calc!$E$263))=0,"",INDEX('Checks'!$I$4:$I$503,_calc!$E$263)))=0,"","Contractor: "&amp;IF(LEN(INDEX('Checks'!$I$4:$I$503,_calc!$E$263))=0,"",INDEX('Checks'!$I$4:$I$503,_calc!$E$263))&amp;". ")&amp;IF(LEN(IF(LEN(INDEX('Checks'!$J$4:$J$503,_calc!$E$263))=0,"",INDEX('Checks'!$J$4:$J$503,_calc!$E$263)))=0,"","Ref: "&amp;IF(LEN(INDEX('Checks'!$J$4:$J$503,_calc!$E$263))=0,"",INDEX('Checks'!$J$4:$J$503,_calc!$E$263))&amp;". ")&amp;IF(LEN(IF(ISNUMBER(INDEX('Checks'!$K$4:$K$503,_calc!$E$263)),TEXT(INDEX('Checks'!$K$4:$K$503,_calc!$E$263),"yyyy-mm-dd"),""))=0,"","Copy to tenant: "&amp;IF(ISNUMBER(INDEX('Checks'!$K$4:$K$503,_calc!$E$263)),TEXT(INDEX('Checks'!$K$4:$K$503,_calc!$E$263),"yyyy-mm-dd"),"")&amp;". ")&amp;IF(LEN(IF(LEN(INDEX('Checks'!$P$4:$P$503,_calc!$E$263))=0,"",INDEX('Checks'!$P$4:$P$503,_calc!$E$263)))=0,"",IF(LEN(INDEX('Checks'!$P$4:$P$503,_calc!$E$263))=0,"",INDEX('Checks'!$P$4:$P$503,_calc!$E$263)))))</f>
        <v/>
      </c>
      <c r="G261" s="47">
        <f>IF(_calc!$E$263="","",IF(LEN(INDEX('Checks'!$N$4:$N$503,_calc!$E$263))=0,"",INDEX('Checks'!$N$4:$N$503,_calc!$E$263)))</f>
        <v/>
      </c>
      <c r="K261" s="47">
        <f>IF(_calc!$E$263="","",IF(LEN(INDEX('Checks'!$M$4:$M$503,_calc!$E$263))=0,"",INDEX('Checks'!$M$4:$M$503,_calc!$E$263)))</f>
        <v/>
      </c>
    </row>
    <row r="262">
      <c r="A262" s="47">
        <f>IF(_calc!$E$264="","",IF(LEN(INDEX('Checks'!$B$4:$B$503,_calc!$E$264))=0,"",INDEX('Checks'!$B$4:$B$503,_calc!$E$264))&amp;" – "&amp;IF(LEN(INDEX('Checks'!$A$4:$A$503,_calc!$E$264))=0,"",INDEX('Checks'!$A$4:$A$503,_calc!$E$264)))</f>
        <v/>
      </c>
      <c r="B262" s="47">
        <f>IF(_calc!$E$264="","",IF(ISNUMBER(INDEX('Checks'!$D$4:$D$503,_calc!$E$264)),TEXT(INDEX('Checks'!$D$4:$D$503,_calc!$E$264),"yyyy-mm-dd"),""))</f>
        <v/>
      </c>
      <c r="C262" s="47">
        <f>IF(_calc!$E$264="","",IF(LEN(INDEX('Checks'!$B$4:$B$503,_calc!$E$264))=0,"",INDEX('Checks'!$B$4:$B$503,_calc!$E$264)))</f>
        <v/>
      </c>
      <c r="D262" s="47">
        <f>IF(_calc!$E$264="","",IF(ISNUMBER(INDEX('Checks'!$C$4:$C$503,_calc!$E$264)),TEXT(INDEX('Checks'!$C$4:$C$503,_calc!$E$264),"yyyy-mm-dd"),""))</f>
        <v/>
      </c>
      <c r="E262" s="47">
        <f>IF(_calc!$E$264="","",IF(LEN(INDEX('Checks'!$L$4:$L$503,_calc!$E$264))=0,"",INDEX('Checks'!$L$4:$L$503,_calc!$E$264)))</f>
        <v/>
      </c>
      <c r="F262" s="47">
        <f>IF(_calc!$E$264="","",TRIM(IF(LEN(IF(LEN(INDEX('Checks'!$I$4:$I$503,_calc!$E$264))=0,"",INDEX('Checks'!$I$4:$I$503,_calc!$E$264)))=0,"","Contractor: "&amp;IF(LEN(INDEX('Checks'!$I$4:$I$503,_calc!$E$264))=0,"",INDEX('Checks'!$I$4:$I$503,_calc!$E$264))&amp;". ")&amp;IF(LEN(IF(LEN(INDEX('Checks'!$J$4:$J$503,_calc!$E$264))=0,"",INDEX('Checks'!$J$4:$J$503,_calc!$E$264)))=0,"","Ref: "&amp;IF(LEN(INDEX('Checks'!$J$4:$J$503,_calc!$E$264))=0,"",INDEX('Checks'!$J$4:$J$503,_calc!$E$264))&amp;". ")&amp;IF(LEN(IF(ISNUMBER(INDEX('Checks'!$K$4:$K$503,_calc!$E$264)),TEXT(INDEX('Checks'!$K$4:$K$503,_calc!$E$264),"yyyy-mm-dd"),""))=0,"","Copy to tenant: "&amp;IF(ISNUMBER(INDEX('Checks'!$K$4:$K$503,_calc!$E$264)),TEXT(INDEX('Checks'!$K$4:$K$503,_calc!$E$264),"yyyy-mm-dd"),"")&amp;". ")&amp;IF(LEN(IF(LEN(INDEX('Checks'!$P$4:$P$503,_calc!$E$264))=0,"",INDEX('Checks'!$P$4:$P$503,_calc!$E$264)))=0,"",IF(LEN(INDEX('Checks'!$P$4:$P$503,_calc!$E$264))=0,"",INDEX('Checks'!$P$4:$P$503,_calc!$E$264)))))</f>
        <v/>
      </c>
      <c r="G262" s="47">
        <f>IF(_calc!$E$264="","",IF(LEN(INDEX('Checks'!$N$4:$N$503,_calc!$E$264))=0,"",INDEX('Checks'!$N$4:$N$503,_calc!$E$264)))</f>
        <v/>
      </c>
      <c r="K262" s="47">
        <f>IF(_calc!$E$264="","",IF(LEN(INDEX('Checks'!$M$4:$M$503,_calc!$E$264))=0,"",INDEX('Checks'!$M$4:$M$503,_calc!$E$264)))</f>
        <v/>
      </c>
    </row>
    <row r="263">
      <c r="A263" s="47">
        <f>IF(_calc!$E$265="","",IF(LEN(INDEX('Checks'!$B$4:$B$503,_calc!$E$265))=0,"",INDEX('Checks'!$B$4:$B$503,_calc!$E$265))&amp;" – "&amp;IF(LEN(INDEX('Checks'!$A$4:$A$503,_calc!$E$265))=0,"",INDEX('Checks'!$A$4:$A$503,_calc!$E$265)))</f>
        <v/>
      </c>
      <c r="B263" s="47">
        <f>IF(_calc!$E$265="","",IF(ISNUMBER(INDEX('Checks'!$D$4:$D$503,_calc!$E$265)),TEXT(INDEX('Checks'!$D$4:$D$503,_calc!$E$265),"yyyy-mm-dd"),""))</f>
        <v/>
      </c>
      <c r="C263" s="47">
        <f>IF(_calc!$E$265="","",IF(LEN(INDEX('Checks'!$B$4:$B$503,_calc!$E$265))=0,"",INDEX('Checks'!$B$4:$B$503,_calc!$E$265)))</f>
        <v/>
      </c>
      <c r="D263" s="47">
        <f>IF(_calc!$E$265="","",IF(ISNUMBER(INDEX('Checks'!$C$4:$C$503,_calc!$E$265)),TEXT(INDEX('Checks'!$C$4:$C$503,_calc!$E$265),"yyyy-mm-dd"),""))</f>
        <v/>
      </c>
      <c r="E263" s="47">
        <f>IF(_calc!$E$265="","",IF(LEN(INDEX('Checks'!$L$4:$L$503,_calc!$E$265))=0,"",INDEX('Checks'!$L$4:$L$503,_calc!$E$265)))</f>
        <v/>
      </c>
      <c r="F263" s="47">
        <f>IF(_calc!$E$265="","",TRIM(IF(LEN(IF(LEN(INDEX('Checks'!$I$4:$I$503,_calc!$E$265))=0,"",INDEX('Checks'!$I$4:$I$503,_calc!$E$265)))=0,"","Contractor: "&amp;IF(LEN(INDEX('Checks'!$I$4:$I$503,_calc!$E$265))=0,"",INDEX('Checks'!$I$4:$I$503,_calc!$E$265))&amp;". ")&amp;IF(LEN(IF(LEN(INDEX('Checks'!$J$4:$J$503,_calc!$E$265))=0,"",INDEX('Checks'!$J$4:$J$503,_calc!$E$265)))=0,"","Ref: "&amp;IF(LEN(INDEX('Checks'!$J$4:$J$503,_calc!$E$265))=0,"",INDEX('Checks'!$J$4:$J$503,_calc!$E$265))&amp;". ")&amp;IF(LEN(IF(ISNUMBER(INDEX('Checks'!$K$4:$K$503,_calc!$E$265)),TEXT(INDEX('Checks'!$K$4:$K$503,_calc!$E$265),"yyyy-mm-dd"),""))=0,"","Copy to tenant: "&amp;IF(ISNUMBER(INDEX('Checks'!$K$4:$K$503,_calc!$E$265)),TEXT(INDEX('Checks'!$K$4:$K$503,_calc!$E$265),"yyyy-mm-dd"),"")&amp;". ")&amp;IF(LEN(IF(LEN(INDEX('Checks'!$P$4:$P$503,_calc!$E$265))=0,"",INDEX('Checks'!$P$4:$P$503,_calc!$E$265)))=0,"",IF(LEN(INDEX('Checks'!$P$4:$P$503,_calc!$E$265))=0,"",INDEX('Checks'!$P$4:$P$503,_calc!$E$265)))))</f>
        <v/>
      </c>
      <c r="G263" s="47">
        <f>IF(_calc!$E$265="","",IF(LEN(INDEX('Checks'!$N$4:$N$503,_calc!$E$265))=0,"",INDEX('Checks'!$N$4:$N$503,_calc!$E$265)))</f>
        <v/>
      </c>
      <c r="K263" s="47">
        <f>IF(_calc!$E$265="","",IF(LEN(INDEX('Checks'!$M$4:$M$503,_calc!$E$265))=0,"",INDEX('Checks'!$M$4:$M$503,_calc!$E$265)))</f>
        <v/>
      </c>
    </row>
    <row r="264">
      <c r="A264" s="47">
        <f>IF(_calc!$E$266="","",IF(LEN(INDEX('Checks'!$B$4:$B$503,_calc!$E$266))=0,"",INDEX('Checks'!$B$4:$B$503,_calc!$E$266))&amp;" – "&amp;IF(LEN(INDEX('Checks'!$A$4:$A$503,_calc!$E$266))=0,"",INDEX('Checks'!$A$4:$A$503,_calc!$E$266)))</f>
        <v/>
      </c>
      <c r="B264" s="47">
        <f>IF(_calc!$E$266="","",IF(ISNUMBER(INDEX('Checks'!$D$4:$D$503,_calc!$E$266)),TEXT(INDEX('Checks'!$D$4:$D$503,_calc!$E$266),"yyyy-mm-dd"),""))</f>
        <v/>
      </c>
      <c r="C264" s="47">
        <f>IF(_calc!$E$266="","",IF(LEN(INDEX('Checks'!$B$4:$B$503,_calc!$E$266))=0,"",INDEX('Checks'!$B$4:$B$503,_calc!$E$266)))</f>
        <v/>
      </c>
      <c r="D264" s="47">
        <f>IF(_calc!$E$266="","",IF(ISNUMBER(INDEX('Checks'!$C$4:$C$503,_calc!$E$266)),TEXT(INDEX('Checks'!$C$4:$C$503,_calc!$E$266),"yyyy-mm-dd"),""))</f>
        <v/>
      </c>
      <c r="E264" s="47">
        <f>IF(_calc!$E$266="","",IF(LEN(INDEX('Checks'!$L$4:$L$503,_calc!$E$266))=0,"",INDEX('Checks'!$L$4:$L$503,_calc!$E$266)))</f>
        <v/>
      </c>
      <c r="F264" s="47">
        <f>IF(_calc!$E$266="","",TRIM(IF(LEN(IF(LEN(INDEX('Checks'!$I$4:$I$503,_calc!$E$266))=0,"",INDEX('Checks'!$I$4:$I$503,_calc!$E$266)))=0,"","Contractor: "&amp;IF(LEN(INDEX('Checks'!$I$4:$I$503,_calc!$E$266))=0,"",INDEX('Checks'!$I$4:$I$503,_calc!$E$266))&amp;". ")&amp;IF(LEN(IF(LEN(INDEX('Checks'!$J$4:$J$503,_calc!$E$266))=0,"",INDEX('Checks'!$J$4:$J$503,_calc!$E$266)))=0,"","Ref: "&amp;IF(LEN(INDEX('Checks'!$J$4:$J$503,_calc!$E$266))=0,"",INDEX('Checks'!$J$4:$J$503,_calc!$E$266))&amp;". ")&amp;IF(LEN(IF(ISNUMBER(INDEX('Checks'!$K$4:$K$503,_calc!$E$266)),TEXT(INDEX('Checks'!$K$4:$K$503,_calc!$E$266),"yyyy-mm-dd"),""))=0,"","Copy to tenant: "&amp;IF(ISNUMBER(INDEX('Checks'!$K$4:$K$503,_calc!$E$266)),TEXT(INDEX('Checks'!$K$4:$K$503,_calc!$E$266),"yyyy-mm-dd"),"")&amp;". ")&amp;IF(LEN(IF(LEN(INDEX('Checks'!$P$4:$P$503,_calc!$E$266))=0,"",INDEX('Checks'!$P$4:$P$503,_calc!$E$266)))=0,"",IF(LEN(INDEX('Checks'!$P$4:$P$503,_calc!$E$266))=0,"",INDEX('Checks'!$P$4:$P$503,_calc!$E$266)))))</f>
        <v/>
      </c>
      <c r="G264" s="47">
        <f>IF(_calc!$E$266="","",IF(LEN(INDEX('Checks'!$N$4:$N$503,_calc!$E$266))=0,"",INDEX('Checks'!$N$4:$N$503,_calc!$E$266)))</f>
        <v/>
      </c>
      <c r="K264" s="47">
        <f>IF(_calc!$E$266="","",IF(LEN(INDEX('Checks'!$M$4:$M$503,_calc!$E$266))=0,"",INDEX('Checks'!$M$4:$M$503,_calc!$E$266)))</f>
        <v/>
      </c>
    </row>
    <row r="265">
      <c r="A265" s="47">
        <f>IF(_calc!$E$267="","",IF(LEN(INDEX('Checks'!$B$4:$B$503,_calc!$E$267))=0,"",INDEX('Checks'!$B$4:$B$503,_calc!$E$267))&amp;" – "&amp;IF(LEN(INDEX('Checks'!$A$4:$A$503,_calc!$E$267))=0,"",INDEX('Checks'!$A$4:$A$503,_calc!$E$267)))</f>
        <v/>
      </c>
      <c r="B265" s="47">
        <f>IF(_calc!$E$267="","",IF(ISNUMBER(INDEX('Checks'!$D$4:$D$503,_calc!$E$267)),TEXT(INDEX('Checks'!$D$4:$D$503,_calc!$E$267),"yyyy-mm-dd"),""))</f>
        <v/>
      </c>
      <c r="C265" s="47">
        <f>IF(_calc!$E$267="","",IF(LEN(INDEX('Checks'!$B$4:$B$503,_calc!$E$267))=0,"",INDEX('Checks'!$B$4:$B$503,_calc!$E$267)))</f>
        <v/>
      </c>
      <c r="D265" s="47">
        <f>IF(_calc!$E$267="","",IF(ISNUMBER(INDEX('Checks'!$C$4:$C$503,_calc!$E$267)),TEXT(INDEX('Checks'!$C$4:$C$503,_calc!$E$267),"yyyy-mm-dd"),""))</f>
        <v/>
      </c>
      <c r="E265" s="47">
        <f>IF(_calc!$E$267="","",IF(LEN(INDEX('Checks'!$L$4:$L$503,_calc!$E$267))=0,"",INDEX('Checks'!$L$4:$L$503,_calc!$E$267)))</f>
        <v/>
      </c>
      <c r="F265" s="47">
        <f>IF(_calc!$E$267="","",TRIM(IF(LEN(IF(LEN(INDEX('Checks'!$I$4:$I$503,_calc!$E$267))=0,"",INDEX('Checks'!$I$4:$I$503,_calc!$E$267)))=0,"","Contractor: "&amp;IF(LEN(INDEX('Checks'!$I$4:$I$503,_calc!$E$267))=0,"",INDEX('Checks'!$I$4:$I$503,_calc!$E$267))&amp;". ")&amp;IF(LEN(IF(LEN(INDEX('Checks'!$J$4:$J$503,_calc!$E$267))=0,"",INDEX('Checks'!$J$4:$J$503,_calc!$E$267)))=0,"","Ref: "&amp;IF(LEN(INDEX('Checks'!$J$4:$J$503,_calc!$E$267))=0,"",INDEX('Checks'!$J$4:$J$503,_calc!$E$267))&amp;". ")&amp;IF(LEN(IF(ISNUMBER(INDEX('Checks'!$K$4:$K$503,_calc!$E$267)),TEXT(INDEX('Checks'!$K$4:$K$503,_calc!$E$267),"yyyy-mm-dd"),""))=0,"","Copy to tenant: "&amp;IF(ISNUMBER(INDEX('Checks'!$K$4:$K$503,_calc!$E$267)),TEXT(INDEX('Checks'!$K$4:$K$503,_calc!$E$267),"yyyy-mm-dd"),"")&amp;". ")&amp;IF(LEN(IF(LEN(INDEX('Checks'!$P$4:$P$503,_calc!$E$267))=0,"",INDEX('Checks'!$P$4:$P$503,_calc!$E$267)))=0,"",IF(LEN(INDEX('Checks'!$P$4:$P$503,_calc!$E$267))=0,"",INDEX('Checks'!$P$4:$P$503,_calc!$E$267)))))</f>
        <v/>
      </c>
      <c r="G265" s="47">
        <f>IF(_calc!$E$267="","",IF(LEN(INDEX('Checks'!$N$4:$N$503,_calc!$E$267))=0,"",INDEX('Checks'!$N$4:$N$503,_calc!$E$267)))</f>
        <v/>
      </c>
      <c r="K265" s="47">
        <f>IF(_calc!$E$267="","",IF(LEN(INDEX('Checks'!$M$4:$M$503,_calc!$E$267))=0,"",INDEX('Checks'!$M$4:$M$503,_calc!$E$267)))</f>
        <v/>
      </c>
    </row>
    <row r="266">
      <c r="A266" s="47">
        <f>IF(_calc!$E$268="","",IF(LEN(INDEX('Checks'!$B$4:$B$503,_calc!$E$268))=0,"",INDEX('Checks'!$B$4:$B$503,_calc!$E$268))&amp;" – "&amp;IF(LEN(INDEX('Checks'!$A$4:$A$503,_calc!$E$268))=0,"",INDEX('Checks'!$A$4:$A$503,_calc!$E$268)))</f>
        <v/>
      </c>
      <c r="B266" s="47">
        <f>IF(_calc!$E$268="","",IF(ISNUMBER(INDEX('Checks'!$D$4:$D$503,_calc!$E$268)),TEXT(INDEX('Checks'!$D$4:$D$503,_calc!$E$268),"yyyy-mm-dd"),""))</f>
        <v/>
      </c>
      <c r="C266" s="47">
        <f>IF(_calc!$E$268="","",IF(LEN(INDEX('Checks'!$B$4:$B$503,_calc!$E$268))=0,"",INDEX('Checks'!$B$4:$B$503,_calc!$E$268)))</f>
        <v/>
      </c>
      <c r="D266" s="47">
        <f>IF(_calc!$E$268="","",IF(ISNUMBER(INDEX('Checks'!$C$4:$C$503,_calc!$E$268)),TEXT(INDEX('Checks'!$C$4:$C$503,_calc!$E$268),"yyyy-mm-dd"),""))</f>
        <v/>
      </c>
      <c r="E266" s="47">
        <f>IF(_calc!$E$268="","",IF(LEN(INDEX('Checks'!$L$4:$L$503,_calc!$E$268))=0,"",INDEX('Checks'!$L$4:$L$503,_calc!$E$268)))</f>
        <v/>
      </c>
      <c r="F266" s="47">
        <f>IF(_calc!$E$268="","",TRIM(IF(LEN(IF(LEN(INDEX('Checks'!$I$4:$I$503,_calc!$E$268))=0,"",INDEX('Checks'!$I$4:$I$503,_calc!$E$268)))=0,"","Contractor: "&amp;IF(LEN(INDEX('Checks'!$I$4:$I$503,_calc!$E$268))=0,"",INDEX('Checks'!$I$4:$I$503,_calc!$E$268))&amp;". ")&amp;IF(LEN(IF(LEN(INDEX('Checks'!$J$4:$J$503,_calc!$E$268))=0,"",INDEX('Checks'!$J$4:$J$503,_calc!$E$268)))=0,"","Ref: "&amp;IF(LEN(INDEX('Checks'!$J$4:$J$503,_calc!$E$268))=0,"",INDEX('Checks'!$J$4:$J$503,_calc!$E$268))&amp;". ")&amp;IF(LEN(IF(ISNUMBER(INDEX('Checks'!$K$4:$K$503,_calc!$E$268)),TEXT(INDEX('Checks'!$K$4:$K$503,_calc!$E$268),"yyyy-mm-dd"),""))=0,"","Copy to tenant: "&amp;IF(ISNUMBER(INDEX('Checks'!$K$4:$K$503,_calc!$E$268)),TEXT(INDEX('Checks'!$K$4:$K$503,_calc!$E$268),"yyyy-mm-dd"),"")&amp;". ")&amp;IF(LEN(IF(LEN(INDEX('Checks'!$P$4:$P$503,_calc!$E$268))=0,"",INDEX('Checks'!$P$4:$P$503,_calc!$E$268)))=0,"",IF(LEN(INDEX('Checks'!$P$4:$P$503,_calc!$E$268))=0,"",INDEX('Checks'!$P$4:$P$503,_calc!$E$268)))))</f>
        <v/>
      </c>
      <c r="G266" s="47">
        <f>IF(_calc!$E$268="","",IF(LEN(INDEX('Checks'!$N$4:$N$503,_calc!$E$268))=0,"",INDEX('Checks'!$N$4:$N$503,_calc!$E$268)))</f>
        <v/>
      </c>
      <c r="K266" s="47">
        <f>IF(_calc!$E$268="","",IF(LEN(INDEX('Checks'!$M$4:$M$503,_calc!$E$268))=0,"",INDEX('Checks'!$M$4:$M$503,_calc!$E$268)))</f>
        <v/>
      </c>
    </row>
    <row r="267">
      <c r="A267" s="47">
        <f>IF(_calc!$E$269="","",IF(LEN(INDEX('Checks'!$B$4:$B$503,_calc!$E$269))=0,"",INDEX('Checks'!$B$4:$B$503,_calc!$E$269))&amp;" – "&amp;IF(LEN(INDEX('Checks'!$A$4:$A$503,_calc!$E$269))=0,"",INDEX('Checks'!$A$4:$A$503,_calc!$E$269)))</f>
        <v/>
      </c>
      <c r="B267" s="47">
        <f>IF(_calc!$E$269="","",IF(ISNUMBER(INDEX('Checks'!$D$4:$D$503,_calc!$E$269)),TEXT(INDEX('Checks'!$D$4:$D$503,_calc!$E$269),"yyyy-mm-dd"),""))</f>
        <v/>
      </c>
      <c r="C267" s="47">
        <f>IF(_calc!$E$269="","",IF(LEN(INDEX('Checks'!$B$4:$B$503,_calc!$E$269))=0,"",INDEX('Checks'!$B$4:$B$503,_calc!$E$269)))</f>
        <v/>
      </c>
      <c r="D267" s="47">
        <f>IF(_calc!$E$269="","",IF(ISNUMBER(INDEX('Checks'!$C$4:$C$503,_calc!$E$269)),TEXT(INDEX('Checks'!$C$4:$C$503,_calc!$E$269),"yyyy-mm-dd"),""))</f>
        <v/>
      </c>
      <c r="E267" s="47">
        <f>IF(_calc!$E$269="","",IF(LEN(INDEX('Checks'!$L$4:$L$503,_calc!$E$269))=0,"",INDEX('Checks'!$L$4:$L$503,_calc!$E$269)))</f>
        <v/>
      </c>
      <c r="F267" s="47">
        <f>IF(_calc!$E$269="","",TRIM(IF(LEN(IF(LEN(INDEX('Checks'!$I$4:$I$503,_calc!$E$269))=0,"",INDEX('Checks'!$I$4:$I$503,_calc!$E$269)))=0,"","Contractor: "&amp;IF(LEN(INDEX('Checks'!$I$4:$I$503,_calc!$E$269))=0,"",INDEX('Checks'!$I$4:$I$503,_calc!$E$269))&amp;". ")&amp;IF(LEN(IF(LEN(INDEX('Checks'!$J$4:$J$503,_calc!$E$269))=0,"",INDEX('Checks'!$J$4:$J$503,_calc!$E$269)))=0,"","Ref: "&amp;IF(LEN(INDEX('Checks'!$J$4:$J$503,_calc!$E$269))=0,"",INDEX('Checks'!$J$4:$J$503,_calc!$E$269))&amp;". ")&amp;IF(LEN(IF(ISNUMBER(INDEX('Checks'!$K$4:$K$503,_calc!$E$269)),TEXT(INDEX('Checks'!$K$4:$K$503,_calc!$E$269),"yyyy-mm-dd"),""))=0,"","Copy to tenant: "&amp;IF(ISNUMBER(INDEX('Checks'!$K$4:$K$503,_calc!$E$269)),TEXT(INDEX('Checks'!$K$4:$K$503,_calc!$E$269),"yyyy-mm-dd"),"")&amp;". ")&amp;IF(LEN(IF(LEN(INDEX('Checks'!$P$4:$P$503,_calc!$E$269))=0,"",INDEX('Checks'!$P$4:$P$503,_calc!$E$269)))=0,"",IF(LEN(INDEX('Checks'!$P$4:$P$503,_calc!$E$269))=0,"",INDEX('Checks'!$P$4:$P$503,_calc!$E$269)))))</f>
        <v/>
      </c>
      <c r="G267" s="47">
        <f>IF(_calc!$E$269="","",IF(LEN(INDEX('Checks'!$N$4:$N$503,_calc!$E$269))=0,"",INDEX('Checks'!$N$4:$N$503,_calc!$E$269)))</f>
        <v/>
      </c>
      <c r="K267" s="47">
        <f>IF(_calc!$E$269="","",IF(LEN(INDEX('Checks'!$M$4:$M$503,_calc!$E$269))=0,"",INDEX('Checks'!$M$4:$M$503,_calc!$E$269)))</f>
        <v/>
      </c>
    </row>
    <row r="268">
      <c r="A268" s="47">
        <f>IF(_calc!$E$270="","",IF(LEN(INDEX('Checks'!$B$4:$B$503,_calc!$E$270))=0,"",INDEX('Checks'!$B$4:$B$503,_calc!$E$270))&amp;" – "&amp;IF(LEN(INDEX('Checks'!$A$4:$A$503,_calc!$E$270))=0,"",INDEX('Checks'!$A$4:$A$503,_calc!$E$270)))</f>
        <v/>
      </c>
      <c r="B268" s="47">
        <f>IF(_calc!$E$270="","",IF(ISNUMBER(INDEX('Checks'!$D$4:$D$503,_calc!$E$270)),TEXT(INDEX('Checks'!$D$4:$D$503,_calc!$E$270),"yyyy-mm-dd"),""))</f>
        <v/>
      </c>
      <c r="C268" s="47">
        <f>IF(_calc!$E$270="","",IF(LEN(INDEX('Checks'!$B$4:$B$503,_calc!$E$270))=0,"",INDEX('Checks'!$B$4:$B$503,_calc!$E$270)))</f>
        <v/>
      </c>
      <c r="D268" s="47">
        <f>IF(_calc!$E$270="","",IF(ISNUMBER(INDEX('Checks'!$C$4:$C$503,_calc!$E$270)),TEXT(INDEX('Checks'!$C$4:$C$503,_calc!$E$270),"yyyy-mm-dd"),""))</f>
        <v/>
      </c>
      <c r="E268" s="47">
        <f>IF(_calc!$E$270="","",IF(LEN(INDEX('Checks'!$L$4:$L$503,_calc!$E$270))=0,"",INDEX('Checks'!$L$4:$L$503,_calc!$E$270)))</f>
        <v/>
      </c>
      <c r="F268" s="47">
        <f>IF(_calc!$E$270="","",TRIM(IF(LEN(IF(LEN(INDEX('Checks'!$I$4:$I$503,_calc!$E$270))=0,"",INDEX('Checks'!$I$4:$I$503,_calc!$E$270)))=0,"","Contractor: "&amp;IF(LEN(INDEX('Checks'!$I$4:$I$503,_calc!$E$270))=0,"",INDEX('Checks'!$I$4:$I$503,_calc!$E$270))&amp;". ")&amp;IF(LEN(IF(LEN(INDEX('Checks'!$J$4:$J$503,_calc!$E$270))=0,"",INDEX('Checks'!$J$4:$J$503,_calc!$E$270)))=0,"","Ref: "&amp;IF(LEN(INDEX('Checks'!$J$4:$J$503,_calc!$E$270))=0,"",INDEX('Checks'!$J$4:$J$503,_calc!$E$270))&amp;". ")&amp;IF(LEN(IF(ISNUMBER(INDEX('Checks'!$K$4:$K$503,_calc!$E$270)),TEXT(INDEX('Checks'!$K$4:$K$503,_calc!$E$270),"yyyy-mm-dd"),""))=0,"","Copy to tenant: "&amp;IF(ISNUMBER(INDEX('Checks'!$K$4:$K$503,_calc!$E$270)),TEXT(INDEX('Checks'!$K$4:$K$503,_calc!$E$270),"yyyy-mm-dd"),"")&amp;". ")&amp;IF(LEN(IF(LEN(INDEX('Checks'!$P$4:$P$503,_calc!$E$270))=0,"",INDEX('Checks'!$P$4:$P$503,_calc!$E$270)))=0,"",IF(LEN(INDEX('Checks'!$P$4:$P$503,_calc!$E$270))=0,"",INDEX('Checks'!$P$4:$P$503,_calc!$E$270)))))</f>
        <v/>
      </c>
      <c r="G268" s="47">
        <f>IF(_calc!$E$270="","",IF(LEN(INDEX('Checks'!$N$4:$N$503,_calc!$E$270))=0,"",INDEX('Checks'!$N$4:$N$503,_calc!$E$270)))</f>
        <v/>
      </c>
      <c r="K268" s="47">
        <f>IF(_calc!$E$270="","",IF(LEN(INDEX('Checks'!$M$4:$M$503,_calc!$E$270))=0,"",INDEX('Checks'!$M$4:$M$503,_calc!$E$270)))</f>
        <v/>
      </c>
    </row>
    <row r="269">
      <c r="A269" s="47">
        <f>IF(_calc!$E$271="","",IF(LEN(INDEX('Checks'!$B$4:$B$503,_calc!$E$271))=0,"",INDEX('Checks'!$B$4:$B$503,_calc!$E$271))&amp;" – "&amp;IF(LEN(INDEX('Checks'!$A$4:$A$503,_calc!$E$271))=0,"",INDEX('Checks'!$A$4:$A$503,_calc!$E$271)))</f>
        <v/>
      </c>
      <c r="B269" s="47">
        <f>IF(_calc!$E$271="","",IF(ISNUMBER(INDEX('Checks'!$D$4:$D$503,_calc!$E$271)),TEXT(INDEX('Checks'!$D$4:$D$503,_calc!$E$271),"yyyy-mm-dd"),""))</f>
        <v/>
      </c>
      <c r="C269" s="47">
        <f>IF(_calc!$E$271="","",IF(LEN(INDEX('Checks'!$B$4:$B$503,_calc!$E$271))=0,"",INDEX('Checks'!$B$4:$B$503,_calc!$E$271)))</f>
        <v/>
      </c>
      <c r="D269" s="47">
        <f>IF(_calc!$E$271="","",IF(ISNUMBER(INDEX('Checks'!$C$4:$C$503,_calc!$E$271)),TEXT(INDEX('Checks'!$C$4:$C$503,_calc!$E$271),"yyyy-mm-dd"),""))</f>
        <v/>
      </c>
      <c r="E269" s="47">
        <f>IF(_calc!$E$271="","",IF(LEN(INDEX('Checks'!$L$4:$L$503,_calc!$E$271))=0,"",INDEX('Checks'!$L$4:$L$503,_calc!$E$271)))</f>
        <v/>
      </c>
      <c r="F269" s="47">
        <f>IF(_calc!$E$271="","",TRIM(IF(LEN(IF(LEN(INDEX('Checks'!$I$4:$I$503,_calc!$E$271))=0,"",INDEX('Checks'!$I$4:$I$503,_calc!$E$271)))=0,"","Contractor: "&amp;IF(LEN(INDEX('Checks'!$I$4:$I$503,_calc!$E$271))=0,"",INDEX('Checks'!$I$4:$I$503,_calc!$E$271))&amp;". ")&amp;IF(LEN(IF(LEN(INDEX('Checks'!$J$4:$J$503,_calc!$E$271))=0,"",INDEX('Checks'!$J$4:$J$503,_calc!$E$271)))=0,"","Ref: "&amp;IF(LEN(INDEX('Checks'!$J$4:$J$503,_calc!$E$271))=0,"",INDEX('Checks'!$J$4:$J$503,_calc!$E$271))&amp;". ")&amp;IF(LEN(IF(ISNUMBER(INDEX('Checks'!$K$4:$K$503,_calc!$E$271)),TEXT(INDEX('Checks'!$K$4:$K$503,_calc!$E$271),"yyyy-mm-dd"),""))=0,"","Copy to tenant: "&amp;IF(ISNUMBER(INDEX('Checks'!$K$4:$K$503,_calc!$E$271)),TEXT(INDEX('Checks'!$K$4:$K$503,_calc!$E$271),"yyyy-mm-dd"),"")&amp;". ")&amp;IF(LEN(IF(LEN(INDEX('Checks'!$P$4:$P$503,_calc!$E$271))=0,"",INDEX('Checks'!$P$4:$P$503,_calc!$E$271)))=0,"",IF(LEN(INDEX('Checks'!$P$4:$P$503,_calc!$E$271))=0,"",INDEX('Checks'!$P$4:$P$503,_calc!$E$271)))))</f>
        <v/>
      </c>
      <c r="G269" s="47">
        <f>IF(_calc!$E$271="","",IF(LEN(INDEX('Checks'!$N$4:$N$503,_calc!$E$271))=0,"",INDEX('Checks'!$N$4:$N$503,_calc!$E$271)))</f>
        <v/>
      </c>
      <c r="K269" s="47">
        <f>IF(_calc!$E$271="","",IF(LEN(INDEX('Checks'!$M$4:$M$503,_calc!$E$271))=0,"",INDEX('Checks'!$M$4:$M$503,_calc!$E$271)))</f>
        <v/>
      </c>
    </row>
    <row r="270">
      <c r="A270" s="47">
        <f>IF(_calc!$E$272="","",IF(LEN(INDEX('Checks'!$B$4:$B$503,_calc!$E$272))=0,"",INDEX('Checks'!$B$4:$B$503,_calc!$E$272))&amp;" – "&amp;IF(LEN(INDEX('Checks'!$A$4:$A$503,_calc!$E$272))=0,"",INDEX('Checks'!$A$4:$A$503,_calc!$E$272)))</f>
        <v/>
      </c>
      <c r="B270" s="47">
        <f>IF(_calc!$E$272="","",IF(ISNUMBER(INDEX('Checks'!$D$4:$D$503,_calc!$E$272)),TEXT(INDEX('Checks'!$D$4:$D$503,_calc!$E$272),"yyyy-mm-dd"),""))</f>
        <v/>
      </c>
      <c r="C270" s="47">
        <f>IF(_calc!$E$272="","",IF(LEN(INDEX('Checks'!$B$4:$B$503,_calc!$E$272))=0,"",INDEX('Checks'!$B$4:$B$503,_calc!$E$272)))</f>
        <v/>
      </c>
      <c r="D270" s="47">
        <f>IF(_calc!$E$272="","",IF(ISNUMBER(INDEX('Checks'!$C$4:$C$503,_calc!$E$272)),TEXT(INDEX('Checks'!$C$4:$C$503,_calc!$E$272),"yyyy-mm-dd"),""))</f>
        <v/>
      </c>
      <c r="E270" s="47">
        <f>IF(_calc!$E$272="","",IF(LEN(INDEX('Checks'!$L$4:$L$503,_calc!$E$272))=0,"",INDEX('Checks'!$L$4:$L$503,_calc!$E$272)))</f>
        <v/>
      </c>
      <c r="F270" s="47">
        <f>IF(_calc!$E$272="","",TRIM(IF(LEN(IF(LEN(INDEX('Checks'!$I$4:$I$503,_calc!$E$272))=0,"",INDEX('Checks'!$I$4:$I$503,_calc!$E$272)))=0,"","Contractor: "&amp;IF(LEN(INDEX('Checks'!$I$4:$I$503,_calc!$E$272))=0,"",INDEX('Checks'!$I$4:$I$503,_calc!$E$272))&amp;". ")&amp;IF(LEN(IF(LEN(INDEX('Checks'!$J$4:$J$503,_calc!$E$272))=0,"",INDEX('Checks'!$J$4:$J$503,_calc!$E$272)))=0,"","Ref: "&amp;IF(LEN(INDEX('Checks'!$J$4:$J$503,_calc!$E$272))=0,"",INDEX('Checks'!$J$4:$J$503,_calc!$E$272))&amp;". ")&amp;IF(LEN(IF(ISNUMBER(INDEX('Checks'!$K$4:$K$503,_calc!$E$272)),TEXT(INDEX('Checks'!$K$4:$K$503,_calc!$E$272),"yyyy-mm-dd"),""))=0,"","Copy to tenant: "&amp;IF(ISNUMBER(INDEX('Checks'!$K$4:$K$503,_calc!$E$272)),TEXT(INDEX('Checks'!$K$4:$K$503,_calc!$E$272),"yyyy-mm-dd"),"")&amp;". ")&amp;IF(LEN(IF(LEN(INDEX('Checks'!$P$4:$P$503,_calc!$E$272))=0,"",INDEX('Checks'!$P$4:$P$503,_calc!$E$272)))=0,"",IF(LEN(INDEX('Checks'!$P$4:$P$503,_calc!$E$272))=0,"",INDEX('Checks'!$P$4:$P$503,_calc!$E$272)))))</f>
        <v/>
      </c>
      <c r="G270" s="47">
        <f>IF(_calc!$E$272="","",IF(LEN(INDEX('Checks'!$N$4:$N$503,_calc!$E$272))=0,"",INDEX('Checks'!$N$4:$N$503,_calc!$E$272)))</f>
        <v/>
      </c>
      <c r="K270" s="47">
        <f>IF(_calc!$E$272="","",IF(LEN(INDEX('Checks'!$M$4:$M$503,_calc!$E$272))=0,"",INDEX('Checks'!$M$4:$M$503,_calc!$E$272)))</f>
        <v/>
      </c>
    </row>
    <row r="271">
      <c r="A271" s="47">
        <f>IF(_calc!$E$273="","",IF(LEN(INDEX('Checks'!$B$4:$B$503,_calc!$E$273))=0,"",INDEX('Checks'!$B$4:$B$503,_calc!$E$273))&amp;" – "&amp;IF(LEN(INDEX('Checks'!$A$4:$A$503,_calc!$E$273))=0,"",INDEX('Checks'!$A$4:$A$503,_calc!$E$273)))</f>
        <v/>
      </c>
      <c r="B271" s="47">
        <f>IF(_calc!$E$273="","",IF(ISNUMBER(INDEX('Checks'!$D$4:$D$503,_calc!$E$273)),TEXT(INDEX('Checks'!$D$4:$D$503,_calc!$E$273),"yyyy-mm-dd"),""))</f>
        <v/>
      </c>
      <c r="C271" s="47">
        <f>IF(_calc!$E$273="","",IF(LEN(INDEX('Checks'!$B$4:$B$503,_calc!$E$273))=0,"",INDEX('Checks'!$B$4:$B$503,_calc!$E$273)))</f>
        <v/>
      </c>
      <c r="D271" s="47">
        <f>IF(_calc!$E$273="","",IF(ISNUMBER(INDEX('Checks'!$C$4:$C$503,_calc!$E$273)),TEXT(INDEX('Checks'!$C$4:$C$503,_calc!$E$273),"yyyy-mm-dd"),""))</f>
        <v/>
      </c>
      <c r="E271" s="47">
        <f>IF(_calc!$E$273="","",IF(LEN(INDEX('Checks'!$L$4:$L$503,_calc!$E$273))=0,"",INDEX('Checks'!$L$4:$L$503,_calc!$E$273)))</f>
        <v/>
      </c>
      <c r="F271" s="47">
        <f>IF(_calc!$E$273="","",TRIM(IF(LEN(IF(LEN(INDEX('Checks'!$I$4:$I$503,_calc!$E$273))=0,"",INDEX('Checks'!$I$4:$I$503,_calc!$E$273)))=0,"","Contractor: "&amp;IF(LEN(INDEX('Checks'!$I$4:$I$503,_calc!$E$273))=0,"",INDEX('Checks'!$I$4:$I$503,_calc!$E$273))&amp;". ")&amp;IF(LEN(IF(LEN(INDEX('Checks'!$J$4:$J$503,_calc!$E$273))=0,"",INDEX('Checks'!$J$4:$J$503,_calc!$E$273)))=0,"","Ref: "&amp;IF(LEN(INDEX('Checks'!$J$4:$J$503,_calc!$E$273))=0,"",INDEX('Checks'!$J$4:$J$503,_calc!$E$273))&amp;". ")&amp;IF(LEN(IF(ISNUMBER(INDEX('Checks'!$K$4:$K$503,_calc!$E$273)),TEXT(INDEX('Checks'!$K$4:$K$503,_calc!$E$273),"yyyy-mm-dd"),""))=0,"","Copy to tenant: "&amp;IF(ISNUMBER(INDEX('Checks'!$K$4:$K$503,_calc!$E$273)),TEXT(INDEX('Checks'!$K$4:$K$503,_calc!$E$273),"yyyy-mm-dd"),"")&amp;". ")&amp;IF(LEN(IF(LEN(INDEX('Checks'!$P$4:$P$503,_calc!$E$273))=0,"",INDEX('Checks'!$P$4:$P$503,_calc!$E$273)))=0,"",IF(LEN(INDEX('Checks'!$P$4:$P$503,_calc!$E$273))=0,"",INDEX('Checks'!$P$4:$P$503,_calc!$E$273)))))</f>
        <v/>
      </c>
      <c r="G271" s="47">
        <f>IF(_calc!$E$273="","",IF(LEN(INDEX('Checks'!$N$4:$N$503,_calc!$E$273))=0,"",INDEX('Checks'!$N$4:$N$503,_calc!$E$273)))</f>
        <v/>
      </c>
      <c r="K271" s="47">
        <f>IF(_calc!$E$273="","",IF(LEN(INDEX('Checks'!$M$4:$M$503,_calc!$E$273))=0,"",INDEX('Checks'!$M$4:$M$503,_calc!$E$273)))</f>
        <v/>
      </c>
    </row>
    <row r="272">
      <c r="A272" s="47">
        <f>IF(_calc!$E$274="","",IF(LEN(INDEX('Checks'!$B$4:$B$503,_calc!$E$274))=0,"",INDEX('Checks'!$B$4:$B$503,_calc!$E$274))&amp;" – "&amp;IF(LEN(INDEX('Checks'!$A$4:$A$503,_calc!$E$274))=0,"",INDEX('Checks'!$A$4:$A$503,_calc!$E$274)))</f>
        <v/>
      </c>
      <c r="B272" s="47">
        <f>IF(_calc!$E$274="","",IF(ISNUMBER(INDEX('Checks'!$D$4:$D$503,_calc!$E$274)),TEXT(INDEX('Checks'!$D$4:$D$503,_calc!$E$274),"yyyy-mm-dd"),""))</f>
        <v/>
      </c>
      <c r="C272" s="47">
        <f>IF(_calc!$E$274="","",IF(LEN(INDEX('Checks'!$B$4:$B$503,_calc!$E$274))=0,"",INDEX('Checks'!$B$4:$B$503,_calc!$E$274)))</f>
        <v/>
      </c>
      <c r="D272" s="47">
        <f>IF(_calc!$E$274="","",IF(ISNUMBER(INDEX('Checks'!$C$4:$C$503,_calc!$E$274)),TEXT(INDEX('Checks'!$C$4:$C$503,_calc!$E$274),"yyyy-mm-dd"),""))</f>
        <v/>
      </c>
      <c r="E272" s="47">
        <f>IF(_calc!$E$274="","",IF(LEN(INDEX('Checks'!$L$4:$L$503,_calc!$E$274))=0,"",INDEX('Checks'!$L$4:$L$503,_calc!$E$274)))</f>
        <v/>
      </c>
      <c r="F272" s="47">
        <f>IF(_calc!$E$274="","",TRIM(IF(LEN(IF(LEN(INDEX('Checks'!$I$4:$I$503,_calc!$E$274))=0,"",INDEX('Checks'!$I$4:$I$503,_calc!$E$274)))=0,"","Contractor: "&amp;IF(LEN(INDEX('Checks'!$I$4:$I$503,_calc!$E$274))=0,"",INDEX('Checks'!$I$4:$I$503,_calc!$E$274))&amp;". ")&amp;IF(LEN(IF(LEN(INDEX('Checks'!$J$4:$J$503,_calc!$E$274))=0,"",INDEX('Checks'!$J$4:$J$503,_calc!$E$274)))=0,"","Ref: "&amp;IF(LEN(INDEX('Checks'!$J$4:$J$503,_calc!$E$274))=0,"",INDEX('Checks'!$J$4:$J$503,_calc!$E$274))&amp;". ")&amp;IF(LEN(IF(ISNUMBER(INDEX('Checks'!$K$4:$K$503,_calc!$E$274)),TEXT(INDEX('Checks'!$K$4:$K$503,_calc!$E$274),"yyyy-mm-dd"),""))=0,"","Copy to tenant: "&amp;IF(ISNUMBER(INDEX('Checks'!$K$4:$K$503,_calc!$E$274)),TEXT(INDEX('Checks'!$K$4:$K$503,_calc!$E$274),"yyyy-mm-dd"),"")&amp;". ")&amp;IF(LEN(IF(LEN(INDEX('Checks'!$P$4:$P$503,_calc!$E$274))=0,"",INDEX('Checks'!$P$4:$P$503,_calc!$E$274)))=0,"",IF(LEN(INDEX('Checks'!$P$4:$P$503,_calc!$E$274))=0,"",INDEX('Checks'!$P$4:$P$503,_calc!$E$274)))))</f>
        <v/>
      </c>
      <c r="G272" s="47">
        <f>IF(_calc!$E$274="","",IF(LEN(INDEX('Checks'!$N$4:$N$503,_calc!$E$274))=0,"",INDEX('Checks'!$N$4:$N$503,_calc!$E$274)))</f>
        <v/>
      </c>
      <c r="K272" s="47">
        <f>IF(_calc!$E$274="","",IF(LEN(INDEX('Checks'!$M$4:$M$503,_calc!$E$274))=0,"",INDEX('Checks'!$M$4:$M$503,_calc!$E$274)))</f>
        <v/>
      </c>
    </row>
    <row r="273">
      <c r="A273" s="47">
        <f>IF(_calc!$E$275="","",IF(LEN(INDEX('Checks'!$B$4:$B$503,_calc!$E$275))=0,"",INDEX('Checks'!$B$4:$B$503,_calc!$E$275))&amp;" – "&amp;IF(LEN(INDEX('Checks'!$A$4:$A$503,_calc!$E$275))=0,"",INDEX('Checks'!$A$4:$A$503,_calc!$E$275)))</f>
        <v/>
      </c>
      <c r="B273" s="47">
        <f>IF(_calc!$E$275="","",IF(ISNUMBER(INDEX('Checks'!$D$4:$D$503,_calc!$E$275)),TEXT(INDEX('Checks'!$D$4:$D$503,_calc!$E$275),"yyyy-mm-dd"),""))</f>
        <v/>
      </c>
      <c r="C273" s="47">
        <f>IF(_calc!$E$275="","",IF(LEN(INDEX('Checks'!$B$4:$B$503,_calc!$E$275))=0,"",INDEX('Checks'!$B$4:$B$503,_calc!$E$275)))</f>
        <v/>
      </c>
      <c r="D273" s="47">
        <f>IF(_calc!$E$275="","",IF(ISNUMBER(INDEX('Checks'!$C$4:$C$503,_calc!$E$275)),TEXT(INDEX('Checks'!$C$4:$C$503,_calc!$E$275),"yyyy-mm-dd"),""))</f>
        <v/>
      </c>
      <c r="E273" s="47">
        <f>IF(_calc!$E$275="","",IF(LEN(INDEX('Checks'!$L$4:$L$503,_calc!$E$275))=0,"",INDEX('Checks'!$L$4:$L$503,_calc!$E$275)))</f>
        <v/>
      </c>
      <c r="F273" s="47">
        <f>IF(_calc!$E$275="","",TRIM(IF(LEN(IF(LEN(INDEX('Checks'!$I$4:$I$503,_calc!$E$275))=0,"",INDEX('Checks'!$I$4:$I$503,_calc!$E$275)))=0,"","Contractor: "&amp;IF(LEN(INDEX('Checks'!$I$4:$I$503,_calc!$E$275))=0,"",INDEX('Checks'!$I$4:$I$503,_calc!$E$275))&amp;". ")&amp;IF(LEN(IF(LEN(INDEX('Checks'!$J$4:$J$503,_calc!$E$275))=0,"",INDEX('Checks'!$J$4:$J$503,_calc!$E$275)))=0,"","Ref: "&amp;IF(LEN(INDEX('Checks'!$J$4:$J$503,_calc!$E$275))=0,"",INDEX('Checks'!$J$4:$J$503,_calc!$E$275))&amp;". ")&amp;IF(LEN(IF(ISNUMBER(INDEX('Checks'!$K$4:$K$503,_calc!$E$275)),TEXT(INDEX('Checks'!$K$4:$K$503,_calc!$E$275),"yyyy-mm-dd"),""))=0,"","Copy to tenant: "&amp;IF(ISNUMBER(INDEX('Checks'!$K$4:$K$503,_calc!$E$275)),TEXT(INDEX('Checks'!$K$4:$K$503,_calc!$E$275),"yyyy-mm-dd"),"")&amp;". ")&amp;IF(LEN(IF(LEN(INDEX('Checks'!$P$4:$P$503,_calc!$E$275))=0,"",INDEX('Checks'!$P$4:$P$503,_calc!$E$275)))=0,"",IF(LEN(INDEX('Checks'!$P$4:$P$503,_calc!$E$275))=0,"",INDEX('Checks'!$P$4:$P$503,_calc!$E$275)))))</f>
        <v/>
      </c>
      <c r="G273" s="47">
        <f>IF(_calc!$E$275="","",IF(LEN(INDEX('Checks'!$N$4:$N$503,_calc!$E$275))=0,"",INDEX('Checks'!$N$4:$N$503,_calc!$E$275)))</f>
        <v/>
      </c>
      <c r="K273" s="47">
        <f>IF(_calc!$E$275="","",IF(LEN(INDEX('Checks'!$M$4:$M$503,_calc!$E$275))=0,"",INDEX('Checks'!$M$4:$M$503,_calc!$E$275)))</f>
        <v/>
      </c>
    </row>
    <row r="274">
      <c r="A274" s="47">
        <f>IF(_calc!$E$276="","",IF(LEN(INDEX('Checks'!$B$4:$B$503,_calc!$E$276))=0,"",INDEX('Checks'!$B$4:$B$503,_calc!$E$276))&amp;" – "&amp;IF(LEN(INDEX('Checks'!$A$4:$A$503,_calc!$E$276))=0,"",INDEX('Checks'!$A$4:$A$503,_calc!$E$276)))</f>
        <v/>
      </c>
      <c r="B274" s="47">
        <f>IF(_calc!$E$276="","",IF(ISNUMBER(INDEX('Checks'!$D$4:$D$503,_calc!$E$276)),TEXT(INDEX('Checks'!$D$4:$D$503,_calc!$E$276),"yyyy-mm-dd"),""))</f>
        <v/>
      </c>
      <c r="C274" s="47">
        <f>IF(_calc!$E$276="","",IF(LEN(INDEX('Checks'!$B$4:$B$503,_calc!$E$276))=0,"",INDEX('Checks'!$B$4:$B$503,_calc!$E$276)))</f>
        <v/>
      </c>
      <c r="D274" s="47">
        <f>IF(_calc!$E$276="","",IF(ISNUMBER(INDEX('Checks'!$C$4:$C$503,_calc!$E$276)),TEXT(INDEX('Checks'!$C$4:$C$503,_calc!$E$276),"yyyy-mm-dd"),""))</f>
        <v/>
      </c>
      <c r="E274" s="47">
        <f>IF(_calc!$E$276="","",IF(LEN(INDEX('Checks'!$L$4:$L$503,_calc!$E$276))=0,"",INDEX('Checks'!$L$4:$L$503,_calc!$E$276)))</f>
        <v/>
      </c>
      <c r="F274" s="47">
        <f>IF(_calc!$E$276="","",TRIM(IF(LEN(IF(LEN(INDEX('Checks'!$I$4:$I$503,_calc!$E$276))=0,"",INDEX('Checks'!$I$4:$I$503,_calc!$E$276)))=0,"","Contractor: "&amp;IF(LEN(INDEX('Checks'!$I$4:$I$503,_calc!$E$276))=0,"",INDEX('Checks'!$I$4:$I$503,_calc!$E$276))&amp;". ")&amp;IF(LEN(IF(LEN(INDEX('Checks'!$J$4:$J$503,_calc!$E$276))=0,"",INDEX('Checks'!$J$4:$J$503,_calc!$E$276)))=0,"","Ref: "&amp;IF(LEN(INDEX('Checks'!$J$4:$J$503,_calc!$E$276))=0,"",INDEX('Checks'!$J$4:$J$503,_calc!$E$276))&amp;". ")&amp;IF(LEN(IF(ISNUMBER(INDEX('Checks'!$K$4:$K$503,_calc!$E$276)),TEXT(INDEX('Checks'!$K$4:$K$503,_calc!$E$276),"yyyy-mm-dd"),""))=0,"","Copy to tenant: "&amp;IF(ISNUMBER(INDEX('Checks'!$K$4:$K$503,_calc!$E$276)),TEXT(INDEX('Checks'!$K$4:$K$503,_calc!$E$276),"yyyy-mm-dd"),"")&amp;". ")&amp;IF(LEN(IF(LEN(INDEX('Checks'!$P$4:$P$503,_calc!$E$276))=0,"",INDEX('Checks'!$P$4:$P$503,_calc!$E$276)))=0,"",IF(LEN(INDEX('Checks'!$P$4:$P$503,_calc!$E$276))=0,"",INDEX('Checks'!$P$4:$P$503,_calc!$E$276)))))</f>
        <v/>
      </c>
      <c r="G274" s="47">
        <f>IF(_calc!$E$276="","",IF(LEN(INDEX('Checks'!$N$4:$N$503,_calc!$E$276))=0,"",INDEX('Checks'!$N$4:$N$503,_calc!$E$276)))</f>
        <v/>
      </c>
      <c r="K274" s="47">
        <f>IF(_calc!$E$276="","",IF(LEN(INDEX('Checks'!$M$4:$M$503,_calc!$E$276))=0,"",INDEX('Checks'!$M$4:$M$503,_calc!$E$276)))</f>
        <v/>
      </c>
    </row>
    <row r="275">
      <c r="A275" s="47">
        <f>IF(_calc!$E$277="","",IF(LEN(INDEX('Checks'!$B$4:$B$503,_calc!$E$277))=0,"",INDEX('Checks'!$B$4:$B$503,_calc!$E$277))&amp;" – "&amp;IF(LEN(INDEX('Checks'!$A$4:$A$503,_calc!$E$277))=0,"",INDEX('Checks'!$A$4:$A$503,_calc!$E$277)))</f>
        <v/>
      </c>
      <c r="B275" s="47">
        <f>IF(_calc!$E$277="","",IF(ISNUMBER(INDEX('Checks'!$D$4:$D$503,_calc!$E$277)),TEXT(INDEX('Checks'!$D$4:$D$503,_calc!$E$277),"yyyy-mm-dd"),""))</f>
        <v/>
      </c>
      <c r="C275" s="47">
        <f>IF(_calc!$E$277="","",IF(LEN(INDEX('Checks'!$B$4:$B$503,_calc!$E$277))=0,"",INDEX('Checks'!$B$4:$B$503,_calc!$E$277)))</f>
        <v/>
      </c>
      <c r="D275" s="47">
        <f>IF(_calc!$E$277="","",IF(ISNUMBER(INDEX('Checks'!$C$4:$C$503,_calc!$E$277)),TEXT(INDEX('Checks'!$C$4:$C$503,_calc!$E$277),"yyyy-mm-dd"),""))</f>
        <v/>
      </c>
      <c r="E275" s="47">
        <f>IF(_calc!$E$277="","",IF(LEN(INDEX('Checks'!$L$4:$L$503,_calc!$E$277))=0,"",INDEX('Checks'!$L$4:$L$503,_calc!$E$277)))</f>
        <v/>
      </c>
      <c r="F275" s="47">
        <f>IF(_calc!$E$277="","",TRIM(IF(LEN(IF(LEN(INDEX('Checks'!$I$4:$I$503,_calc!$E$277))=0,"",INDEX('Checks'!$I$4:$I$503,_calc!$E$277)))=0,"","Contractor: "&amp;IF(LEN(INDEX('Checks'!$I$4:$I$503,_calc!$E$277))=0,"",INDEX('Checks'!$I$4:$I$503,_calc!$E$277))&amp;". ")&amp;IF(LEN(IF(LEN(INDEX('Checks'!$J$4:$J$503,_calc!$E$277))=0,"",INDEX('Checks'!$J$4:$J$503,_calc!$E$277)))=0,"","Ref: "&amp;IF(LEN(INDEX('Checks'!$J$4:$J$503,_calc!$E$277))=0,"",INDEX('Checks'!$J$4:$J$503,_calc!$E$277))&amp;". ")&amp;IF(LEN(IF(ISNUMBER(INDEX('Checks'!$K$4:$K$503,_calc!$E$277)),TEXT(INDEX('Checks'!$K$4:$K$503,_calc!$E$277),"yyyy-mm-dd"),""))=0,"","Copy to tenant: "&amp;IF(ISNUMBER(INDEX('Checks'!$K$4:$K$503,_calc!$E$277)),TEXT(INDEX('Checks'!$K$4:$K$503,_calc!$E$277),"yyyy-mm-dd"),"")&amp;". ")&amp;IF(LEN(IF(LEN(INDEX('Checks'!$P$4:$P$503,_calc!$E$277))=0,"",INDEX('Checks'!$P$4:$P$503,_calc!$E$277)))=0,"",IF(LEN(INDEX('Checks'!$P$4:$P$503,_calc!$E$277))=0,"",INDEX('Checks'!$P$4:$P$503,_calc!$E$277)))))</f>
        <v/>
      </c>
      <c r="G275" s="47">
        <f>IF(_calc!$E$277="","",IF(LEN(INDEX('Checks'!$N$4:$N$503,_calc!$E$277))=0,"",INDEX('Checks'!$N$4:$N$503,_calc!$E$277)))</f>
        <v/>
      </c>
      <c r="K275" s="47">
        <f>IF(_calc!$E$277="","",IF(LEN(INDEX('Checks'!$M$4:$M$503,_calc!$E$277))=0,"",INDEX('Checks'!$M$4:$M$503,_calc!$E$277)))</f>
        <v/>
      </c>
    </row>
    <row r="276">
      <c r="A276" s="47">
        <f>IF(_calc!$E$278="","",IF(LEN(INDEX('Checks'!$B$4:$B$503,_calc!$E$278))=0,"",INDEX('Checks'!$B$4:$B$503,_calc!$E$278))&amp;" – "&amp;IF(LEN(INDEX('Checks'!$A$4:$A$503,_calc!$E$278))=0,"",INDEX('Checks'!$A$4:$A$503,_calc!$E$278)))</f>
        <v/>
      </c>
      <c r="B276" s="47">
        <f>IF(_calc!$E$278="","",IF(ISNUMBER(INDEX('Checks'!$D$4:$D$503,_calc!$E$278)),TEXT(INDEX('Checks'!$D$4:$D$503,_calc!$E$278),"yyyy-mm-dd"),""))</f>
        <v/>
      </c>
      <c r="C276" s="47">
        <f>IF(_calc!$E$278="","",IF(LEN(INDEX('Checks'!$B$4:$B$503,_calc!$E$278))=0,"",INDEX('Checks'!$B$4:$B$503,_calc!$E$278)))</f>
        <v/>
      </c>
      <c r="D276" s="47">
        <f>IF(_calc!$E$278="","",IF(ISNUMBER(INDEX('Checks'!$C$4:$C$503,_calc!$E$278)),TEXT(INDEX('Checks'!$C$4:$C$503,_calc!$E$278),"yyyy-mm-dd"),""))</f>
        <v/>
      </c>
      <c r="E276" s="47">
        <f>IF(_calc!$E$278="","",IF(LEN(INDEX('Checks'!$L$4:$L$503,_calc!$E$278))=0,"",INDEX('Checks'!$L$4:$L$503,_calc!$E$278)))</f>
        <v/>
      </c>
      <c r="F276" s="47">
        <f>IF(_calc!$E$278="","",TRIM(IF(LEN(IF(LEN(INDEX('Checks'!$I$4:$I$503,_calc!$E$278))=0,"",INDEX('Checks'!$I$4:$I$503,_calc!$E$278)))=0,"","Contractor: "&amp;IF(LEN(INDEX('Checks'!$I$4:$I$503,_calc!$E$278))=0,"",INDEX('Checks'!$I$4:$I$503,_calc!$E$278))&amp;". ")&amp;IF(LEN(IF(LEN(INDEX('Checks'!$J$4:$J$503,_calc!$E$278))=0,"",INDEX('Checks'!$J$4:$J$503,_calc!$E$278)))=0,"","Ref: "&amp;IF(LEN(INDEX('Checks'!$J$4:$J$503,_calc!$E$278))=0,"",INDEX('Checks'!$J$4:$J$503,_calc!$E$278))&amp;". ")&amp;IF(LEN(IF(ISNUMBER(INDEX('Checks'!$K$4:$K$503,_calc!$E$278)),TEXT(INDEX('Checks'!$K$4:$K$503,_calc!$E$278),"yyyy-mm-dd"),""))=0,"","Copy to tenant: "&amp;IF(ISNUMBER(INDEX('Checks'!$K$4:$K$503,_calc!$E$278)),TEXT(INDEX('Checks'!$K$4:$K$503,_calc!$E$278),"yyyy-mm-dd"),"")&amp;". ")&amp;IF(LEN(IF(LEN(INDEX('Checks'!$P$4:$P$503,_calc!$E$278))=0,"",INDEX('Checks'!$P$4:$P$503,_calc!$E$278)))=0,"",IF(LEN(INDEX('Checks'!$P$4:$P$503,_calc!$E$278))=0,"",INDEX('Checks'!$P$4:$P$503,_calc!$E$278)))))</f>
        <v/>
      </c>
      <c r="G276" s="47">
        <f>IF(_calc!$E$278="","",IF(LEN(INDEX('Checks'!$N$4:$N$503,_calc!$E$278))=0,"",INDEX('Checks'!$N$4:$N$503,_calc!$E$278)))</f>
        <v/>
      </c>
      <c r="K276" s="47">
        <f>IF(_calc!$E$278="","",IF(LEN(INDEX('Checks'!$M$4:$M$503,_calc!$E$278))=0,"",INDEX('Checks'!$M$4:$M$503,_calc!$E$278)))</f>
        <v/>
      </c>
    </row>
    <row r="277">
      <c r="A277" s="47">
        <f>IF(_calc!$E$279="","",IF(LEN(INDEX('Checks'!$B$4:$B$503,_calc!$E$279))=0,"",INDEX('Checks'!$B$4:$B$503,_calc!$E$279))&amp;" – "&amp;IF(LEN(INDEX('Checks'!$A$4:$A$503,_calc!$E$279))=0,"",INDEX('Checks'!$A$4:$A$503,_calc!$E$279)))</f>
        <v/>
      </c>
      <c r="B277" s="47">
        <f>IF(_calc!$E$279="","",IF(ISNUMBER(INDEX('Checks'!$D$4:$D$503,_calc!$E$279)),TEXT(INDEX('Checks'!$D$4:$D$503,_calc!$E$279),"yyyy-mm-dd"),""))</f>
        <v/>
      </c>
      <c r="C277" s="47">
        <f>IF(_calc!$E$279="","",IF(LEN(INDEX('Checks'!$B$4:$B$503,_calc!$E$279))=0,"",INDEX('Checks'!$B$4:$B$503,_calc!$E$279)))</f>
        <v/>
      </c>
      <c r="D277" s="47">
        <f>IF(_calc!$E$279="","",IF(ISNUMBER(INDEX('Checks'!$C$4:$C$503,_calc!$E$279)),TEXT(INDEX('Checks'!$C$4:$C$503,_calc!$E$279),"yyyy-mm-dd"),""))</f>
        <v/>
      </c>
      <c r="E277" s="47">
        <f>IF(_calc!$E$279="","",IF(LEN(INDEX('Checks'!$L$4:$L$503,_calc!$E$279))=0,"",INDEX('Checks'!$L$4:$L$503,_calc!$E$279)))</f>
        <v/>
      </c>
      <c r="F277" s="47">
        <f>IF(_calc!$E$279="","",TRIM(IF(LEN(IF(LEN(INDEX('Checks'!$I$4:$I$503,_calc!$E$279))=0,"",INDEX('Checks'!$I$4:$I$503,_calc!$E$279)))=0,"","Contractor: "&amp;IF(LEN(INDEX('Checks'!$I$4:$I$503,_calc!$E$279))=0,"",INDEX('Checks'!$I$4:$I$503,_calc!$E$279))&amp;". ")&amp;IF(LEN(IF(LEN(INDEX('Checks'!$J$4:$J$503,_calc!$E$279))=0,"",INDEX('Checks'!$J$4:$J$503,_calc!$E$279)))=0,"","Ref: "&amp;IF(LEN(INDEX('Checks'!$J$4:$J$503,_calc!$E$279))=0,"",INDEX('Checks'!$J$4:$J$503,_calc!$E$279))&amp;". ")&amp;IF(LEN(IF(ISNUMBER(INDEX('Checks'!$K$4:$K$503,_calc!$E$279)),TEXT(INDEX('Checks'!$K$4:$K$503,_calc!$E$279),"yyyy-mm-dd"),""))=0,"","Copy to tenant: "&amp;IF(ISNUMBER(INDEX('Checks'!$K$4:$K$503,_calc!$E$279)),TEXT(INDEX('Checks'!$K$4:$K$503,_calc!$E$279),"yyyy-mm-dd"),"")&amp;". ")&amp;IF(LEN(IF(LEN(INDEX('Checks'!$P$4:$P$503,_calc!$E$279))=0,"",INDEX('Checks'!$P$4:$P$503,_calc!$E$279)))=0,"",IF(LEN(INDEX('Checks'!$P$4:$P$503,_calc!$E$279))=0,"",INDEX('Checks'!$P$4:$P$503,_calc!$E$279)))))</f>
        <v/>
      </c>
      <c r="G277" s="47">
        <f>IF(_calc!$E$279="","",IF(LEN(INDEX('Checks'!$N$4:$N$503,_calc!$E$279))=0,"",INDEX('Checks'!$N$4:$N$503,_calc!$E$279)))</f>
        <v/>
      </c>
      <c r="K277" s="47">
        <f>IF(_calc!$E$279="","",IF(LEN(INDEX('Checks'!$M$4:$M$503,_calc!$E$279))=0,"",INDEX('Checks'!$M$4:$M$503,_calc!$E$279)))</f>
        <v/>
      </c>
    </row>
    <row r="278">
      <c r="A278" s="47">
        <f>IF(_calc!$E$280="","",IF(LEN(INDEX('Checks'!$B$4:$B$503,_calc!$E$280))=0,"",INDEX('Checks'!$B$4:$B$503,_calc!$E$280))&amp;" – "&amp;IF(LEN(INDEX('Checks'!$A$4:$A$503,_calc!$E$280))=0,"",INDEX('Checks'!$A$4:$A$503,_calc!$E$280)))</f>
        <v/>
      </c>
      <c r="B278" s="47">
        <f>IF(_calc!$E$280="","",IF(ISNUMBER(INDEX('Checks'!$D$4:$D$503,_calc!$E$280)),TEXT(INDEX('Checks'!$D$4:$D$503,_calc!$E$280),"yyyy-mm-dd"),""))</f>
        <v/>
      </c>
      <c r="C278" s="47">
        <f>IF(_calc!$E$280="","",IF(LEN(INDEX('Checks'!$B$4:$B$503,_calc!$E$280))=0,"",INDEX('Checks'!$B$4:$B$503,_calc!$E$280)))</f>
        <v/>
      </c>
      <c r="D278" s="47">
        <f>IF(_calc!$E$280="","",IF(ISNUMBER(INDEX('Checks'!$C$4:$C$503,_calc!$E$280)),TEXT(INDEX('Checks'!$C$4:$C$503,_calc!$E$280),"yyyy-mm-dd"),""))</f>
        <v/>
      </c>
      <c r="E278" s="47">
        <f>IF(_calc!$E$280="","",IF(LEN(INDEX('Checks'!$L$4:$L$503,_calc!$E$280))=0,"",INDEX('Checks'!$L$4:$L$503,_calc!$E$280)))</f>
        <v/>
      </c>
      <c r="F278" s="47">
        <f>IF(_calc!$E$280="","",TRIM(IF(LEN(IF(LEN(INDEX('Checks'!$I$4:$I$503,_calc!$E$280))=0,"",INDEX('Checks'!$I$4:$I$503,_calc!$E$280)))=0,"","Contractor: "&amp;IF(LEN(INDEX('Checks'!$I$4:$I$503,_calc!$E$280))=0,"",INDEX('Checks'!$I$4:$I$503,_calc!$E$280))&amp;". ")&amp;IF(LEN(IF(LEN(INDEX('Checks'!$J$4:$J$503,_calc!$E$280))=0,"",INDEX('Checks'!$J$4:$J$503,_calc!$E$280)))=0,"","Ref: "&amp;IF(LEN(INDEX('Checks'!$J$4:$J$503,_calc!$E$280))=0,"",INDEX('Checks'!$J$4:$J$503,_calc!$E$280))&amp;". ")&amp;IF(LEN(IF(ISNUMBER(INDEX('Checks'!$K$4:$K$503,_calc!$E$280)),TEXT(INDEX('Checks'!$K$4:$K$503,_calc!$E$280),"yyyy-mm-dd"),""))=0,"","Copy to tenant: "&amp;IF(ISNUMBER(INDEX('Checks'!$K$4:$K$503,_calc!$E$280)),TEXT(INDEX('Checks'!$K$4:$K$503,_calc!$E$280),"yyyy-mm-dd"),"")&amp;". ")&amp;IF(LEN(IF(LEN(INDEX('Checks'!$P$4:$P$503,_calc!$E$280))=0,"",INDEX('Checks'!$P$4:$P$503,_calc!$E$280)))=0,"",IF(LEN(INDEX('Checks'!$P$4:$P$503,_calc!$E$280))=0,"",INDEX('Checks'!$P$4:$P$503,_calc!$E$280)))))</f>
        <v/>
      </c>
      <c r="G278" s="47">
        <f>IF(_calc!$E$280="","",IF(LEN(INDEX('Checks'!$N$4:$N$503,_calc!$E$280))=0,"",INDEX('Checks'!$N$4:$N$503,_calc!$E$280)))</f>
        <v/>
      </c>
      <c r="K278" s="47">
        <f>IF(_calc!$E$280="","",IF(LEN(INDEX('Checks'!$M$4:$M$503,_calc!$E$280))=0,"",INDEX('Checks'!$M$4:$M$503,_calc!$E$280)))</f>
        <v/>
      </c>
    </row>
    <row r="279">
      <c r="A279" s="47">
        <f>IF(_calc!$E$281="","",IF(LEN(INDEX('Checks'!$B$4:$B$503,_calc!$E$281))=0,"",INDEX('Checks'!$B$4:$B$503,_calc!$E$281))&amp;" – "&amp;IF(LEN(INDEX('Checks'!$A$4:$A$503,_calc!$E$281))=0,"",INDEX('Checks'!$A$4:$A$503,_calc!$E$281)))</f>
        <v/>
      </c>
      <c r="B279" s="47">
        <f>IF(_calc!$E$281="","",IF(ISNUMBER(INDEX('Checks'!$D$4:$D$503,_calc!$E$281)),TEXT(INDEX('Checks'!$D$4:$D$503,_calc!$E$281),"yyyy-mm-dd"),""))</f>
        <v/>
      </c>
      <c r="C279" s="47">
        <f>IF(_calc!$E$281="","",IF(LEN(INDEX('Checks'!$B$4:$B$503,_calc!$E$281))=0,"",INDEX('Checks'!$B$4:$B$503,_calc!$E$281)))</f>
        <v/>
      </c>
      <c r="D279" s="47">
        <f>IF(_calc!$E$281="","",IF(ISNUMBER(INDEX('Checks'!$C$4:$C$503,_calc!$E$281)),TEXT(INDEX('Checks'!$C$4:$C$503,_calc!$E$281),"yyyy-mm-dd"),""))</f>
        <v/>
      </c>
      <c r="E279" s="47">
        <f>IF(_calc!$E$281="","",IF(LEN(INDEX('Checks'!$L$4:$L$503,_calc!$E$281))=0,"",INDEX('Checks'!$L$4:$L$503,_calc!$E$281)))</f>
        <v/>
      </c>
      <c r="F279" s="47">
        <f>IF(_calc!$E$281="","",TRIM(IF(LEN(IF(LEN(INDEX('Checks'!$I$4:$I$503,_calc!$E$281))=0,"",INDEX('Checks'!$I$4:$I$503,_calc!$E$281)))=0,"","Contractor: "&amp;IF(LEN(INDEX('Checks'!$I$4:$I$503,_calc!$E$281))=0,"",INDEX('Checks'!$I$4:$I$503,_calc!$E$281))&amp;". ")&amp;IF(LEN(IF(LEN(INDEX('Checks'!$J$4:$J$503,_calc!$E$281))=0,"",INDEX('Checks'!$J$4:$J$503,_calc!$E$281)))=0,"","Ref: "&amp;IF(LEN(INDEX('Checks'!$J$4:$J$503,_calc!$E$281))=0,"",INDEX('Checks'!$J$4:$J$503,_calc!$E$281))&amp;". ")&amp;IF(LEN(IF(ISNUMBER(INDEX('Checks'!$K$4:$K$503,_calc!$E$281)),TEXT(INDEX('Checks'!$K$4:$K$503,_calc!$E$281),"yyyy-mm-dd"),""))=0,"","Copy to tenant: "&amp;IF(ISNUMBER(INDEX('Checks'!$K$4:$K$503,_calc!$E$281)),TEXT(INDEX('Checks'!$K$4:$K$503,_calc!$E$281),"yyyy-mm-dd"),"")&amp;". ")&amp;IF(LEN(IF(LEN(INDEX('Checks'!$P$4:$P$503,_calc!$E$281))=0,"",INDEX('Checks'!$P$4:$P$503,_calc!$E$281)))=0,"",IF(LEN(INDEX('Checks'!$P$4:$P$503,_calc!$E$281))=0,"",INDEX('Checks'!$P$4:$P$503,_calc!$E$281)))))</f>
        <v/>
      </c>
      <c r="G279" s="47">
        <f>IF(_calc!$E$281="","",IF(LEN(INDEX('Checks'!$N$4:$N$503,_calc!$E$281))=0,"",INDEX('Checks'!$N$4:$N$503,_calc!$E$281)))</f>
        <v/>
      </c>
      <c r="K279" s="47">
        <f>IF(_calc!$E$281="","",IF(LEN(INDEX('Checks'!$M$4:$M$503,_calc!$E$281))=0,"",INDEX('Checks'!$M$4:$M$503,_calc!$E$281)))</f>
        <v/>
      </c>
    </row>
    <row r="280">
      <c r="A280" s="47">
        <f>IF(_calc!$E$282="","",IF(LEN(INDEX('Checks'!$B$4:$B$503,_calc!$E$282))=0,"",INDEX('Checks'!$B$4:$B$503,_calc!$E$282))&amp;" – "&amp;IF(LEN(INDEX('Checks'!$A$4:$A$503,_calc!$E$282))=0,"",INDEX('Checks'!$A$4:$A$503,_calc!$E$282)))</f>
        <v/>
      </c>
      <c r="B280" s="47">
        <f>IF(_calc!$E$282="","",IF(ISNUMBER(INDEX('Checks'!$D$4:$D$503,_calc!$E$282)),TEXT(INDEX('Checks'!$D$4:$D$503,_calc!$E$282),"yyyy-mm-dd"),""))</f>
        <v/>
      </c>
      <c r="C280" s="47">
        <f>IF(_calc!$E$282="","",IF(LEN(INDEX('Checks'!$B$4:$B$503,_calc!$E$282))=0,"",INDEX('Checks'!$B$4:$B$503,_calc!$E$282)))</f>
        <v/>
      </c>
      <c r="D280" s="47">
        <f>IF(_calc!$E$282="","",IF(ISNUMBER(INDEX('Checks'!$C$4:$C$503,_calc!$E$282)),TEXT(INDEX('Checks'!$C$4:$C$503,_calc!$E$282),"yyyy-mm-dd"),""))</f>
        <v/>
      </c>
      <c r="E280" s="47">
        <f>IF(_calc!$E$282="","",IF(LEN(INDEX('Checks'!$L$4:$L$503,_calc!$E$282))=0,"",INDEX('Checks'!$L$4:$L$503,_calc!$E$282)))</f>
        <v/>
      </c>
      <c r="F280" s="47">
        <f>IF(_calc!$E$282="","",TRIM(IF(LEN(IF(LEN(INDEX('Checks'!$I$4:$I$503,_calc!$E$282))=0,"",INDEX('Checks'!$I$4:$I$503,_calc!$E$282)))=0,"","Contractor: "&amp;IF(LEN(INDEX('Checks'!$I$4:$I$503,_calc!$E$282))=0,"",INDEX('Checks'!$I$4:$I$503,_calc!$E$282))&amp;". ")&amp;IF(LEN(IF(LEN(INDEX('Checks'!$J$4:$J$503,_calc!$E$282))=0,"",INDEX('Checks'!$J$4:$J$503,_calc!$E$282)))=0,"","Ref: "&amp;IF(LEN(INDEX('Checks'!$J$4:$J$503,_calc!$E$282))=0,"",INDEX('Checks'!$J$4:$J$503,_calc!$E$282))&amp;". ")&amp;IF(LEN(IF(ISNUMBER(INDEX('Checks'!$K$4:$K$503,_calc!$E$282)),TEXT(INDEX('Checks'!$K$4:$K$503,_calc!$E$282),"yyyy-mm-dd"),""))=0,"","Copy to tenant: "&amp;IF(ISNUMBER(INDEX('Checks'!$K$4:$K$503,_calc!$E$282)),TEXT(INDEX('Checks'!$K$4:$K$503,_calc!$E$282),"yyyy-mm-dd"),"")&amp;". ")&amp;IF(LEN(IF(LEN(INDEX('Checks'!$P$4:$P$503,_calc!$E$282))=0,"",INDEX('Checks'!$P$4:$P$503,_calc!$E$282)))=0,"",IF(LEN(INDEX('Checks'!$P$4:$P$503,_calc!$E$282))=0,"",INDEX('Checks'!$P$4:$P$503,_calc!$E$282)))))</f>
        <v/>
      </c>
      <c r="G280" s="47">
        <f>IF(_calc!$E$282="","",IF(LEN(INDEX('Checks'!$N$4:$N$503,_calc!$E$282))=0,"",INDEX('Checks'!$N$4:$N$503,_calc!$E$282)))</f>
        <v/>
      </c>
      <c r="K280" s="47">
        <f>IF(_calc!$E$282="","",IF(LEN(INDEX('Checks'!$M$4:$M$503,_calc!$E$282))=0,"",INDEX('Checks'!$M$4:$M$503,_calc!$E$282)))</f>
        <v/>
      </c>
    </row>
    <row r="281">
      <c r="A281" s="47">
        <f>IF(_calc!$E$283="","",IF(LEN(INDEX('Checks'!$B$4:$B$503,_calc!$E$283))=0,"",INDEX('Checks'!$B$4:$B$503,_calc!$E$283))&amp;" – "&amp;IF(LEN(INDEX('Checks'!$A$4:$A$503,_calc!$E$283))=0,"",INDEX('Checks'!$A$4:$A$503,_calc!$E$283)))</f>
        <v/>
      </c>
      <c r="B281" s="47">
        <f>IF(_calc!$E$283="","",IF(ISNUMBER(INDEX('Checks'!$D$4:$D$503,_calc!$E$283)),TEXT(INDEX('Checks'!$D$4:$D$503,_calc!$E$283),"yyyy-mm-dd"),""))</f>
        <v/>
      </c>
      <c r="C281" s="47">
        <f>IF(_calc!$E$283="","",IF(LEN(INDEX('Checks'!$B$4:$B$503,_calc!$E$283))=0,"",INDEX('Checks'!$B$4:$B$503,_calc!$E$283)))</f>
        <v/>
      </c>
      <c r="D281" s="47">
        <f>IF(_calc!$E$283="","",IF(ISNUMBER(INDEX('Checks'!$C$4:$C$503,_calc!$E$283)),TEXT(INDEX('Checks'!$C$4:$C$503,_calc!$E$283),"yyyy-mm-dd"),""))</f>
        <v/>
      </c>
      <c r="E281" s="47">
        <f>IF(_calc!$E$283="","",IF(LEN(INDEX('Checks'!$L$4:$L$503,_calc!$E$283))=0,"",INDEX('Checks'!$L$4:$L$503,_calc!$E$283)))</f>
        <v/>
      </c>
      <c r="F281" s="47">
        <f>IF(_calc!$E$283="","",TRIM(IF(LEN(IF(LEN(INDEX('Checks'!$I$4:$I$503,_calc!$E$283))=0,"",INDEX('Checks'!$I$4:$I$503,_calc!$E$283)))=0,"","Contractor: "&amp;IF(LEN(INDEX('Checks'!$I$4:$I$503,_calc!$E$283))=0,"",INDEX('Checks'!$I$4:$I$503,_calc!$E$283))&amp;". ")&amp;IF(LEN(IF(LEN(INDEX('Checks'!$J$4:$J$503,_calc!$E$283))=0,"",INDEX('Checks'!$J$4:$J$503,_calc!$E$283)))=0,"","Ref: "&amp;IF(LEN(INDEX('Checks'!$J$4:$J$503,_calc!$E$283))=0,"",INDEX('Checks'!$J$4:$J$503,_calc!$E$283))&amp;". ")&amp;IF(LEN(IF(ISNUMBER(INDEX('Checks'!$K$4:$K$503,_calc!$E$283)),TEXT(INDEX('Checks'!$K$4:$K$503,_calc!$E$283),"yyyy-mm-dd"),""))=0,"","Copy to tenant: "&amp;IF(ISNUMBER(INDEX('Checks'!$K$4:$K$503,_calc!$E$283)),TEXT(INDEX('Checks'!$K$4:$K$503,_calc!$E$283),"yyyy-mm-dd"),"")&amp;". ")&amp;IF(LEN(IF(LEN(INDEX('Checks'!$P$4:$P$503,_calc!$E$283))=0,"",INDEX('Checks'!$P$4:$P$503,_calc!$E$283)))=0,"",IF(LEN(INDEX('Checks'!$P$4:$P$503,_calc!$E$283))=0,"",INDEX('Checks'!$P$4:$P$503,_calc!$E$283)))))</f>
        <v/>
      </c>
      <c r="G281" s="47">
        <f>IF(_calc!$E$283="","",IF(LEN(INDEX('Checks'!$N$4:$N$503,_calc!$E$283))=0,"",INDEX('Checks'!$N$4:$N$503,_calc!$E$283)))</f>
        <v/>
      </c>
      <c r="K281" s="47">
        <f>IF(_calc!$E$283="","",IF(LEN(INDEX('Checks'!$M$4:$M$503,_calc!$E$283))=0,"",INDEX('Checks'!$M$4:$M$503,_calc!$E$283)))</f>
        <v/>
      </c>
    </row>
    <row r="282">
      <c r="A282" s="47">
        <f>IF(_calc!$E$284="","",IF(LEN(INDEX('Checks'!$B$4:$B$503,_calc!$E$284))=0,"",INDEX('Checks'!$B$4:$B$503,_calc!$E$284))&amp;" – "&amp;IF(LEN(INDEX('Checks'!$A$4:$A$503,_calc!$E$284))=0,"",INDEX('Checks'!$A$4:$A$503,_calc!$E$284)))</f>
        <v/>
      </c>
      <c r="B282" s="47">
        <f>IF(_calc!$E$284="","",IF(ISNUMBER(INDEX('Checks'!$D$4:$D$503,_calc!$E$284)),TEXT(INDEX('Checks'!$D$4:$D$503,_calc!$E$284),"yyyy-mm-dd"),""))</f>
        <v/>
      </c>
      <c r="C282" s="47">
        <f>IF(_calc!$E$284="","",IF(LEN(INDEX('Checks'!$B$4:$B$503,_calc!$E$284))=0,"",INDEX('Checks'!$B$4:$B$503,_calc!$E$284)))</f>
        <v/>
      </c>
      <c r="D282" s="47">
        <f>IF(_calc!$E$284="","",IF(ISNUMBER(INDEX('Checks'!$C$4:$C$503,_calc!$E$284)),TEXT(INDEX('Checks'!$C$4:$C$503,_calc!$E$284),"yyyy-mm-dd"),""))</f>
        <v/>
      </c>
      <c r="E282" s="47">
        <f>IF(_calc!$E$284="","",IF(LEN(INDEX('Checks'!$L$4:$L$503,_calc!$E$284))=0,"",INDEX('Checks'!$L$4:$L$503,_calc!$E$284)))</f>
        <v/>
      </c>
      <c r="F282" s="47">
        <f>IF(_calc!$E$284="","",TRIM(IF(LEN(IF(LEN(INDEX('Checks'!$I$4:$I$503,_calc!$E$284))=0,"",INDEX('Checks'!$I$4:$I$503,_calc!$E$284)))=0,"","Contractor: "&amp;IF(LEN(INDEX('Checks'!$I$4:$I$503,_calc!$E$284))=0,"",INDEX('Checks'!$I$4:$I$503,_calc!$E$284))&amp;". ")&amp;IF(LEN(IF(LEN(INDEX('Checks'!$J$4:$J$503,_calc!$E$284))=0,"",INDEX('Checks'!$J$4:$J$503,_calc!$E$284)))=0,"","Ref: "&amp;IF(LEN(INDEX('Checks'!$J$4:$J$503,_calc!$E$284))=0,"",INDEX('Checks'!$J$4:$J$503,_calc!$E$284))&amp;". ")&amp;IF(LEN(IF(ISNUMBER(INDEX('Checks'!$K$4:$K$503,_calc!$E$284)),TEXT(INDEX('Checks'!$K$4:$K$503,_calc!$E$284),"yyyy-mm-dd"),""))=0,"","Copy to tenant: "&amp;IF(ISNUMBER(INDEX('Checks'!$K$4:$K$503,_calc!$E$284)),TEXT(INDEX('Checks'!$K$4:$K$503,_calc!$E$284),"yyyy-mm-dd"),"")&amp;". ")&amp;IF(LEN(IF(LEN(INDEX('Checks'!$P$4:$P$503,_calc!$E$284))=0,"",INDEX('Checks'!$P$4:$P$503,_calc!$E$284)))=0,"",IF(LEN(INDEX('Checks'!$P$4:$P$503,_calc!$E$284))=0,"",INDEX('Checks'!$P$4:$P$503,_calc!$E$284)))))</f>
        <v/>
      </c>
      <c r="G282" s="47">
        <f>IF(_calc!$E$284="","",IF(LEN(INDEX('Checks'!$N$4:$N$503,_calc!$E$284))=0,"",INDEX('Checks'!$N$4:$N$503,_calc!$E$284)))</f>
        <v/>
      </c>
      <c r="K282" s="47">
        <f>IF(_calc!$E$284="","",IF(LEN(INDEX('Checks'!$M$4:$M$503,_calc!$E$284))=0,"",INDEX('Checks'!$M$4:$M$503,_calc!$E$284)))</f>
        <v/>
      </c>
    </row>
    <row r="283">
      <c r="A283" s="47">
        <f>IF(_calc!$E$285="","",IF(LEN(INDEX('Checks'!$B$4:$B$503,_calc!$E$285))=0,"",INDEX('Checks'!$B$4:$B$503,_calc!$E$285))&amp;" – "&amp;IF(LEN(INDEX('Checks'!$A$4:$A$503,_calc!$E$285))=0,"",INDEX('Checks'!$A$4:$A$503,_calc!$E$285)))</f>
        <v/>
      </c>
      <c r="B283" s="47">
        <f>IF(_calc!$E$285="","",IF(ISNUMBER(INDEX('Checks'!$D$4:$D$503,_calc!$E$285)),TEXT(INDEX('Checks'!$D$4:$D$503,_calc!$E$285),"yyyy-mm-dd"),""))</f>
        <v/>
      </c>
      <c r="C283" s="47">
        <f>IF(_calc!$E$285="","",IF(LEN(INDEX('Checks'!$B$4:$B$503,_calc!$E$285))=0,"",INDEX('Checks'!$B$4:$B$503,_calc!$E$285)))</f>
        <v/>
      </c>
      <c r="D283" s="47">
        <f>IF(_calc!$E$285="","",IF(ISNUMBER(INDEX('Checks'!$C$4:$C$503,_calc!$E$285)),TEXT(INDEX('Checks'!$C$4:$C$503,_calc!$E$285),"yyyy-mm-dd"),""))</f>
        <v/>
      </c>
      <c r="E283" s="47">
        <f>IF(_calc!$E$285="","",IF(LEN(INDEX('Checks'!$L$4:$L$503,_calc!$E$285))=0,"",INDEX('Checks'!$L$4:$L$503,_calc!$E$285)))</f>
        <v/>
      </c>
      <c r="F283" s="47">
        <f>IF(_calc!$E$285="","",TRIM(IF(LEN(IF(LEN(INDEX('Checks'!$I$4:$I$503,_calc!$E$285))=0,"",INDEX('Checks'!$I$4:$I$503,_calc!$E$285)))=0,"","Contractor: "&amp;IF(LEN(INDEX('Checks'!$I$4:$I$503,_calc!$E$285))=0,"",INDEX('Checks'!$I$4:$I$503,_calc!$E$285))&amp;". ")&amp;IF(LEN(IF(LEN(INDEX('Checks'!$J$4:$J$503,_calc!$E$285))=0,"",INDEX('Checks'!$J$4:$J$503,_calc!$E$285)))=0,"","Ref: "&amp;IF(LEN(INDEX('Checks'!$J$4:$J$503,_calc!$E$285))=0,"",INDEX('Checks'!$J$4:$J$503,_calc!$E$285))&amp;". ")&amp;IF(LEN(IF(ISNUMBER(INDEX('Checks'!$K$4:$K$503,_calc!$E$285)),TEXT(INDEX('Checks'!$K$4:$K$503,_calc!$E$285),"yyyy-mm-dd"),""))=0,"","Copy to tenant: "&amp;IF(ISNUMBER(INDEX('Checks'!$K$4:$K$503,_calc!$E$285)),TEXT(INDEX('Checks'!$K$4:$K$503,_calc!$E$285),"yyyy-mm-dd"),"")&amp;". ")&amp;IF(LEN(IF(LEN(INDEX('Checks'!$P$4:$P$503,_calc!$E$285))=0,"",INDEX('Checks'!$P$4:$P$503,_calc!$E$285)))=0,"",IF(LEN(INDEX('Checks'!$P$4:$P$503,_calc!$E$285))=0,"",INDEX('Checks'!$P$4:$P$503,_calc!$E$285)))))</f>
        <v/>
      </c>
      <c r="G283" s="47">
        <f>IF(_calc!$E$285="","",IF(LEN(INDEX('Checks'!$N$4:$N$503,_calc!$E$285))=0,"",INDEX('Checks'!$N$4:$N$503,_calc!$E$285)))</f>
        <v/>
      </c>
      <c r="K283" s="47">
        <f>IF(_calc!$E$285="","",IF(LEN(INDEX('Checks'!$M$4:$M$503,_calc!$E$285))=0,"",INDEX('Checks'!$M$4:$M$503,_calc!$E$285)))</f>
        <v/>
      </c>
    </row>
    <row r="284">
      <c r="A284" s="47">
        <f>IF(_calc!$E$286="","",IF(LEN(INDEX('Checks'!$B$4:$B$503,_calc!$E$286))=0,"",INDEX('Checks'!$B$4:$B$503,_calc!$E$286))&amp;" – "&amp;IF(LEN(INDEX('Checks'!$A$4:$A$503,_calc!$E$286))=0,"",INDEX('Checks'!$A$4:$A$503,_calc!$E$286)))</f>
        <v/>
      </c>
      <c r="B284" s="47">
        <f>IF(_calc!$E$286="","",IF(ISNUMBER(INDEX('Checks'!$D$4:$D$503,_calc!$E$286)),TEXT(INDEX('Checks'!$D$4:$D$503,_calc!$E$286),"yyyy-mm-dd"),""))</f>
        <v/>
      </c>
      <c r="C284" s="47">
        <f>IF(_calc!$E$286="","",IF(LEN(INDEX('Checks'!$B$4:$B$503,_calc!$E$286))=0,"",INDEX('Checks'!$B$4:$B$503,_calc!$E$286)))</f>
        <v/>
      </c>
      <c r="D284" s="47">
        <f>IF(_calc!$E$286="","",IF(ISNUMBER(INDEX('Checks'!$C$4:$C$503,_calc!$E$286)),TEXT(INDEX('Checks'!$C$4:$C$503,_calc!$E$286),"yyyy-mm-dd"),""))</f>
        <v/>
      </c>
      <c r="E284" s="47">
        <f>IF(_calc!$E$286="","",IF(LEN(INDEX('Checks'!$L$4:$L$503,_calc!$E$286))=0,"",INDEX('Checks'!$L$4:$L$503,_calc!$E$286)))</f>
        <v/>
      </c>
      <c r="F284" s="47">
        <f>IF(_calc!$E$286="","",TRIM(IF(LEN(IF(LEN(INDEX('Checks'!$I$4:$I$503,_calc!$E$286))=0,"",INDEX('Checks'!$I$4:$I$503,_calc!$E$286)))=0,"","Contractor: "&amp;IF(LEN(INDEX('Checks'!$I$4:$I$503,_calc!$E$286))=0,"",INDEX('Checks'!$I$4:$I$503,_calc!$E$286))&amp;". ")&amp;IF(LEN(IF(LEN(INDEX('Checks'!$J$4:$J$503,_calc!$E$286))=0,"",INDEX('Checks'!$J$4:$J$503,_calc!$E$286)))=0,"","Ref: "&amp;IF(LEN(INDEX('Checks'!$J$4:$J$503,_calc!$E$286))=0,"",INDEX('Checks'!$J$4:$J$503,_calc!$E$286))&amp;". ")&amp;IF(LEN(IF(ISNUMBER(INDEX('Checks'!$K$4:$K$503,_calc!$E$286)),TEXT(INDEX('Checks'!$K$4:$K$503,_calc!$E$286),"yyyy-mm-dd"),""))=0,"","Copy to tenant: "&amp;IF(ISNUMBER(INDEX('Checks'!$K$4:$K$503,_calc!$E$286)),TEXT(INDEX('Checks'!$K$4:$K$503,_calc!$E$286),"yyyy-mm-dd"),"")&amp;". ")&amp;IF(LEN(IF(LEN(INDEX('Checks'!$P$4:$P$503,_calc!$E$286))=0,"",INDEX('Checks'!$P$4:$P$503,_calc!$E$286)))=0,"",IF(LEN(INDEX('Checks'!$P$4:$P$503,_calc!$E$286))=0,"",INDEX('Checks'!$P$4:$P$503,_calc!$E$286)))))</f>
        <v/>
      </c>
      <c r="G284" s="47">
        <f>IF(_calc!$E$286="","",IF(LEN(INDEX('Checks'!$N$4:$N$503,_calc!$E$286))=0,"",INDEX('Checks'!$N$4:$N$503,_calc!$E$286)))</f>
        <v/>
      </c>
      <c r="K284" s="47">
        <f>IF(_calc!$E$286="","",IF(LEN(INDEX('Checks'!$M$4:$M$503,_calc!$E$286))=0,"",INDEX('Checks'!$M$4:$M$503,_calc!$E$286)))</f>
        <v/>
      </c>
    </row>
    <row r="285">
      <c r="A285" s="47">
        <f>IF(_calc!$E$287="","",IF(LEN(INDEX('Checks'!$B$4:$B$503,_calc!$E$287))=0,"",INDEX('Checks'!$B$4:$B$503,_calc!$E$287))&amp;" – "&amp;IF(LEN(INDEX('Checks'!$A$4:$A$503,_calc!$E$287))=0,"",INDEX('Checks'!$A$4:$A$503,_calc!$E$287)))</f>
        <v/>
      </c>
      <c r="B285" s="47">
        <f>IF(_calc!$E$287="","",IF(ISNUMBER(INDEX('Checks'!$D$4:$D$503,_calc!$E$287)),TEXT(INDEX('Checks'!$D$4:$D$503,_calc!$E$287),"yyyy-mm-dd"),""))</f>
        <v/>
      </c>
      <c r="C285" s="47">
        <f>IF(_calc!$E$287="","",IF(LEN(INDEX('Checks'!$B$4:$B$503,_calc!$E$287))=0,"",INDEX('Checks'!$B$4:$B$503,_calc!$E$287)))</f>
        <v/>
      </c>
      <c r="D285" s="47">
        <f>IF(_calc!$E$287="","",IF(ISNUMBER(INDEX('Checks'!$C$4:$C$503,_calc!$E$287)),TEXT(INDEX('Checks'!$C$4:$C$503,_calc!$E$287),"yyyy-mm-dd"),""))</f>
        <v/>
      </c>
      <c r="E285" s="47">
        <f>IF(_calc!$E$287="","",IF(LEN(INDEX('Checks'!$L$4:$L$503,_calc!$E$287))=0,"",INDEX('Checks'!$L$4:$L$503,_calc!$E$287)))</f>
        <v/>
      </c>
      <c r="F285" s="47">
        <f>IF(_calc!$E$287="","",TRIM(IF(LEN(IF(LEN(INDEX('Checks'!$I$4:$I$503,_calc!$E$287))=0,"",INDEX('Checks'!$I$4:$I$503,_calc!$E$287)))=0,"","Contractor: "&amp;IF(LEN(INDEX('Checks'!$I$4:$I$503,_calc!$E$287))=0,"",INDEX('Checks'!$I$4:$I$503,_calc!$E$287))&amp;". ")&amp;IF(LEN(IF(LEN(INDEX('Checks'!$J$4:$J$503,_calc!$E$287))=0,"",INDEX('Checks'!$J$4:$J$503,_calc!$E$287)))=0,"","Ref: "&amp;IF(LEN(INDEX('Checks'!$J$4:$J$503,_calc!$E$287))=0,"",INDEX('Checks'!$J$4:$J$503,_calc!$E$287))&amp;". ")&amp;IF(LEN(IF(ISNUMBER(INDEX('Checks'!$K$4:$K$503,_calc!$E$287)),TEXT(INDEX('Checks'!$K$4:$K$503,_calc!$E$287),"yyyy-mm-dd"),""))=0,"","Copy to tenant: "&amp;IF(ISNUMBER(INDEX('Checks'!$K$4:$K$503,_calc!$E$287)),TEXT(INDEX('Checks'!$K$4:$K$503,_calc!$E$287),"yyyy-mm-dd"),"")&amp;". ")&amp;IF(LEN(IF(LEN(INDEX('Checks'!$P$4:$P$503,_calc!$E$287))=0,"",INDEX('Checks'!$P$4:$P$503,_calc!$E$287)))=0,"",IF(LEN(INDEX('Checks'!$P$4:$P$503,_calc!$E$287))=0,"",INDEX('Checks'!$P$4:$P$503,_calc!$E$287)))))</f>
        <v/>
      </c>
      <c r="G285" s="47">
        <f>IF(_calc!$E$287="","",IF(LEN(INDEX('Checks'!$N$4:$N$503,_calc!$E$287))=0,"",INDEX('Checks'!$N$4:$N$503,_calc!$E$287)))</f>
        <v/>
      </c>
      <c r="K285" s="47">
        <f>IF(_calc!$E$287="","",IF(LEN(INDEX('Checks'!$M$4:$M$503,_calc!$E$287))=0,"",INDEX('Checks'!$M$4:$M$503,_calc!$E$287)))</f>
        <v/>
      </c>
    </row>
    <row r="286">
      <c r="A286" s="47">
        <f>IF(_calc!$E$288="","",IF(LEN(INDEX('Checks'!$B$4:$B$503,_calc!$E$288))=0,"",INDEX('Checks'!$B$4:$B$503,_calc!$E$288))&amp;" – "&amp;IF(LEN(INDEX('Checks'!$A$4:$A$503,_calc!$E$288))=0,"",INDEX('Checks'!$A$4:$A$503,_calc!$E$288)))</f>
        <v/>
      </c>
      <c r="B286" s="47">
        <f>IF(_calc!$E$288="","",IF(ISNUMBER(INDEX('Checks'!$D$4:$D$503,_calc!$E$288)),TEXT(INDEX('Checks'!$D$4:$D$503,_calc!$E$288),"yyyy-mm-dd"),""))</f>
        <v/>
      </c>
      <c r="C286" s="47">
        <f>IF(_calc!$E$288="","",IF(LEN(INDEX('Checks'!$B$4:$B$503,_calc!$E$288))=0,"",INDEX('Checks'!$B$4:$B$503,_calc!$E$288)))</f>
        <v/>
      </c>
      <c r="D286" s="47">
        <f>IF(_calc!$E$288="","",IF(ISNUMBER(INDEX('Checks'!$C$4:$C$503,_calc!$E$288)),TEXT(INDEX('Checks'!$C$4:$C$503,_calc!$E$288),"yyyy-mm-dd"),""))</f>
        <v/>
      </c>
      <c r="E286" s="47">
        <f>IF(_calc!$E$288="","",IF(LEN(INDEX('Checks'!$L$4:$L$503,_calc!$E$288))=0,"",INDEX('Checks'!$L$4:$L$503,_calc!$E$288)))</f>
        <v/>
      </c>
      <c r="F286" s="47">
        <f>IF(_calc!$E$288="","",TRIM(IF(LEN(IF(LEN(INDEX('Checks'!$I$4:$I$503,_calc!$E$288))=0,"",INDEX('Checks'!$I$4:$I$503,_calc!$E$288)))=0,"","Contractor: "&amp;IF(LEN(INDEX('Checks'!$I$4:$I$503,_calc!$E$288))=0,"",INDEX('Checks'!$I$4:$I$503,_calc!$E$288))&amp;". ")&amp;IF(LEN(IF(LEN(INDEX('Checks'!$J$4:$J$503,_calc!$E$288))=0,"",INDEX('Checks'!$J$4:$J$503,_calc!$E$288)))=0,"","Ref: "&amp;IF(LEN(INDEX('Checks'!$J$4:$J$503,_calc!$E$288))=0,"",INDEX('Checks'!$J$4:$J$503,_calc!$E$288))&amp;". ")&amp;IF(LEN(IF(ISNUMBER(INDEX('Checks'!$K$4:$K$503,_calc!$E$288)),TEXT(INDEX('Checks'!$K$4:$K$503,_calc!$E$288),"yyyy-mm-dd"),""))=0,"","Copy to tenant: "&amp;IF(ISNUMBER(INDEX('Checks'!$K$4:$K$503,_calc!$E$288)),TEXT(INDEX('Checks'!$K$4:$K$503,_calc!$E$288),"yyyy-mm-dd"),"")&amp;". ")&amp;IF(LEN(IF(LEN(INDEX('Checks'!$P$4:$P$503,_calc!$E$288))=0,"",INDEX('Checks'!$P$4:$P$503,_calc!$E$288)))=0,"",IF(LEN(INDEX('Checks'!$P$4:$P$503,_calc!$E$288))=0,"",INDEX('Checks'!$P$4:$P$503,_calc!$E$288)))))</f>
        <v/>
      </c>
      <c r="G286" s="47">
        <f>IF(_calc!$E$288="","",IF(LEN(INDEX('Checks'!$N$4:$N$503,_calc!$E$288))=0,"",INDEX('Checks'!$N$4:$N$503,_calc!$E$288)))</f>
        <v/>
      </c>
      <c r="K286" s="47">
        <f>IF(_calc!$E$288="","",IF(LEN(INDEX('Checks'!$M$4:$M$503,_calc!$E$288))=0,"",INDEX('Checks'!$M$4:$M$503,_calc!$E$288)))</f>
        <v/>
      </c>
    </row>
    <row r="287">
      <c r="A287" s="47">
        <f>IF(_calc!$E$289="","",IF(LEN(INDEX('Checks'!$B$4:$B$503,_calc!$E$289))=0,"",INDEX('Checks'!$B$4:$B$503,_calc!$E$289))&amp;" – "&amp;IF(LEN(INDEX('Checks'!$A$4:$A$503,_calc!$E$289))=0,"",INDEX('Checks'!$A$4:$A$503,_calc!$E$289)))</f>
        <v/>
      </c>
      <c r="B287" s="47">
        <f>IF(_calc!$E$289="","",IF(ISNUMBER(INDEX('Checks'!$D$4:$D$503,_calc!$E$289)),TEXT(INDEX('Checks'!$D$4:$D$503,_calc!$E$289),"yyyy-mm-dd"),""))</f>
        <v/>
      </c>
      <c r="C287" s="47">
        <f>IF(_calc!$E$289="","",IF(LEN(INDEX('Checks'!$B$4:$B$503,_calc!$E$289))=0,"",INDEX('Checks'!$B$4:$B$503,_calc!$E$289)))</f>
        <v/>
      </c>
      <c r="D287" s="47">
        <f>IF(_calc!$E$289="","",IF(ISNUMBER(INDEX('Checks'!$C$4:$C$503,_calc!$E$289)),TEXT(INDEX('Checks'!$C$4:$C$503,_calc!$E$289),"yyyy-mm-dd"),""))</f>
        <v/>
      </c>
      <c r="E287" s="47">
        <f>IF(_calc!$E$289="","",IF(LEN(INDEX('Checks'!$L$4:$L$503,_calc!$E$289))=0,"",INDEX('Checks'!$L$4:$L$503,_calc!$E$289)))</f>
        <v/>
      </c>
      <c r="F287" s="47">
        <f>IF(_calc!$E$289="","",TRIM(IF(LEN(IF(LEN(INDEX('Checks'!$I$4:$I$503,_calc!$E$289))=0,"",INDEX('Checks'!$I$4:$I$503,_calc!$E$289)))=0,"","Contractor: "&amp;IF(LEN(INDEX('Checks'!$I$4:$I$503,_calc!$E$289))=0,"",INDEX('Checks'!$I$4:$I$503,_calc!$E$289))&amp;". ")&amp;IF(LEN(IF(LEN(INDEX('Checks'!$J$4:$J$503,_calc!$E$289))=0,"",INDEX('Checks'!$J$4:$J$503,_calc!$E$289)))=0,"","Ref: "&amp;IF(LEN(INDEX('Checks'!$J$4:$J$503,_calc!$E$289))=0,"",INDEX('Checks'!$J$4:$J$503,_calc!$E$289))&amp;". ")&amp;IF(LEN(IF(ISNUMBER(INDEX('Checks'!$K$4:$K$503,_calc!$E$289)),TEXT(INDEX('Checks'!$K$4:$K$503,_calc!$E$289),"yyyy-mm-dd"),""))=0,"","Copy to tenant: "&amp;IF(ISNUMBER(INDEX('Checks'!$K$4:$K$503,_calc!$E$289)),TEXT(INDEX('Checks'!$K$4:$K$503,_calc!$E$289),"yyyy-mm-dd"),"")&amp;". ")&amp;IF(LEN(IF(LEN(INDEX('Checks'!$P$4:$P$503,_calc!$E$289))=0,"",INDEX('Checks'!$P$4:$P$503,_calc!$E$289)))=0,"",IF(LEN(INDEX('Checks'!$P$4:$P$503,_calc!$E$289))=0,"",INDEX('Checks'!$P$4:$P$503,_calc!$E$289)))))</f>
        <v/>
      </c>
      <c r="G287" s="47">
        <f>IF(_calc!$E$289="","",IF(LEN(INDEX('Checks'!$N$4:$N$503,_calc!$E$289))=0,"",INDEX('Checks'!$N$4:$N$503,_calc!$E$289)))</f>
        <v/>
      </c>
      <c r="K287" s="47">
        <f>IF(_calc!$E$289="","",IF(LEN(INDEX('Checks'!$M$4:$M$503,_calc!$E$289))=0,"",INDEX('Checks'!$M$4:$M$503,_calc!$E$289)))</f>
        <v/>
      </c>
    </row>
    <row r="288">
      <c r="A288" s="47">
        <f>IF(_calc!$E$290="","",IF(LEN(INDEX('Checks'!$B$4:$B$503,_calc!$E$290))=0,"",INDEX('Checks'!$B$4:$B$503,_calc!$E$290))&amp;" – "&amp;IF(LEN(INDEX('Checks'!$A$4:$A$503,_calc!$E$290))=0,"",INDEX('Checks'!$A$4:$A$503,_calc!$E$290)))</f>
        <v/>
      </c>
      <c r="B288" s="47">
        <f>IF(_calc!$E$290="","",IF(ISNUMBER(INDEX('Checks'!$D$4:$D$503,_calc!$E$290)),TEXT(INDEX('Checks'!$D$4:$D$503,_calc!$E$290),"yyyy-mm-dd"),""))</f>
        <v/>
      </c>
      <c r="C288" s="47">
        <f>IF(_calc!$E$290="","",IF(LEN(INDEX('Checks'!$B$4:$B$503,_calc!$E$290))=0,"",INDEX('Checks'!$B$4:$B$503,_calc!$E$290)))</f>
        <v/>
      </c>
      <c r="D288" s="47">
        <f>IF(_calc!$E$290="","",IF(ISNUMBER(INDEX('Checks'!$C$4:$C$503,_calc!$E$290)),TEXT(INDEX('Checks'!$C$4:$C$503,_calc!$E$290),"yyyy-mm-dd"),""))</f>
        <v/>
      </c>
      <c r="E288" s="47">
        <f>IF(_calc!$E$290="","",IF(LEN(INDEX('Checks'!$L$4:$L$503,_calc!$E$290))=0,"",INDEX('Checks'!$L$4:$L$503,_calc!$E$290)))</f>
        <v/>
      </c>
      <c r="F288" s="47">
        <f>IF(_calc!$E$290="","",TRIM(IF(LEN(IF(LEN(INDEX('Checks'!$I$4:$I$503,_calc!$E$290))=0,"",INDEX('Checks'!$I$4:$I$503,_calc!$E$290)))=0,"","Contractor: "&amp;IF(LEN(INDEX('Checks'!$I$4:$I$503,_calc!$E$290))=0,"",INDEX('Checks'!$I$4:$I$503,_calc!$E$290))&amp;". ")&amp;IF(LEN(IF(LEN(INDEX('Checks'!$J$4:$J$503,_calc!$E$290))=0,"",INDEX('Checks'!$J$4:$J$503,_calc!$E$290)))=0,"","Ref: "&amp;IF(LEN(INDEX('Checks'!$J$4:$J$503,_calc!$E$290))=0,"",INDEX('Checks'!$J$4:$J$503,_calc!$E$290))&amp;". ")&amp;IF(LEN(IF(ISNUMBER(INDEX('Checks'!$K$4:$K$503,_calc!$E$290)),TEXT(INDEX('Checks'!$K$4:$K$503,_calc!$E$290),"yyyy-mm-dd"),""))=0,"","Copy to tenant: "&amp;IF(ISNUMBER(INDEX('Checks'!$K$4:$K$503,_calc!$E$290)),TEXT(INDEX('Checks'!$K$4:$K$503,_calc!$E$290),"yyyy-mm-dd"),"")&amp;". ")&amp;IF(LEN(IF(LEN(INDEX('Checks'!$P$4:$P$503,_calc!$E$290))=0,"",INDEX('Checks'!$P$4:$P$503,_calc!$E$290)))=0,"",IF(LEN(INDEX('Checks'!$P$4:$P$503,_calc!$E$290))=0,"",INDEX('Checks'!$P$4:$P$503,_calc!$E$290)))))</f>
        <v/>
      </c>
      <c r="G288" s="47">
        <f>IF(_calc!$E$290="","",IF(LEN(INDEX('Checks'!$N$4:$N$503,_calc!$E$290))=0,"",INDEX('Checks'!$N$4:$N$503,_calc!$E$290)))</f>
        <v/>
      </c>
      <c r="K288" s="47">
        <f>IF(_calc!$E$290="","",IF(LEN(INDEX('Checks'!$M$4:$M$503,_calc!$E$290))=0,"",INDEX('Checks'!$M$4:$M$503,_calc!$E$290)))</f>
        <v/>
      </c>
    </row>
    <row r="289">
      <c r="A289" s="47">
        <f>IF(_calc!$E$291="","",IF(LEN(INDEX('Checks'!$B$4:$B$503,_calc!$E$291))=0,"",INDEX('Checks'!$B$4:$B$503,_calc!$E$291))&amp;" – "&amp;IF(LEN(INDEX('Checks'!$A$4:$A$503,_calc!$E$291))=0,"",INDEX('Checks'!$A$4:$A$503,_calc!$E$291)))</f>
        <v/>
      </c>
      <c r="B289" s="47">
        <f>IF(_calc!$E$291="","",IF(ISNUMBER(INDEX('Checks'!$D$4:$D$503,_calc!$E$291)),TEXT(INDEX('Checks'!$D$4:$D$503,_calc!$E$291),"yyyy-mm-dd"),""))</f>
        <v/>
      </c>
      <c r="C289" s="47">
        <f>IF(_calc!$E$291="","",IF(LEN(INDEX('Checks'!$B$4:$B$503,_calc!$E$291))=0,"",INDEX('Checks'!$B$4:$B$503,_calc!$E$291)))</f>
        <v/>
      </c>
      <c r="D289" s="47">
        <f>IF(_calc!$E$291="","",IF(ISNUMBER(INDEX('Checks'!$C$4:$C$503,_calc!$E$291)),TEXT(INDEX('Checks'!$C$4:$C$503,_calc!$E$291),"yyyy-mm-dd"),""))</f>
        <v/>
      </c>
      <c r="E289" s="47">
        <f>IF(_calc!$E$291="","",IF(LEN(INDEX('Checks'!$L$4:$L$503,_calc!$E$291))=0,"",INDEX('Checks'!$L$4:$L$503,_calc!$E$291)))</f>
        <v/>
      </c>
      <c r="F289" s="47">
        <f>IF(_calc!$E$291="","",TRIM(IF(LEN(IF(LEN(INDEX('Checks'!$I$4:$I$503,_calc!$E$291))=0,"",INDEX('Checks'!$I$4:$I$503,_calc!$E$291)))=0,"","Contractor: "&amp;IF(LEN(INDEX('Checks'!$I$4:$I$503,_calc!$E$291))=0,"",INDEX('Checks'!$I$4:$I$503,_calc!$E$291))&amp;". ")&amp;IF(LEN(IF(LEN(INDEX('Checks'!$J$4:$J$503,_calc!$E$291))=0,"",INDEX('Checks'!$J$4:$J$503,_calc!$E$291)))=0,"","Ref: "&amp;IF(LEN(INDEX('Checks'!$J$4:$J$503,_calc!$E$291))=0,"",INDEX('Checks'!$J$4:$J$503,_calc!$E$291))&amp;". ")&amp;IF(LEN(IF(ISNUMBER(INDEX('Checks'!$K$4:$K$503,_calc!$E$291)),TEXT(INDEX('Checks'!$K$4:$K$503,_calc!$E$291),"yyyy-mm-dd"),""))=0,"","Copy to tenant: "&amp;IF(ISNUMBER(INDEX('Checks'!$K$4:$K$503,_calc!$E$291)),TEXT(INDEX('Checks'!$K$4:$K$503,_calc!$E$291),"yyyy-mm-dd"),"")&amp;". ")&amp;IF(LEN(IF(LEN(INDEX('Checks'!$P$4:$P$503,_calc!$E$291))=0,"",INDEX('Checks'!$P$4:$P$503,_calc!$E$291)))=0,"",IF(LEN(INDEX('Checks'!$P$4:$P$503,_calc!$E$291))=0,"",INDEX('Checks'!$P$4:$P$503,_calc!$E$291)))))</f>
        <v/>
      </c>
      <c r="G289" s="47">
        <f>IF(_calc!$E$291="","",IF(LEN(INDEX('Checks'!$N$4:$N$503,_calc!$E$291))=0,"",INDEX('Checks'!$N$4:$N$503,_calc!$E$291)))</f>
        <v/>
      </c>
      <c r="K289" s="47">
        <f>IF(_calc!$E$291="","",IF(LEN(INDEX('Checks'!$M$4:$M$503,_calc!$E$291))=0,"",INDEX('Checks'!$M$4:$M$503,_calc!$E$291)))</f>
        <v/>
      </c>
    </row>
    <row r="290">
      <c r="A290" s="47">
        <f>IF(_calc!$E$292="","",IF(LEN(INDEX('Checks'!$B$4:$B$503,_calc!$E$292))=0,"",INDEX('Checks'!$B$4:$B$503,_calc!$E$292))&amp;" – "&amp;IF(LEN(INDEX('Checks'!$A$4:$A$503,_calc!$E$292))=0,"",INDEX('Checks'!$A$4:$A$503,_calc!$E$292)))</f>
        <v/>
      </c>
      <c r="B290" s="47">
        <f>IF(_calc!$E$292="","",IF(ISNUMBER(INDEX('Checks'!$D$4:$D$503,_calc!$E$292)),TEXT(INDEX('Checks'!$D$4:$D$503,_calc!$E$292),"yyyy-mm-dd"),""))</f>
        <v/>
      </c>
      <c r="C290" s="47">
        <f>IF(_calc!$E$292="","",IF(LEN(INDEX('Checks'!$B$4:$B$503,_calc!$E$292))=0,"",INDEX('Checks'!$B$4:$B$503,_calc!$E$292)))</f>
        <v/>
      </c>
      <c r="D290" s="47">
        <f>IF(_calc!$E$292="","",IF(ISNUMBER(INDEX('Checks'!$C$4:$C$503,_calc!$E$292)),TEXT(INDEX('Checks'!$C$4:$C$503,_calc!$E$292),"yyyy-mm-dd"),""))</f>
        <v/>
      </c>
      <c r="E290" s="47">
        <f>IF(_calc!$E$292="","",IF(LEN(INDEX('Checks'!$L$4:$L$503,_calc!$E$292))=0,"",INDEX('Checks'!$L$4:$L$503,_calc!$E$292)))</f>
        <v/>
      </c>
      <c r="F290" s="47">
        <f>IF(_calc!$E$292="","",TRIM(IF(LEN(IF(LEN(INDEX('Checks'!$I$4:$I$503,_calc!$E$292))=0,"",INDEX('Checks'!$I$4:$I$503,_calc!$E$292)))=0,"","Contractor: "&amp;IF(LEN(INDEX('Checks'!$I$4:$I$503,_calc!$E$292))=0,"",INDEX('Checks'!$I$4:$I$503,_calc!$E$292))&amp;". ")&amp;IF(LEN(IF(LEN(INDEX('Checks'!$J$4:$J$503,_calc!$E$292))=0,"",INDEX('Checks'!$J$4:$J$503,_calc!$E$292)))=0,"","Ref: "&amp;IF(LEN(INDEX('Checks'!$J$4:$J$503,_calc!$E$292))=0,"",INDEX('Checks'!$J$4:$J$503,_calc!$E$292))&amp;". ")&amp;IF(LEN(IF(ISNUMBER(INDEX('Checks'!$K$4:$K$503,_calc!$E$292)),TEXT(INDEX('Checks'!$K$4:$K$503,_calc!$E$292),"yyyy-mm-dd"),""))=0,"","Copy to tenant: "&amp;IF(ISNUMBER(INDEX('Checks'!$K$4:$K$503,_calc!$E$292)),TEXT(INDEX('Checks'!$K$4:$K$503,_calc!$E$292),"yyyy-mm-dd"),"")&amp;". ")&amp;IF(LEN(IF(LEN(INDEX('Checks'!$P$4:$P$503,_calc!$E$292))=0,"",INDEX('Checks'!$P$4:$P$503,_calc!$E$292)))=0,"",IF(LEN(INDEX('Checks'!$P$4:$P$503,_calc!$E$292))=0,"",INDEX('Checks'!$P$4:$P$503,_calc!$E$292)))))</f>
        <v/>
      </c>
      <c r="G290" s="47">
        <f>IF(_calc!$E$292="","",IF(LEN(INDEX('Checks'!$N$4:$N$503,_calc!$E$292))=0,"",INDEX('Checks'!$N$4:$N$503,_calc!$E$292)))</f>
        <v/>
      </c>
      <c r="K290" s="47">
        <f>IF(_calc!$E$292="","",IF(LEN(INDEX('Checks'!$M$4:$M$503,_calc!$E$292))=0,"",INDEX('Checks'!$M$4:$M$503,_calc!$E$292)))</f>
        <v/>
      </c>
    </row>
    <row r="291">
      <c r="A291" s="47">
        <f>IF(_calc!$E$293="","",IF(LEN(INDEX('Checks'!$B$4:$B$503,_calc!$E$293))=0,"",INDEX('Checks'!$B$4:$B$503,_calc!$E$293))&amp;" – "&amp;IF(LEN(INDEX('Checks'!$A$4:$A$503,_calc!$E$293))=0,"",INDEX('Checks'!$A$4:$A$503,_calc!$E$293)))</f>
        <v/>
      </c>
      <c r="B291" s="47">
        <f>IF(_calc!$E$293="","",IF(ISNUMBER(INDEX('Checks'!$D$4:$D$503,_calc!$E$293)),TEXT(INDEX('Checks'!$D$4:$D$503,_calc!$E$293),"yyyy-mm-dd"),""))</f>
        <v/>
      </c>
      <c r="C291" s="47">
        <f>IF(_calc!$E$293="","",IF(LEN(INDEX('Checks'!$B$4:$B$503,_calc!$E$293))=0,"",INDEX('Checks'!$B$4:$B$503,_calc!$E$293)))</f>
        <v/>
      </c>
      <c r="D291" s="47">
        <f>IF(_calc!$E$293="","",IF(ISNUMBER(INDEX('Checks'!$C$4:$C$503,_calc!$E$293)),TEXT(INDEX('Checks'!$C$4:$C$503,_calc!$E$293),"yyyy-mm-dd"),""))</f>
        <v/>
      </c>
      <c r="E291" s="47">
        <f>IF(_calc!$E$293="","",IF(LEN(INDEX('Checks'!$L$4:$L$503,_calc!$E$293))=0,"",INDEX('Checks'!$L$4:$L$503,_calc!$E$293)))</f>
        <v/>
      </c>
      <c r="F291" s="47">
        <f>IF(_calc!$E$293="","",TRIM(IF(LEN(IF(LEN(INDEX('Checks'!$I$4:$I$503,_calc!$E$293))=0,"",INDEX('Checks'!$I$4:$I$503,_calc!$E$293)))=0,"","Contractor: "&amp;IF(LEN(INDEX('Checks'!$I$4:$I$503,_calc!$E$293))=0,"",INDEX('Checks'!$I$4:$I$503,_calc!$E$293))&amp;". ")&amp;IF(LEN(IF(LEN(INDEX('Checks'!$J$4:$J$503,_calc!$E$293))=0,"",INDEX('Checks'!$J$4:$J$503,_calc!$E$293)))=0,"","Ref: "&amp;IF(LEN(INDEX('Checks'!$J$4:$J$503,_calc!$E$293))=0,"",INDEX('Checks'!$J$4:$J$503,_calc!$E$293))&amp;". ")&amp;IF(LEN(IF(ISNUMBER(INDEX('Checks'!$K$4:$K$503,_calc!$E$293)),TEXT(INDEX('Checks'!$K$4:$K$503,_calc!$E$293),"yyyy-mm-dd"),""))=0,"","Copy to tenant: "&amp;IF(ISNUMBER(INDEX('Checks'!$K$4:$K$503,_calc!$E$293)),TEXT(INDEX('Checks'!$K$4:$K$503,_calc!$E$293),"yyyy-mm-dd"),"")&amp;". ")&amp;IF(LEN(IF(LEN(INDEX('Checks'!$P$4:$P$503,_calc!$E$293))=0,"",INDEX('Checks'!$P$4:$P$503,_calc!$E$293)))=0,"",IF(LEN(INDEX('Checks'!$P$4:$P$503,_calc!$E$293))=0,"",INDEX('Checks'!$P$4:$P$503,_calc!$E$293)))))</f>
        <v/>
      </c>
      <c r="G291" s="47">
        <f>IF(_calc!$E$293="","",IF(LEN(INDEX('Checks'!$N$4:$N$503,_calc!$E$293))=0,"",INDEX('Checks'!$N$4:$N$503,_calc!$E$293)))</f>
        <v/>
      </c>
      <c r="K291" s="47">
        <f>IF(_calc!$E$293="","",IF(LEN(INDEX('Checks'!$M$4:$M$503,_calc!$E$293))=0,"",INDEX('Checks'!$M$4:$M$503,_calc!$E$293)))</f>
        <v/>
      </c>
    </row>
    <row r="292">
      <c r="A292" s="47">
        <f>IF(_calc!$E$294="","",IF(LEN(INDEX('Checks'!$B$4:$B$503,_calc!$E$294))=0,"",INDEX('Checks'!$B$4:$B$503,_calc!$E$294))&amp;" – "&amp;IF(LEN(INDEX('Checks'!$A$4:$A$503,_calc!$E$294))=0,"",INDEX('Checks'!$A$4:$A$503,_calc!$E$294)))</f>
        <v/>
      </c>
      <c r="B292" s="47">
        <f>IF(_calc!$E$294="","",IF(ISNUMBER(INDEX('Checks'!$D$4:$D$503,_calc!$E$294)),TEXT(INDEX('Checks'!$D$4:$D$503,_calc!$E$294),"yyyy-mm-dd"),""))</f>
        <v/>
      </c>
      <c r="C292" s="47">
        <f>IF(_calc!$E$294="","",IF(LEN(INDEX('Checks'!$B$4:$B$503,_calc!$E$294))=0,"",INDEX('Checks'!$B$4:$B$503,_calc!$E$294)))</f>
        <v/>
      </c>
      <c r="D292" s="47">
        <f>IF(_calc!$E$294="","",IF(ISNUMBER(INDEX('Checks'!$C$4:$C$503,_calc!$E$294)),TEXT(INDEX('Checks'!$C$4:$C$503,_calc!$E$294),"yyyy-mm-dd"),""))</f>
        <v/>
      </c>
      <c r="E292" s="47">
        <f>IF(_calc!$E$294="","",IF(LEN(INDEX('Checks'!$L$4:$L$503,_calc!$E$294))=0,"",INDEX('Checks'!$L$4:$L$503,_calc!$E$294)))</f>
        <v/>
      </c>
      <c r="F292" s="47">
        <f>IF(_calc!$E$294="","",TRIM(IF(LEN(IF(LEN(INDEX('Checks'!$I$4:$I$503,_calc!$E$294))=0,"",INDEX('Checks'!$I$4:$I$503,_calc!$E$294)))=0,"","Contractor: "&amp;IF(LEN(INDEX('Checks'!$I$4:$I$503,_calc!$E$294))=0,"",INDEX('Checks'!$I$4:$I$503,_calc!$E$294))&amp;". ")&amp;IF(LEN(IF(LEN(INDEX('Checks'!$J$4:$J$503,_calc!$E$294))=0,"",INDEX('Checks'!$J$4:$J$503,_calc!$E$294)))=0,"","Ref: "&amp;IF(LEN(INDEX('Checks'!$J$4:$J$503,_calc!$E$294))=0,"",INDEX('Checks'!$J$4:$J$503,_calc!$E$294))&amp;". ")&amp;IF(LEN(IF(ISNUMBER(INDEX('Checks'!$K$4:$K$503,_calc!$E$294)),TEXT(INDEX('Checks'!$K$4:$K$503,_calc!$E$294),"yyyy-mm-dd"),""))=0,"","Copy to tenant: "&amp;IF(ISNUMBER(INDEX('Checks'!$K$4:$K$503,_calc!$E$294)),TEXT(INDEX('Checks'!$K$4:$K$503,_calc!$E$294),"yyyy-mm-dd"),"")&amp;". ")&amp;IF(LEN(IF(LEN(INDEX('Checks'!$P$4:$P$503,_calc!$E$294))=0,"",INDEX('Checks'!$P$4:$P$503,_calc!$E$294)))=0,"",IF(LEN(INDEX('Checks'!$P$4:$P$503,_calc!$E$294))=0,"",INDEX('Checks'!$P$4:$P$503,_calc!$E$294)))))</f>
        <v/>
      </c>
      <c r="G292" s="47">
        <f>IF(_calc!$E$294="","",IF(LEN(INDEX('Checks'!$N$4:$N$503,_calc!$E$294))=0,"",INDEX('Checks'!$N$4:$N$503,_calc!$E$294)))</f>
        <v/>
      </c>
      <c r="K292" s="47">
        <f>IF(_calc!$E$294="","",IF(LEN(INDEX('Checks'!$M$4:$M$503,_calc!$E$294))=0,"",INDEX('Checks'!$M$4:$M$503,_calc!$E$294)))</f>
        <v/>
      </c>
    </row>
    <row r="293">
      <c r="A293" s="47">
        <f>IF(_calc!$E$295="","",IF(LEN(INDEX('Checks'!$B$4:$B$503,_calc!$E$295))=0,"",INDEX('Checks'!$B$4:$B$503,_calc!$E$295))&amp;" – "&amp;IF(LEN(INDEX('Checks'!$A$4:$A$503,_calc!$E$295))=0,"",INDEX('Checks'!$A$4:$A$503,_calc!$E$295)))</f>
        <v/>
      </c>
      <c r="B293" s="47">
        <f>IF(_calc!$E$295="","",IF(ISNUMBER(INDEX('Checks'!$D$4:$D$503,_calc!$E$295)),TEXT(INDEX('Checks'!$D$4:$D$503,_calc!$E$295),"yyyy-mm-dd"),""))</f>
        <v/>
      </c>
      <c r="C293" s="47">
        <f>IF(_calc!$E$295="","",IF(LEN(INDEX('Checks'!$B$4:$B$503,_calc!$E$295))=0,"",INDEX('Checks'!$B$4:$B$503,_calc!$E$295)))</f>
        <v/>
      </c>
      <c r="D293" s="47">
        <f>IF(_calc!$E$295="","",IF(ISNUMBER(INDEX('Checks'!$C$4:$C$503,_calc!$E$295)),TEXT(INDEX('Checks'!$C$4:$C$503,_calc!$E$295),"yyyy-mm-dd"),""))</f>
        <v/>
      </c>
      <c r="E293" s="47">
        <f>IF(_calc!$E$295="","",IF(LEN(INDEX('Checks'!$L$4:$L$503,_calc!$E$295))=0,"",INDEX('Checks'!$L$4:$L$503,_calc!$E$295)))</f>
        <v/>
      </c>
      <c r="F293" s="47">
        <f>IF(_calc!$E$295="","",TRIM(IF(LEN(IF(LEN(INDEX('Checks'!$I$4:$I$503,_calc!$E$295))=0,"",INDEX('Checks'!$I$4:$I$503,_calc!$E$295)))=0,"","Contractor: "&amp;IF(LEN(INDEX('Checks'!$I$4:$I$503,_calc!$E$295))=0,"",INDEX('Checks'!$I$4:$I$503,_calc!$E$295))&amp;". ")&amp;IF(LEN(IF(LEN(INDEX('Checks'!$J$4:$J$503,_calc!$E$295))=0,"",INDEX('Checks'!$J$4:$J$503,_calc!$E$295)))=0,"","Ref: "&amp;IF(LEN(INDEX('Checks'!$J$4:$J$503,_calc!$E$295))=0,"",INDEX('Checks'!$J$4:$J$503,_calc!$E$295))&amp;". ")&amp;IF(LEN(IF(ISNUMBER(INDEX('Checks'!$K$4:$K$503,_calc!$E$295)),TEXT(INDEX('Checks'!$K$4:$K$503,_calc!$E$295),"yyyy-mm-dd"),""))=0,"","Copy to tenant: "&amp;IF(ISNUMBER(INDEX('Checks'!$K$4:$K$503,_calc!$E$295)),TEXT(INDEX('Checks'!$K$4:$K$503,_calc!$E$295),"yyyy-mm-dd"),"")&amp;". ")&amp;IF(LEN(IF(LEN(INDEX('Checks'!$P$4:$P$503,_calc!$E$295))=0,"",INDEX('Checks'!$P$4:$P$503,_calc!$E$295)))=0,"",IF(LEN(INDEX('Checks'!$P$4:$P$503,_calc!$E$295))=0,"",INDEX('Checks'!$P$4:$P$503,_calc!$E$295)))))</f>
        <v/>
      </c>
      <c r="G293" s="47">
        <f>IF(_calc!$E$295="","",IF(LEN(INDEX('Checks'!$N$4:$N$503,_calc!$E$295))=0,"",INDEX('Checks'!$N$4:$N$503,_calc!$E$295)))</f>
        <v/>
      </c>
      <c r="K293" s="47">
        <f>IF(_calc!$E$295="","",IF(LEN(INDEX('Checks'!$M$4:$M$503,_calc!$E$295))=0,"",INDEX('Checks'!$M$4:$M$503,_calc!$E$295)))</f>
        <v/>
      </c>
    </row>
    <row r="294">
      <c r="A294" s="47">
        <f>IF(_calc!$E$296="","",IF(LEN(INDEX('Checks'!$B$4:$B$503,_calc!$E$296))=0,"",INDEX('Checks'!$B$4:$B$503,_calc!$E$296))&amp;" – "&amp;IF(LEN(INDEX('Checks'!$A$4:$A$503,_calc!$E$296))=0,"",INDEX('Checks'!$A$4:$A$503,_calc!$E$296)))</f>
        <v/>
      </c>
      <c r="B294" s="47">
        <f>IF(_calc!$E$296="","",IF(ISNUMBER(INDEX('Checks'!$D$4:$D$503,_calc!$E$296)),TEXT(INDEX('Checks'!$D$4:$D$503,_calc!$E$296),"yyyy-mm-dd"),""))</f>
        <v/>
      </c>
      <c r="C294" s="47">
        <f>IF(_calc!$E$296="","",IF(LEN(INDEX('Checks'!$B$4:$B$503,_calc!$E$296))=0,"",INDEX('Checks'!$B$4:$B$503,_calc!$E$296)))</f>
        <v/>
      </c>
      <c r="D294" s="47">
        <f>IF(_calc!$E$296="","",IF(ISNUMBER(INDEX('Checks'!$C$4:$C$503,_calc!$E$296)),TEXT(INDEX('Checks'!$C$4:$C$503,_calc!$E$296),"yyyy-mm-dd"),""))</f>
        <v/>
      </c>
      <c r="E294" s="47">
        <f>IF(_calc!$E$296="","",IF(LEN(INDEX('Checks'!$L$4:$L$503,_calc!$E$296))=0,"",INDEX('Checks'!$L$4:$L$503,_calc!$E$296)))</f>
        <v/>
      </c>
      <c r="F294" s="47">
        <f>IF(_calc!$E$296="","",TRIM(IF(LEN(IF(LEN(INDEX('Checks'!$I$4:$I$503,_calc!$E$296))=0,"",INDEX('Checks'!$I$4:$I$503,_calc!$E$296)))=0,"","Contractor: "&amp;IF(LEN(INDEX('Checks'!$I$4:$I$503,_calc!$E$296))=0,"",INDEX('Checks'!$I$4:$I$503,_calc!$E$296))&amp;". ")&amp;IF(LEN(IF(LEN(INDEX('Checks'!$J$4:$J$503,_calc!$E$296))=0,"",INDEX('Checks'!$J$4:$J$503,_calc!$E$296)))=0,"","Ref: "&amp;IF(LEN(INDEX('Checks'!$J$4:$J$503,_calc!$E$296))=0,"",INDEX('Checks'!$J$4:$J$503,_calc!$E$296))&amp;". ")&amp;IF(LEN(IF(ISNUMBER(INDEX('Checks'!$K$4:$K$503,_calc!$E$296)),TEXT(INDEX('Checks'!$K$4:$K$503,_calc!$E$296),"yyyy-mm-dd"),""))=0,"","Copy to tenant: "&amp;IF(ISNUMBER(INDEX('Checks'!$K$4:$K$503,_calc!$E$296)),TEXT(INDEX('Checks'!$K$4:$K$503,_calc!$E$296),"yyyy-mm-dd"),"")&amp;". ")&amp;IF(LEN(IF(LEN(INDEX('Checks'!$P$4:$P$503,_calc!$E$296))=0,"",INDEX('Checks'!$P$4:$P$503,_calc!$E$296)))=0,"",IF(LEN(INDEX('Checks'!$P$4:$P$503,_calc!$E$296))=0,"",INDEX('Checks'!$P$4:$P$503,_calc!$E$296)))))</f>
        <v/>
      </c>
      <c r="G294" s="47">
        <f>IF(_calc!$E$296="","",IF(LEN(INDEX('Checks'!$N$4:$N$503,_calc!$E$296))=0,"",INDEX('Checks'!$N$4:$N$503,_calc!$E$296)))</f>
        <v/>
      </c>
      <c r="K294" s="47">
        <f>IF(_calc!$E$296="","",IF(LEN(INDEX('Checks'!$M$4:$M$503,_calc!$E$296))=0,"",INDEX('Checks'!$M$4:$M$503,_calc!$E$296)))</f>
        <v/>
      </c>
    </row>
    <row r="295">
      <c r="A295" s="47">
        <f>IF(_calc!$E$297="","",IF(LEN(INDEX('Checks'!$B$4:$B$503,_calc!$E$297))=0,"",INDEX('Checks'!$B$4:$B$503,_calc!$E$297))&amp;" – "&amp;IF(LEN(INDEX('Checks'!$A$4:$A$503,_calc!$E$297))=0,"",INDEX('Checks'!$A$4:$A$503,_calc!$E$297)))</f>
        <v/>
      </c>
      <c r="B295" s="47">
        <f>IF(_calc!$E$297="","",IF(ISNUMBER(INDEX('Checks'!$D$4:$D$503,_calc!$E$297)),TEXT(INDEX('Checks'!$D$4:$D$503,_calc!$E$297),"yyyy-mm-dd"),""))</f>
        <v/>
      </c>
      <c r="C295" s="47">
        <f>IF(_calc!$E$297="","",IF(LEN(INDEX('Checks'!$B$4:$B$503,_calc!$E$297))=0,"",INDEX('Checks'!$B$4:$B$503,_calc!$E$297)))</f>
        <v/>
      </c>
      <c r="D295" s="47">
        <f>IF(_calc!$E$297="","",IF(ISNUMBER(INDEX('Checks'!$C$4:$C$503,_calc!$E$297)),TEXT(INDEX('Checks'!$C$4:$C$503,_calc!$E$297),"yyyy-mm-dd"),""))</f>
        <v/>
      </c>
      <c r="E295" s="47">
        <f>IF(_calc!$E$297="","",IF(LEN(INDEX('Checks'!$L$4:$L$503,_calc!$E$297))=0,"",INDEX('Checks'!$L$4:$L$503,_calc!$E$297)))</f>
        <v/>
      </c>
      <c r="F295" s="47">
        <f>IF(_calc!$E$297="","",TRIM(IF(LEN(IF(LEN(INDEX('Checks'!$I$4:$I$503,_calc!$E$297))=0,"",INDEX('Checks'!$I$4:$I$503,_calc!$E$297)))=0,"","Contractor: "&amp;IF(LEN(INDEX('Checks'!$I$4:$I$503,_calc!$E$297))=0,"",INDEX('Checks'!$I$4:$I$503,_calc!$E$297))&amp;". ")&amp;IF(LEN(IF(LEN(INDEX('Checks'!$J$4:$J$503,_calc!$E$297))=0,"",INDEX('Checks'!$J$4:$J$503,_calc!$E$297)))=0,"","Ref: "&amp;IF(LEN(INDEX('Checks'!$J$4:$J$503,_calc!$E$297))=0,"",INDEX('Checks'!$J$4:$J$503,_calc!$E$297))&amp;". ")&amp;IF(LEN(IF(ISNUMBER(INDEX('Checks'!$K$4:$K$503,_calc!$E$297)),TEXT(INDEX('Checks'!$K$4:$K$503,_calc!$E$297),"yyyy-mm-dd"),""))=0,"","Copy to tenant: "&amp;IF(ISNUMBER(INDEX('Checks'!$K$4:$K$503,_calc!$E$297)),TEXT(INDEX('Checks'!$K$4:$K$503,_calc!$E$297),"yyyy-mm-dd"),"")&amp;". ")&amp;IF(LEN(IF(LEN(INDEX('Checks'!$P$4:$P$503,_calc!$E$297))=0,"",INDEX('Checks'!$P$4:$P$503,_calc!$E$297)))=0,"",IF(LEN(INDEX('Checks'!$P$4:$P$503,_calc!$E$297))=0,"",INDEX('Checks'!$P$4:$P$503,_calc!$E$297)))))</f>
        <v/>
      </c>
      <c r="G295" s="47">
        <f>IF(_calc!$E$297="","",IF(LEN(INDEX('Checks'!$N$4:$N$503,_calc!$E$297))=0,"",INDEX('Checks'!$N$4:$N$503,_calc!$E$297)))</f>
        <v/>
      </c>
      <c r="K295" s="47">
        <f>IF(_calc!$E$297="","",IF(LEN(INDEX('Checks'!$M$4:$M$503,_calc!$E$297))=0,"",INDEX('Checks'!$M$4:$M$503,_calc!$E$297)))</f>
        <v/>
      </c>
    </row>
    <row r="296">
      <c r="A296" s="47">
        <f>IF(_calc!$E$298="","",IF(LEN(INDEX('Checks'!$B$4:$B$503,_calc!$E$298))=0,"",INDEX('Checks'!$B$4:$B$503,_calc!$E$298))&amp;" – "&amp;IF(LEN(INDEX('Checks'!$A$4:$A$503,_calc!$E$298))=0,"",INDEX('Checks'!$A$4:$A$503,_calc!$E$298)))</f>
        <v/>
      </c>
      <c r="B296" s="47">
        <f>IF(_calc!$E$298="","",IF(ISNUMBER(INDEX('Checks'!$D$4:$D$503,_calc!$E$298)),TEXT(INDEX('Checks'!$D$4:$D$503,_calc!$E$298),"yyyy-mm-dd"),""))</f>
        <v/>
      </c>
      <c r="C296" s="47">
        <f>IF(_calc!$E$298="","",IF(LEN(INDEX('Checks'!$B$4:$B$503,_calc!$E$298))=0,"",INDEX('Checks'!$B$4:$B$503,_calc!$E$298)))</f>
        <v/>
      </c>
      <c r="D296" s="47">
        <f>IF(_calc!$E$298="","",IF(ISNUMBER(INDEX('Checks'!$C$4:$C$503,_calc!$E$298)),TEXT(INDEX('Checks'!$C$4:$C$503,_calc!$E$298),"yyyy-mm-dd"),""))</f>
        <v/>
      </c>
      <c r="E296" s="47">
        <f>IF(_calc!$E$298="","",IF(LEN(INDEX('Checks'!$L$4:$L$503,_calc!$E$298))=0,"",INDEX('Checks'!$L$4:$L$503,_calc!$E$298)))</f>
        <v/>
      </c>
      <c r="F296" s="47">
        <f>IF(_calc!$E$298="","",TRIM(IF(LEN(IF(LEN(INDEX('Checks'!$I$4:$I$503,_calc!$E$298))=0,"",INDEX('Checks'!$I$4:$I$503,_calc!$E$298)))=0,"","Contractor: "&amp;IF(LEN(INDEX('Checks'!$I$4:$I$503,_calc!$E$298))=0,"",INDEX('Checks'!$I$4:$I$503,_calc!$E$298))&amp;". ")&amp;IF(LEN(IF(LEN(INDEX('Checks'!$J$4:$J$503,_calc!$E$298))=0,"",INDEX('Checks'!$J$4:$J$503,_calc!$E$298)))=0,"","Ref: "&amp;IF(LEN(INDEX('Checks'!$J$4:$J$503,_calc!$E$298))=0,"",INDEX('Checks'!$J$4:$J$503,_calc!$E$298))&amp;". ")&amp;IF(LEN(IF(ISNUMBER(INDEX('Checks'!$K$4:$K$503,_calc!$E$298)),TEXT(INDEX('Checks'!$K$4:$K$503,_calc!$E$298),"yyyy-mm-dd"),""))=0,"","Copy to tenant: "&amp;IF(ISNUMBER(INDEX('Checks'!$K$4:$K$503,_calc!$E$298)),TEXT(INDEX('Checks'!$K$4:$K$503,_calc!$E$298),"yyyy-mm-dd"),"")&amp;". ")&amp;IF(LEN(IF(LEN(INDEX('Checks'!$P$4:$P$503,_calc!$E$298))=0,"",INDEX('Checks'!$P$4:$P$503,_calc!$E$298)))=0,"",IF(LEN(INDEX('Checks'!$P$4:$P$503,_calc!$E$298))=0,"",INDEX('Checks'!$P$4:$P$503,_calc!$E$298)))))</f>
        <v/>
      </c>
      <c r="G296" s="47">
        <f>IF(_calc!$E$298="","",IF(LEN(INDEX('Checks'!$N$4:$N$503,_calc!$E$298))=0,"",INDEX('Checks'!$N$4:$N$503,_calc!$E$298)))</f>
        <v/>
      </c>
      <c r="K296" s="47">
        <f>IF(_calc!$E$298="","",IF(LEN(INDEX('Checks'!$M$4:$M$503,_calc!$E$298))=0,"",INDEX('Checks'!$M$4:$M$503,_calc!$E$298)))</f>
        <v/>
      </c>
    </row>
    <row r="297">
      <c r="A297" s="47">
        <f>IF(_calc!$E$299="","",IF(LEN(INDEX('Checks'!$B$4:$B$503,_calc!$E$299))=0,"",INDEX('Checks'!$B$4:$B$503,_calc!$E$299))&amp;" – "&amp;IF(LEN(INDEX('Checks'!$A$4:$A$503,_calc!$E$299))=0,"",INDEX('Checks'!$A$4:$A$503,_calc!$E$299)))</f>
        <v/>
      </c>
      <c r="B297" s="47">
        <f>IF(_calc!$E$299="","",IF(ISNUMBER(INDEX('Checks'!$D$4:$D$503,_calc!$E$299)),TEXT(INDEX('Checks'!$D$4:$D$503,_calc!$E$299),"yyyy-mm-dd"),""))</f>
        <v/>
      </c>
      <c r="C297" s="47">
        <f>IF(_calc!$E$299="","",IF(LEN(INDEX('Checks'!$B$4:$B$503,_calc!$E$299))=0,"",INDEX('Checks'!$B$4:$B$503,_calc!$E$299)))</f>
        <v/>
      </c>
      <c r="D297" s="47">
        <f>IF(_calc!$E$299="","",IF(ISNUMBER(INDEX('Checks'!$C$4:$C$503,_calc!$E$299)),TEXT(INDEX('Checks'!$C$4:$C$503,_calc!$E$299),"yyyy-mm-dd"),""))</f>
        <v/>
      </c>
      <c r="E297" s="47">
        <f>IF(_calc!$E$299="","",IF(LEN(INDEX('Checks'!$L$4:$L$503,_calc!$E$299))=0,"",INDEX('Checks'!$L$4:$L$503,_calc!$E$299)))</f>
        <v/>
      </c>
      <c r="F297" s="47">
        <f>IF(_calc!$E$299="","",TRIM(IF(LEN(IF(LEN(INDEX('Checks'!$I$4:$I$503,_calc!$E$299))=0,"",INDEX('Checks'!$I$4:$I$503,_calc!$E$299)))=0,"","Contractor: "&amp;IF(LEN(INDEX('Checks'!$I$4:$I$503,_calc!$E$299))=0,"",INDEX('Checks'!$I$4:$I$503,_calc!$E$299))&amp;". ")&amp;IF(LEN(IF(LEN(INDEX('Checks'!$J$4:$J$503,_calc!$E$299))=0,"",INDEX('Checks'!$J$4:$J$503,_calc!$E$299)))=0,"","Ref: "&amp;IF(LEN(INDEX('Checks'!$J$4:$J$503,_calc!$E$299))=0,"",INDEX('Checks'!$J$4:$J$503,_calc!$E$299))&amp;". ")&amp;IF(LEN(IF(ISNUMBER(INDEX('Checks'!$K$4:$K$503,_calc!$E$299)),TEXT(INDEX('Checks'!$K$4:$K$503,_calc!$E$299),"yyyy-mm-dd"),""))=0,"","Copy to tenant: "&amp;IF(ISNUMBER(INDEX('Checks'!$K$4:$K$503,_calc!$E$299)),TEXT(INDEX('Checks'!$K$4:$K$503,_calc!$E$299),"yyyy-mm-dd"),"")&amp;". ")&amp;IF(LEN(IF(LEN(INDEX('Checks'!$P$4:$P$503,_calc!$E$299))=0,"",INDEX('Checks'!$P$4:$P$503,_calc!$E$299)))=0,"",IF(LEN(INDEX('Checks'!$P$4:$P$503,_calc!$E$299))=0,"",INDEX('Checks'!$P$4:$P$503,_calc!$E$299)))))</f>
        <v/>
      </c>
      <c r="G297" s="47">
        <f>IF(_calc!$E$299="","",IF(LEN(INDEX('Checks'!$N$4:$N$503,_calc!$E$299))=0,"",INDEX('Checks'!$N$4:$N$503,_calc!$E$299)))</f>
        <v/>
      </c>
      <c r="K297" s="47">
        <f>IF(_calc!$E$299="","",IF(LEN(INDEX('Checks'!$M$4:$M$503,_calc!$E$299))=0,"",INDEX('Checks'!$M$4:$M$503,_calc!$E$299)))</f>
        <v/>
      </c>
    </row>
    <row r="298">
      <c r="A298" s="47">
        <f>IF(_calc!$E$300="","",IF(LEN(INDEX('Checks'!$B$4:$B$503,_calc!$E$300))=0,"",INDEX('Checks'!$B$4:$B$503,_calc!$E$300))&amp;" – "&amp;IF(LEN(INDEX('Checks'!$A$4:$A$503,_calc!$E$300))=0,"",INDEX('Checks'!$A$4:$A$503,_calc!$E$300)))</f>
        <v/>
      </c>
      <c r="B298" s="47">
        <f>IF(_calc!$E$300="","",IF(ISNUMBER(INDEX('Checks'!$D$4:$D$503,_calc!$E$300)),TEXT(INDEX('Checks'!$D$4:$D$503,_calc!$E$300),"yyyy-mm-dd"),""))</f>
        <v/>
      </c>
      <c r="C298" s="47">
        <f>IF(_calc!$E$300="","",IF(LEN(INDEX('Checks'!$B$4:$B$503,_calc!$E$300))=0,"",INDEX('Checks'!$B$4:$B$503,_calc!$E$300)))</f>
        <v/>
      </c>
      <c r="D298" s="47">
        <f>IF(_calc!$E$300="","",IF(ISNUMBER(INDEX('Checks'!$C$4:$C$503,_calc!$E$300)),TEXT(INDEX('Checks'!$C$4:$C$503,_calc!$E$300),"yyyy-mm-dd"),""))</f>
        <v/>
      </c>
      <c r="E298" s="47">
        <f>IF(_calc!$E$300="","",IF(LEN(INDEX('Checks'!$L$4:$L$503,_calc!$E$300))=0,"",INDEX('Checks'!$L$4:$L$503,_calc!$E$300)))</f>
        <v/>
      </c>
      <c r="F298" s="47">
        <f>IF(_calc!$E$300="","",TRIM(IF(LEN(IF(LEN(INDEX('Checks'!$I$4:$I$503,_calc!$E$300))=0,"",INDEX('Checks'!$I$4:$I$503,_calc!$E$300)))=0,"","Contractor: "&amp;IF(LEN(INDEX('Checks'!$I$4:$I$503,_calc!$E$300))=0,"",INDEX('Checks'!$I$4:$I$503,_calc!$E$300))&amp;". ")&amp;IF(LEN(IF(LEN(INDEX('Checks'!$J$4:$J$503,_calc!$E$300))=0,"",INDEX('Checks'!$J$4:$J$503,_calc!$E$300)))=0,"","Ref: "&amp;IF(LEN(INDEX('Checks'!$J$4:$J$503,_calc!$E$300))=0,"",INDEX('Checks'!$J$4:$J$503,_calc!$E$300))&amp;". ")&amp;IF(LEN(IF(ISNUMBER(INDEX('Checks'!$K$4:$K$503,_calc!$E$300)),TEXT(INDEX('Checks'!$K$4:$K$503,_calc!$E$300),"yyyy-mm-dd"),""))=0,"","Copy to tenant: "&amp;IF(ISNUMBER(INDEX('Checks'!$K$4:$K$503,_calc!$E$300)),TEXT(INDEX('Checks'!$K$4:$K$503,_calc!$E$300),"yyyy-mm-dd"),"")&amp;". ")&amp;IF(LEN(IF(LEN(INDEX('Checks'!$P$4:$P$503,_calc!$E$300))=0,"",INDEX('Checks'!$P$4:$P$503,_calc!$E$300)))=0,"",IF(LEN(INDEX('Checks'!$P$4:$P$503,_calc!$E$300))=0,"",INDEX('Checks'!$P$4:$P$503,_calc!$E$300)))))</f>
        <v/>
      </c>
      <c r="G298" s="47">
        <f>IF(_calc!$E$300="","",IF(LEN(INDEX('Checks'!$N$4:$N$503,_calc!$E$300))=0,"",INDEX('Checks'!$N$4:$N$503,_calc!$E$300)))</f>
        <v/>
      </c>
      <c r="K298" s="47">
        <f>IF(_calc!$E$300="","",IF(LEN(INDEX('Checks'!$M$4:$M$503,_calc!$E$300))=0,"",INDEX('Checks'!$M$4:$M$503,_calc!$E$300)))</f>
        <v/>
      </c>
    </row>
    <row r="299">
      <c r="A299" s="47">
        <f>IF(_calc!$E$301="","",IF(LEN(INDEX('Checks'!$B$4:$B$503,_calc!$E$301))=0,"",INDEX('Checks'!$B$4:$B$503,_calc!$E$301))&amp;" – "&amp;IF(LEN(INDEX('Checks'!$A$4:$A$503,_calc!$E$301))=0,"",INDEX('Checks'!$A$4:$A$503,_calc!$E$301)))</f>
        <v/>
      </c>
      <c r="B299" s="47">
        <f>IF(_calc!$E$301="","",IF(ISNUMBER(INDEX('Checks'!$D$4:$D$503,_calc!$E$301)),TEXT(INDEX('Checks'!$D$4:$D$503,_calc!$E$301),"yyyy-mm-dd"),""))</f>
        <v/>
      </c>
      <c r="C299" s="47">
        <f>IF(_calc!$E$301="","",IF(LEN(INDEX('Checks'!$B$4:$B$503,_calc!$E$301))=0,"",INDEX('Checks'!$B$4:$B$503,_calc!$E$301)))</f>
        <v/>
      </c>
      <c r="D299" s="47">
        <f>IF(_calc!$E$301="","",IF(ISNUMBER(INDEX('Checks'!$C$4:$C$503,_calc!$E$301)),TEXT(INDEX('Checks'!$C$4:$C$503,_calc!$E$301),"yyyy-mm-dd"),""))</f>
        <v/>
      </c>
      <c r="E299" s="47">
        <f>IF(_calc!$E$301="","",IF(LEN(INDEX('Checks'!$L$4:$L$503,_calc!$E$301))=0,"",INDEX('Checks'!$L$4:$L$503,_calc!$E$301)))</f>
        <v/>
      </c>
      <c r="F299" s="47">
        <f>IF(_calc!$E$301="","",TRIM(IF(LEN(IF(LEN(INDEX('Checks'!$I$4:$I$503,_calc!$E$301))=0,"",INDEX('Checks'!$I$4:$I$503,_calc!$E$301)))=0,"","Contractor: "&amp;IF(LEN(INDEX('Checks'!$I$4:$I$503,_calc!$E$301))=0,"",INDEX('Checks'!$I$4:$I$503,_calc!$E$301))&amp;". ")&amp;IF(LEN(IF(LEN(INDEX('Checks'!$J$4:$J$503,_calc!$E$301))=0,"",INDEX('Checks'!$J$4:$J$503,_calc!$E$301)))=0,"","Ref: "&amp;IF(LEN(INDEX('Checks'!$J$4:$J$503,_calc!$E$301))=0,"",INDEX('Checks'!$J$4:$J$503,_calc!$E$301))&amp;". ")&amp;IF(LEN(IF(ISNUMBER(INDEX('Checks'!$K$4:$K$503,_calc!$E$301)),TEXT(INDEX('Checks'!$K$4:$K$503,_calc!$E$301),"yyyy-mm-dd"),""))=0,"","Copy to tenant: "&amp;IF(ISNUMBER(INDEX('Checks'!$K$4:$K$503,_calc!$E$301)),TEXT(INDEX('Checks'!$K$4:$K$503,_calc!$E$301),"yyyy-mm-dd"),"")&amp;". ")&amp;IF(LEN(IF(LEN(INDEX('Checks'!$P$4:$P$503,_calc!$E$301))=0,"",INDEX('Checks'!$P$4:$P$503,_calc!$E$301)))=0,"",IF(LEN(INDEX('Checks'!$P$4:$P$503,_calc!$E$301))=0,"",INDEX('Checks'!$P$4:$P$503,_calc!$E$301)))))</f>
        <v/>
      </c>
      <c r="G299" s="47">
        <f>IF(_calc!$E$301="","",IF(LEN(INDEX('Checks'!$N$4:$N$503,_calc!$E$301))=0,"",INDEX('Checks'!$N$4:$N$503,_calc!$E$301)))</f>
        <v/>
      </c>
      <c r="K299" s="47">
        <f>IF(_calc!$E$301="","",IF(LEN(INDEX('Checks'!$M$4:$M$503,_calc!$E$301))=0,"",INDEX('Checks'!$M$4:$M$503,_calc!$E$301)))</f>
        <v/>
      </c>
    </row>
    <row r="300">
      <c r="A300" s="47">
        <f>IF(_calc!$E$302="","",IF(LEN(INDEX('Checks'!$B$4:$B$503,_calc!$E$302))=0,"",INDEX('Checks'!$B$4:$B$503,_calc!$E$302))&amp;" – "&amp;IF(LEN(INDEX('Checks'!$A$4:$A$503,_calc!$E$302))=0,"",INDEX('Checks'!$A$4:$A$503,_calc!$E$302)))</f>
        <v/>
      </c>
      <c r="B300" s="47">
        <f>IF(_calc!$E$302="","",IF(ISNUMBER(INDEX('Checks'!$D$4:$D$503,_calc!$E$302)),TEXT(INDEX('Checks'!$D$4:$D$503,_calc!$E$302),"yyyy-mm-dd"),""))</f>
        <v/>
      </c>
      <c r="C300" s="47">
        <f>IF(_calc!$E$302="","",IF(LEN(INDEX('Checks'!$B$4:$B$503,_calc!$E$302))=0,"",INDEX('Checks'!$B$4:$B$503,_calc!$E$302)))</f>
        <v/>
      </c>
      <c r="D300" s="47">
        <f>IF(_calc!$E$302="","",IF(ISNUMBER(INDEX('Checks'!$C$4:$C$503,_calc!$E$302)),TEXT(INDEX('Checks'!$C$4:$C$503,_calc!$E$302),"yyyy-mm-dd"),""))</f>
        <v/>
      </c>
      <c r="E300" s="47">
        <f>IF(_calc!$E$302="","",IF(LEN(INDEX('Checks'!$L$4:$L$503,_calc!$E$302))=0,"",INDEX('Checks'!$L$4:$L$503,_calc!$E$302)))</f>
        <v/>
      </c>
      <c r="F300" s="47">
        <f>IF(_calc!$E$302="","",TRIM(IF(LEN(IF(LEN(INDEX('Checks'!$I$4:$I$503,_calc!$E$302))=0,"",INDEX('Checks'!$I$4:$I$503,_calc!$E$302)))=0,"","Contractor: "&amp;IF(LEN(INDEX('Checks'!$I$4:$I$503,_calc!$E$302))=0,"",INDEX('Checks'!$I$4:$I$503,_calc!$E$302))&amp;". ")&amp;IF(LEN(IF(LEN(INDEX('Checks'!$J$4:$J$503,_calc!$E$302))=0,"",INDEX('Checks'!$J$4:$J$503,_calc!$E$302)))=0,"","Ref: "&amp;IF(LEN(INDEX('Checks'!$J$4:$J$503,_calc!$E$302))=0,"",INDEX('Checks'!$J$4:$J$503,_calc!$E$302))&amp;". ")&amp;IF(LEN(IF(ISNUMBER(INDEX('Checks'!$K$4:$K$503,_calc!$E$302)),TEXT(INDEX('Checks'!$K$4:$K$503,_calc!$E$302),"yyyy-mm-dd"),""))=0,"","Copy to tenant: "&amp;IF(ISNUMBER(INDEX('Checks'!$K$4:$K$503,_calc!$E$302)),TEXT(INDEX('Checks'!$K$4:$K$503,_calc!$E$302),"yyyy-mm-dd"),"")&amp;". ")&amp;IF(LEN(IF(LEN(INDEX('Checks'!$P$4:$P$503,_calc!$E$302))=0,"",INDEX('Checks'!$P$4:$P$503,_calc!$E$302)))=0,"",IF(LEN(INDEX('Checks'!$P$4:$P$503,_calc!$E$302))=0,"",INDEX('Checks'!$P$4:$P$503,_calc!$E$302)))))</f>
        <v/>
      </c>
      <c r="G300" s="47">
        <f>IF(_calc!$E$302="","",IF(LEN(INDEX('Checks'!$N$4:$N$503,_calc!$E$302))=0,"",INDEX('Checks'!$N$4:$N$503,_calc!$E$302)))</f>
        <v/>
      </c>
      <c r="K300" s="47">
        <f>IF(_calc!$E$302="","",IF(LEN(INDEX('Checks'!$M$4:$M$503,_calc!$E$302))=0,"",INDEX('Checks'!$M$4:$M$503,_calc!$E$302)))</f>
        <v/>
      </c>
    </row>
    <row r="301">
      <c r="A301" s="47">
        <f>IF(_calc!$E$303="","",IF(LEN(INDEX('Checks'!$B$4:$B$503,_calc!$E$303))=0,"",INDEX('Checks'!$B$4:$B$503,_calc!$E$303))&amp;" – "&amp;IF(LEN(INDEX('Checks'!$A$4:$A$503,_calc!$E$303))=0,"",INDEX('Checks'!$A$4:$A$503,_calc!$E$303)))</f>
        <v/>
      </c>
      <c r="B301" s="47">
        <f>IF(_calc!$E$303="","",IF(ISNUMBER(INDEX('Checks'!$D$4:$D$503,_calc!$E$303)),TEXT(INDEX('Checks'!$D$4:$D$503,_calc!$E$303),"yyyy-mm-dd"),""))</f>
        <v/>
      </c>
      <c r="C301" s="47">
        <f>IF(_calc!$E$303="","",IF(LEN(INDEX('Checks'!$B$4:$B$503,_calc!$E$303))=0,"",INDEX('Checks'!$B$4:$B$503,_calc!$E$303)))</f>
        <v/>
      </c>
      <c r="D301" s="47">
        <f>IF(_calc!$E$303="","",IF(ISNUMBER(INDEX('Checks'!$C$4:$C$503,_calc!$E$303)),TEXT(INDEX('Checks'!$C$4:$C$503,_calc!$E$303),"yyyy-mm-dd"),""))</f>
        <v/>
      </c>
      <c r="E301" s="47">
        <f>IF(_calc!$E$303="","",IF(LEN(INDEX('Checks'!$L$4:$L$503,_calc!$E$303))=0,"",INDEX('Checks'!$L$4:$L$503,_calc!$E$303)))</f>
        <v/>
      </c>
      <c r="F301" s="47">
        <f>IF(_calc!$E$303="","",TRIM(IF(LEN(IF(LEN(INDEX('Checks'!$I$4:$I$503,_calc!$E$303))=0,"",INDEX('Checks'!$I$4:$I$503,_calc!$E$303)))=0,"","Contractor: "&amp;IF(LEN(INDEX('Checks'!$I$4:$I$503,_calc!$E$303))=0,"",INDEX('Checks'!$I$4:$I$503,_calc!$E$303))&amp;". ")&amp;IF(LEN(IF(LEN(INDEX('Checks'!$J$4:$J$503,_calc!$E$303))=0,"",INDEX('Checks'!$J$4:$J$503,_calc!$E$303)))=0,"","Ref: "&amp;IF(LEN(INDEX('Checks'!$J$4:$J$503,_calc!$E$303))=0,"",INDEX('Checks'!$J$4:$J$503,_calc!$E$303))&amp;". ")&amp;IF(LEN(IF(ISNUMBER(INDEX('Checks'!$K$4:$K$503,_calc!$E$303)),TEXT(INDEX('Checks'!$K$4:$K$503,_calc!$E$303),"yyyy-mm-dd"),""))=0,"","Copy to tenant: "&amp;IF(ISNUMBER(INDEX('Checks'!$K$4:$K$503,_calc!$E$303)),TEXT(INDEX('Checks'!$K$4:$K$503,_calc!$E$303),"yyyy-mm-dd"),"")&amp;". ")&amp;IF(LEN(IF(LEN(INDEX('Checks'!$P$4:$P$503,_calc!$E$303))=0,"",INDEX('Checks'!$P$4:$P$503,_calc!$E$303)))=0,"",IF(LEN(INDEX('Checks'!$P$4:$P$503,_calc!$E$303))=0,"",INDEX('Checks'!$P$4:$P$503,_calc!$E$303)))))</f>
        <v/>
      </c>
      <c r="G301" s="47">
        <f>IF(_calc!$E$303="","",IF(LEN(INDEX('Checks'!$N$4:$N$503,_calc!$E$303))=0,"",INDEX('Checks'!$N$4:$N$503,_calc!$E$303)))</f>
        <v/>
      </c>
      <c r="K301" s="47">
        <f>IF(_calc!$E$303="","",IF(LEN(INDEX('Checks'!$M$4:$M$503,_calc!$E$303))=0,"",INDEX('Checks'!$M$4:$M$503,_calc!$E$303)))</f>
        <v/>
      </c>
    </row>
    <row r="302">
      <c r="A302" s="47">
        <f>IF(_calc!$E$304="","",IF(LEN(INDEX('Checks'!$B$4:$B$503,_calc!$E$304))=0,"",INDEX('Checks'!$B$4:$B$503,_calc!$E$304))&amp;" – "&amp;IF(LEN(INDEX('Checks'!$A$4:$A$503,_calc!$E$304))=0,"",INDEX('Checks'!$A$4:$A$503,_calc!$E$304)))</f>
        <v/>
      </c>
      <c r="B302" s="47">
        <f>IF(_calc!$E$304="","",IF(ISNUMBER(INDEX('Checks'!$D$4:$D$503,_calc!$E$304)),TEXT(INDEX('Checks'!$D$4:$D$503,_calc!$E$304),"yyyy-mm-dd"),""))</f>
        <v/>
      </c>
      <c r="C302" s="47">
        <f>IF(_calc!$E$304="","",IF(LEN(INDEX('Checks'!$B$4:$B$503,_calc!$E$304))=0,"",INDEX('Checks'!$B$4:$B$503,_calc!$E$304)))</f>
        <v/>
      </c>
      <c r="D302" s="47">
        <f>IF(_calc!$E$304="","",IF(ISNUMBER(INDEX('Checks'!$C$4:$C$503,_calc!$E$304)),TEXT(INDEX('Checks'!$C$4:$C$503,_calc!$E$304),"yyyy-mm-dd"),""))</f>
        <v/>
      </c>
      <c r="E302" s="47">
        <f>IF(_calc!$E$304="","",IF(LEN(INDEX('Checks'!$L$4:$L$503,_calc!$E$304))=0,"",INDEX('Checks'!$L$4:$L$503,_calc!$E$304)))</f>
        <v/>
      </c>
      <c r="F302" s="47">
        <f>IF(_calc!$E$304="","",TRIM(IF(LEN(IF(LEN(INDEX('Checks'!$I$4:$I$503,_calc!$E$304))=0,"",INDEX('Checks'!$I$4:$I$503,_calc!$E$304)))=0,"","Contractor: "&amp;IF(LEN(INDEX('Checks'!$I$4:$I$503,_calc!$E$304))=0,"",INDEX('Checks'!$I$4:$I$503,_calc!$E$304))&amp;". ")&amp;IF(LEN(IF(LEN(INDEX('Checks'!$J$4:$J$503,_calc!$E$304))=0,"",INDEX('Checks'!$J$4:$J$503,_calc!$E$304)))=0,"","Ref: "&amp;IF(LEN(INDEX('Checks'!$J$4:$J$503,_calc!$E$304))=0,"",INDEX('Checks'!$J$4:$J$503,_calc!$E$304))&amp;". ")&amp;IF(LEN(IF(ISNUMBER(INDEX('Checks'!$K$4:$K$503,_calc!$E$304)),TEXT(INDEX('Checks'!$K$4:$K$503,_calc!$E$304),"yyyy-mm-dd"),""))=0,"","Copy to tenant: "&amp;IF(ISNUMBER(INDEX('Checks'!$K$4:$K$503,_calc!$E$304)),TEXT(INDEX('Checks'!$K$4:$K$503,_calc!$E$304),"yyyy-mm-dd"),"")&amp;". ")&amp;IF(LEN(IF(LEN(INDEX('Checks'!$P$4:$P$503,_calc!$E$304))=0,"",INDEX('Checks'!$P$4:$P$503,_calc!$E$304)))=0,"",IF(LEN(INDEX('Checks'!$P$4:$P$503,_calc!$E$304))=0,"",INDEX('Checks'!$P$4:$P$503,_calc!$E$304)))))</f>
        <v/>
      </c>
      <c r="G302" s="47">
        <f>IF(_calc!$E$304="","",IF(LEN(INDEX('Checks'!$N$4:$N$503,_calc!$E$304))=0,"",INDEX('Checks'!$N$4:$N$503,_calc!$E$304)))</f>
        <v/>
      </c>
      <c r="K302" s="47">
        <f>IF(_calc!$E$304="","",IF(LEN(INDEX('Checks'!$M$4:$M$503,_calc!$E$304))=0,"",INDEX('Checks'!$M$4:$M$503,_calc!$E$304)))</f>
        <v/>
      </c>
    </row>
    <row r="303">
      <c r="A303" s="47">
        <f>IF(_calc!$E$305="","",IF(LEN(INDEX('Checks'!$B$4:$B$503,_calc!$E$305))=0,"",INDEX('Checks'!$B$4:$B$503,_calc!$E$305))&amp;" – "&amp;IF(LEN(INDEX('Checks'!$A$4:$A$503,_calc!$E$305))=0,"",INDEX('Checks'!$A$4:$A$503,_calc!$E$305)))</f>
        <v/>
      </c>
      <c r="B303" s="47">
        <f>IF(_calc!$E$305="","",IF(ISNUMBER(INDEX('Checks'!$D$4:$D$503,_calc!$E$305)),TEXT(INDEX('Checks'!$D$4:$D$503,_calc!$E$305),"yyyy-mm-dd"),""))</f>
        <v/>
      </c>
      <c r="C303" s="47">
        <f>IF(_calc!$E$305="","",IF(LEN(INDEX('Checks'!$B$4:$B$503,_calc!$E$305))=0,"",INDEX('Checks'!$B$4:$B$503,_calc!$E$305)))</f>
        <v/>
      </c>
      <c r="D303" s="47">
        <f>IF(_calc!$E$305="","",IF(ISNUMBER(INDEX('Checks'!$C$4:$C$503,_calc!$E$305)),TEXT(INDEX('Checks'!$C$4:$C$503,_calc!$E$305),"yyyy-mm-dd"),""))</f>
        <v/>
      </c>
      <c r="E303" s="47">
        <f>IF(_calc!$E$305="","",IF(LEN(INDEX('Checks'!$L$4:$L$503,_calc!$E$305))=0,"",INDEX('Checks'!$L$4:$L$503,_calc!$E$305)))</f>
        <v/>
      </c>
      <c r="F303" s="47">
        <f>IF(_calc!$E$305="","",TRIM(IF(LEN(IF(LEN(INDEX('Checks'!$I$4:$I$503,_calc!$E$305))=0,"",INDEX('Checks'!$I$4:$I$503,_calc!$E$305)))=0,"","Contractor: "&amp;IF(LEN(INDEX('Checks'!$I$4:$I$503,_calc!$E$305))=0,"",INDEX('Checks'!$I$4:$I$503,_calc!$E$305))&amp;". ")&amp;IF(LEN(IF(LEN(INDEX('Checks'!$J$4:$J$503,_calc!$E$305))=0,"",INDEX('Checks'!$J$4:$J$503,_calc!$E$305)))=0,"","Ref: "&amp;IF(LEN(INDEX('Checks'!$J$4:$J$503,_calc!$E$305))=0,"",INDEX('Checks'!$J$4:$J$503,_calc!$E$305))&amp;". ")&amp;IF(LEN(IF(ISNUMBER(INDEX('Checks'!$K$4:$K$503,_calc!$E$305)),TEXT(INDEX('Checks'!$K$4:$K$503,_calc!$E$305),"yyyy-mm-dd"),""))=0,"","Copy to tenant: "&amp;IF(ISNUMBER(INDEX('Checks'!$K$4:$K$503,_calc!$E$305)),TEXT(INDEX('Checks'!$K$4:$K$503,_calc!$E$305),"yyyy-mm-dd"),"")&amp;". ")&amp;IF(LEN(IF(LEN(INDEX('Checks'!$P$4:$P$503,_calc!$E$305))=0,"",INDEX('Checks'!$P$4:$P$503,_calc!$E$305)))=0,"",IF(LEN(INDEX('Checks'!$P$4:$P$503,_calc!$E$305))=0,"",INDEX('Checks'!$P$4:$P$503,_calc!$E$305)))))</f>
        <v/>
      </c>
      <c r="G303" s="47">
        <f>IF(_calc!$E$305="","",IF(LEN(INDEX('Checks'!$N$4:$N$503,_calc!$E$305))=0,"",INDEX('Checks'!$N$4:$N$503,_calc!$E$305)))</f>
        <v/>
      </c>
      <c r="K303" s="47">
        <f>IF(_calc!$E$305="","",IF(LEN(INDEX('Checks'!$M$4:$M$503,_calc!$E$305))=0,"",INDEX('Checks'!$M$4:$M$503,_calc!$E$305)))</f>
        <v/>
      </c>
    </row>
    <row r="304">
      <c r="A304" s="47">
        <f>IF(_calc!$E$306="","",IF(LEN(INDEX('Checks'!$B$4:$B$503,_calc!$E$306))=0,"",INDEX('Checks'!$B$4:$B$503,_calc!$E$306))&amp;" – "&amp;IF(LEN(INDEX('Checks'!$A$4:$A$503,_calc!$E$306))=0,"",INDEX('Checks'!$A$4:$A$503,_calc!$E$306)))</f>
        <v/>
      </c>
      <c r="B304" s="47">
        <f>IF(_calc!$E$306="","",IF(ISNUMBER(INDEX('Checks'!$D$4:$D$503,_calc!$E$306)),TEXT(INDEX('Checks'!$D$4:$D$503,_calc!$E$306),"yyyy-mm-dd"),""))</f>
        <v/>
      </c>
      <c r="C304" s="47">
        <f>IF(_calc!$E$306="","",IF(LEN(INDEX('Checks'!$B$4:$B$503,_calc!$E$306))=0,"",INDEX('Checks'!$B$4:$B$503,_calc!$E$306)))</f>
        <v/>
      </c>
      <c r="D304" s="47">
        <f>IF(_calc!$E$306="","",IF(ISNUMBER(INDEX('Checks'!$C$4:$C$503,_calc!$E$306)),TEXT(INDEX('Checks'!$C$4:$C$503,_calc!$E$306),"yyyy-mm-dd"),""))</f>
        <v/>
      </c>
      <c r="E304" s="47">
        <f>IF(_calc!$E$306="","",IF(LEN(INDEX('Checks'!$L$4:$L$503,_calc!$E$306))=0,"",INDEX('Checks'!$L$4:$L$503,_calc!$E$306)))</f>
        <v/>
      </c>
      <c r="F304" s="47">
        <f>IF(_calc!$E$306="","",TRIM(IF(LEN(IF(LEN(INDEX('Checks'!$I$4:$I$503,_calc!$E$306))=0,"",INDEX('Checks'!$I$4:$I$503,_calc!$E$306)))=0,"","Contractor: "&amp;IF(LEN(INDEX('Checks'!$I$4:$I$503,_calc!$E$306))=0,"",INDEX('Checks'!$I$4:$I$503,_calc!$E$306))&amp;". ")&amp;IF(LEN(IF(LEN(INDEX('Checks'!$J$4:$J$503,_calc!$E$306))=0,"",INDEX('Checks'!$J$4:$J$503,_calc!$E$306)))=0,"","Ref: "&amp;IF(LEN(INDEX('Checks'!$J$4:$J$503,_calc!$E$306))=0,"",INDEX('Checks'!$J$4:$J$503,_calc!$E$306))&amp;". ")&amp;IF(LEN(IF(ISNUMBER(INDEX('Checks'!$K$4:$K$503,_calc!$E$306)),TEXT(INDEX('Checks'!$K$4:$K$503,_calc!$E$306),"yyyy-mm-dd"),""))=0,"","Copy to tenant: "&amp;IF(ISNUMBER(INDEX('Checks'!$K$4:$K$503,_calc!$E$306)),TEXT(INDEX('Checks'!$K$4:$K$503,_calc!$E$306),"yyyy-mm-dd"),"")&amp;". ")&amp;IF(LEN(IF(LEN(INDEX('Checks'!$P$4:$P$503,_calc!$E$306))=0,"",INDEX('Checks'!$P$4:$P$503,_calc!$E$306)))=0,"",IF(LEN(INDEX('Checks'!$P$4:$P$503,_calc!$E$306))=0,"",INDEX('Checks'!$P$4:$P$503,_calc!$E$306)))))</f>
        <v/>
      </c>
      <c r="G304" s="47">
        <f>IF(_calc!$E$306="","",IF(LEN(INDEX('Checks'!$N$4:$N$503,_calc!$E$306))=0,"",INDEX('Checks'!$N$4:$N$503,_calc!$E$306)))</f>
        <v/>
      </c>
      <c r="K304" s="47">
        <f>IF(_calc!$E$306="","",IF(LEN(INDEX('Checks'!$M$4:$M$503,_calc!$E$306))=0,"",INDEX('Checks'!$M$4:$M$503,_calc!$E$306)))</f>
        <v/>
      </c>
    </row>
    <row r="305">
      <c r="A305" s="47">
        <f>IF(_calc!$E$307="","",IF(LEN(INDEX('Checks'!$B$4:$B$503,_calc!$E$307))=0,"",INDEX('Checks'!$B$4:$B$503,_calc!$E$307))&amp;" – "&amp;IF(LEN(INDEX('Checks'!$A$4:$A$503,_calc!$E$307))=0,"",INDEX('Checks'!$A$4:$A$503,_calc!$E$307)))</f>
        <v/>
      </c>
      <c r="B305" s="47">
        <f>IF(_calc!$E$307="","",IF(ISNUMBER(INDEX('Checks'!$D$4:$D$503,_calc!$E$307)),TEXT(INDEX('Checks'!$D$4:$D$503,_calc!$E$307),"yyyy-mm-dd"),""))</f>
        <v/>
      </c>
      <c r="C305" s="47">
        <f>IF(_calc!$E$307="","",IF(LEN(INDEX('Checks'!$B$4:$B$503,_calc!$E$307))=0,"",INDEX('Checks'!$B$4:$B$503,_calc!$E$307)))</f>
        <v/>
      </c>
      <c r="D305" s="47">
        <f>IF(_calc!$E$307="","",IF(ISNUMBER(INDEX('Checks'!$C$4:$C$503,_calc!$E$307)),TEXT(INDEX('Checks'!$C$4:$C$503,_calc!$E$307),"yyyy-mm-dd"),""))</f>
        <v/>
      </c>
      <c r="E305" s="47">
        <f>IF(_calc!$E$307="","",IF(LEN(INDEX('Checks'!$L$4:$L$503,_calc!$E$307))=0,"",INDEX('Checks'!$L$4:$L$503,_calc!$E$307)))</f>
        <v/>
      </c>
      <c r="F305" s="47">
        <f>IF(_calc!$E$307="","",TRIM(IF(LEN(IF(LEN(INDEX('Checks'!$I$4:$I$503,_calc!$E$307))=0,"",INDEX('Checks'!$I$4:$I$503,_calc!$E$307)))=0,"","Contractor: "&amp;IF(LEN(INDEX('Checks'!$I$4:$I$503,_calc!$E$307))=0,"",INDEX('Checks'!$I$4:$I$503,_calc!$E$307))&amp;". ")&amp;IF(LEN(IF(LEN(INDEX('Checks'!$J$4:$J$503,_calc!$E$307))=0,"",INDEX('Checks'!$J$4:$J$503,_calc!$E$307)))=0,"","Ref: "&amp;IF(LEN(INDEX('Checks'!$J$4:$J$503,_calc!$E$307))=0,"",INDEX('Checks'!$J$4:$J$503,_calc!$E$307))&amp;". ")&amp;IF(LEN(IF(ISNUMBER(INDEX('Checks'!$K$4:$K$503,_calc!$E$307)),TEXT(INDEX('Checks'!$K$4:$K$503,_calc!$E$307),"yyyy-mm-dd"),""))=0,"","Copy to tenant: "&amp;IF(ISNUMBER(INDEX('Checks'!$K$4:$K$503,_calc!$E$307)),TEXT(INDEX('Checks'!$K$4:$K$503,_calc!$E$307),"yyyy-mm-dd"),"")&amp;". ")&amp;IF(LEN(IF(LEN(INDEX('Checks'!$P$4:$P$503,_calc!$E$307))=0,"",INDEX('Checks'!$P$4:$P$503,_calc!$E$307)))=0,"",IF(LEN(INDEX('Checks'!$P$4:$P$503,_calc!$E$307))=0,"",INDEX('Checks'!$P$4:$P$503,_calc!$E$307)))))</f>
        <v/>
      </c>
      <c r="G305" s="47">
        <f>IF(_calc!$E$307="","",IF(LEN(INDEX('Checks'!$N$4:$N$503,_calc!$E$307))=0,"",INDEX('Checks'!$N$4:$N$503,_calc!$E$307)))</f>
        <v/>
      </c>
      <c r="K305" s="47">
        <f>IF(_calc!$E$307="","",IF(LEN(INDEX('Checks'!$M$4:$M$503,_calc!$E$307))=0,"",INDEX('Checks'!$M$4:$M$503,_calc!$E$307)))</f>
        <v/>
      </c>
    </row>
    <row r="306">
      <c r="A306" s="47">
        <f>IF(_calc!$E$308="","",IF(LEN(INDEX('Checks'!$B$4:$B$503,_calc!$E$308))=0,"",INDEX('Checks'!$B$4:$B$503,_calc!$E$308))&amp;" – "&amp;IF(LEN(INDEX('Checks'!$A$4:$A$503,_calc!$E$308))=0,"",INDEX('Checks'!$A$4:$A$503,_calc!$E$308)))</f>
        <v/>
      </c>
      <c r="B306" s="47">
        <f>IF(_calc!$E$308="","",IF(ISNUMBER(INDEX('Checks'!$D$4:$D$503,_calc!$E$308)),TEXT(INDEX('Checks'!$D$4:$D$503,_calc!$E$308),"yyyy-mm-dd"),""))</f>
        <v/>
      </c>
      <c r="C306" s="47">
        <f>IF(_calc!$E$308="","",IF(LEN(INDEX('Checks'!$B$4:$B$503,_calc!$E$308))=0,"",INDEX('Checks'!$B$4:$B$503,_calc!$E$308)))</f>
        <v/>
      </c>
      <c r="D306" s="47">
        <f>IF(_calc!$E$308="","",IF(ISNUMBER(INDEX('Checks'!$C$4:$C$503,_calc!$E$308)),TEXT(INDEX('Checks'!$C$4:$C$503,_calc!$E$308),"yyyy-mm-dd"),""))</f>
        <v/>
      </c>
      <c r="E306" s="47">
        <f>IF(_calc!$E$308="","",IF(LEN(INDEX('Checks'!$L$4:$L$503,_calc!$E$308))=0,"",INDEX('Checks'!$L$4:$L$503,_calc!$E$308)))</f>
        <v/>
      </c>
      <c r="F306" s="47">
        <f>IF(_calc!$E$308="","",TRIM(IF(LEN(IF(LEN(INDEX('Checks'!$I$4:$I$503,_calc!$E$308))=0,"",INDEX('Checks'!$I$4:$I$503,_calc!$E$308)))=0,"","Contractor: "&amp;IF(LEN(INDEX('Checks'!$I$4:$I$503,_calc!$E$308))=0,"",INDEX('Checks'!$I$4:$I$503,_calc!$E$308))&amp;". ")&amp;IF(LEN(IF(LEN(INDEX('Checks'!$J$4:$J$503,_calc!$E$308))=0,"",INDEX('Checks'!$J$4:$J$503,_calc!$E$308)))=0,"","Ref: "&amp;IF(LEN(INDEX('Checks'!$J$4:$J$503,_calc!$E$308))=0,"",INDEX('Checks'!$J$4:$J$503,_calc!$E$308))&amp;". ")&amp;IF(LEN(IF(ISNUMBER(INDEX('Checks'!$K$4:$K$503,_calc!$E$308)),TEXT(INDEX('Checks'!$K$4:$K$503,_calc!$E$308),"yyyy-mm-dd"),""))=0,"","Copy to tenant: "&amp;IF(ISNUMBER(INDEX('Checks'!$K$4:$K$503,_calc!$E$308)),TEXT(INDEX('Checks'!$K$4:$K$503,_calc!$E$308),"yyyy-mm-dd"),"")&amp;". ")&amp;IF(LEN(IF(LEN(INDEX('Checks'!$P$4:$P$503,_calc!$E$308))=0,"",INDEX('Checks'!$P$4:$P$503,_calc!$E$308)))=0,"",IF(LEN(INDEX('Checks'!$P$4:$P$503,_calc!$E$308))=0,"",INDEX('Checks'!$P$4:$P$503,_calc!$E$308)))))</f>
        <v/>
      </c>
      <c r="G306" s="47">
        <f>IF(_calc!$E$308="","",IF(LEN(INDEX('Checks'!$N$4:$N$503,_calc!$E$308))=0,"",INDEX('Checks'!$N$4:$N$503,_calc!$E$308)))</f>
        <v/>
      </c>
      <c r="K306" s="47">
        <f>IF(_calc!$E$308="","",IF(LEN(INDEX('Checks'!$M$4:$M$503,_calc!$E$308))=0,"",INDEX('Checks'!$M$4:$M$503,_calc!$E$308)))</f>
        <v/>
      </c>
    </row>
    <row r="307">
      <c r="A307" s="47">
        <f>IF(_calc!$E$309="","",IF(LEN(INDEX('Checks'!$B$4:$B$503,_calc!$E$309))=0,"",INDEX('Checks'!$B$4:$B$503,_calc!$E$309))&amp;" – "&amp;IF(LEN(INDEX('Checks'!$A$4:$A$503,_calc!$E$309))=0,"",INDEX('Checks'!$A$4:$A$503,_calc!$E$309)))</f>
        <v/>
      </c>
      <c r="B307" s="47">
        <f>IF(_calc!$E$309="","",IF(ISNUMBER(INDEX('Checks'!$D$4:$D$503,_calc!$E$309)),TEXT(INDEX('Checks'!$D$4:$D$503,_calc!$E$309),"yyyy-mm-dd"),""))</f>
        <v/>
      </c>
      <c r="C307" s="47">
        <f>IF(_calc!$E$309="","",IF(LEN(INDEX('Checks'!$B$4:$B$503,_calc!$E$309))=0,"",INDEX('Checks'!$B$4:$B$503,_calc!$E$309)))</f>
        <v/>
      </c>
      <c r="D307" s="47">
        <f>IF(_calc!$E$309="","",IF(ISNUMBER(INDEX('Checks'!$C$4:$C$503,_calc!$E$309)),TEXT(INDEX('Checks'!$C$4:$C$503,_calc!$E$309),"yyyy-mm-dd"),""))</f>
        <v/>
      </c>
      <c r="E307" s="47">
        <f>IF(_calc!$E$309="","",IF(LEN(INDEX('Checks'!$L$4:$L$503,_calc!$E$309))=0,"",INDEX('Checks'!$L$4:$L$503,_calc!$E$309)))</f>
        <v/>
      </c>
      <c r="F307" s="47">
        <f>IF(_calc!$E$309="","",TRIM(IF(LEN(IF(LEN(INDEX('Checks'!$I$4:$I$503,_calc!$E$309))=0,"",INDEX('Checks'!$I$4:$I$503,_calc!$E$309)))=0,"","Contractor: "&amp;IF(LEN(INDEX('Checks'!$I$4:$I$503,_calc!$E$309))=0,"",INDEX('Checks'!$I$4:$I$503,_calc!$E$309))&amp;". ")&amp;IF(LEN(IF(LEN(INDEX('Checks'!$J$4:$J$503,_calc!$E$309))=0,"",INDEX('Checks'!$J$4:$J$503,_calc!$E$309)))=0,"","Ref: "&amp;IF(LEN(INDEX('Checks'!$J$4:$J$503,_calc!$E$309))=0,"",INDEX('Checks'!$J$4:$J$503,_calc!$E$309))&amp;". ")&amp;IF(LEN(IF(ISNUMBER(INDEX('Checks'!$K$4:$K$503,_calc!$E$309)),TEXT(INDEX('Checks'!$K$4:$K$503,_calc!$E$309),"yyyy-mm-dd"),""))=0,"","Copy to tenant: "&amp;IF(ISNUMBER(INDEX('Checks'!$K$4:$K$503,_calc!$E$309)),TEXT(INDEX('Checks'!$K$4:$K$503,_calc!$E$309),"yyyy-mm-dd"),"")&amp;". ")&amp;IF(LEN(IF(LEN(INDEX('Checks'!$P$4:$P$503,_calc!$E$309))=0,"",INDEX('Checks'!$P$4:$P$503,_calc!$E$309)))=0,"",IF(LEN(INDEX('Checks'!$P$4:$P$503,_calc!$E$309))=0,"",INDEX('Checks'!$P$4:$P$503,_calc!$E$309)))))</f>
        <v/>
      </c>
      <c r="G307" s="47">
        <f>IF(_calc!$E$309="","",IF(LEN(INDEX('Checks'!$N$4:$N$503,_calc!$E$309))=0,"",INDEX('Checks'!$N$4:$N$503,_calc!$E$309)))</f>
        <v/>
      </c>
      <c r="K307" s="47">
        <f>IF(_calc!$E$309="","",IF(LEN(INDEX('Checks'!$M$4:$M$503,_calc!$E$309))=0,"",INDEX('Checks'!$M$4:$M$503,_calc!$E$309)))</f>
        <v/>
      </c>
    </row>
    <row r="308">
      <c r="A308" s="47">
        <f>IF(_calc!$E$310="","",IF(LEN(INDEX('Checks'!$B$4:$B$503,_calc!$E$310))=0,"",INDEX('Checks'!$B$4:$B$503,_calc!$E$310))&amp;" – "&amp;IF(LEN(INDEX('Checks'!$A$4:$A$503,_calc!$E$310))=0,"",INDEX('Checks'!$A$4:$A$503,_calc!$E$310)))</f>
        <v/>
      </c>
      <c r="B308" s="47">
        <f>IF(_calc!$E$310="","",IF(ISNUMBER(INDEX('Checks'!$D$4:$D$503,_calc!$E$310)),TEXT(INDEX('Checks'!$D$4:$D$503,_calc!$E$310),"yyyy-mm-dd"),""))</f>
        <v/>
      </c>
      <c r="C308" s="47">
        <f>IF(_calc!$E$310="","",IF(LEN(INDEX('Checks'!$B$4:$B$503,_calc!$E$310))=0,"",INDEX('Checks'!$B$4:$B$503,_calc!$E$310)))</f>
        <v/>
      </c>
      <c r="D308" s="47">
        <f>IF(_calc!$E$310="","",IF(ISNUMBER(INDEX('Checks'!$C$4:$C$503,_calc!$E$310)),TEXT(INDEX('Checks'!$C$4:$C$503,_calc!$E$310),"yyyy-mm-dd"),""))</f>
        <v/>
      </c>
      <c r="E308" s="47">
        <f>IF(_calc!$E$310="","",IF(LEN(INDEX('Checks'!$L$4:$L$503,_calc!$E$310))=0,"",INDEX('Checks'!$L$4:$L$503,_calc!$E$310)))</f>
        <v/>
      </c>
      <c r="F308" s="47">
        <f>IF(_calc!$E$310="","",TRIM(IF(LEN(IF(LEN(INDEX('Checks'!$I$4:$I$503,_calc!$E$310))=0,"",INDEX('Checks'!$I$4:$I$503,_calc!$E$310)))=0,"","Contractor: "&amp;IF(LEN(INDEX('Checks'!$I$4:$I$503,_calc!$E$310))=0,"",INDEX('Checks'!$I$4:$I$503,_calc!$E$310))&amp;". ")&amp;IF(LEN(IF(LEN(INDEX('Checks'!$J$4:$J$503,_calc!$E$310))=0,"",INDEX('Checks'!$J$4:$J$503,_calc!$E$310)))=0,"","Ref: "&amp;IF(LEN(INDEX('Checks'!$J$4:$J$503,_calc!$E$310))=0,"",INDEX('Checks'!$J$4:$J$503,_calc!$E$310))&amp;". ")&amp;IF(LEN(IF(ISNUMBER(INDEX('Checks'!$K$4:$K$503,_calc!$E$310)),TEXT(INDEX('Checks'!$K$4:$K$503,_calc!$E$310),"yyyy-mm-dd"),""))=0,"","Copy to tenant: "&amp;IF(ISNUMBER(INDEX('Checks'!$K$4:$K$503,_calc!$E$310)),TEXT(INDEX('Checks'!$K$4:$K$503,_calc!$E$310),"yyyy-mm-dd"),"")&amp;". ")&amp;IF(LEN(IF(LEN(INDEX('Checks'!$P$4:$P$503,_calc!$E$310))=0,"",INDEX('Checks'!$P$4:$P$503,_calc!$E$310)))=0,"",IF(LEN(INDEX('Checks'!$P$4:$P$503,_calc!$E$310))=0,"",INDEX('Checks'!$P$4:$P$503,_calc!$E$310)))))</f>
        <v/>
      </c>
      <c r="G308" s="47">
        <f>IF(_calc!$E$310="","",IF(LEN(INDEX('Checks'!$N$4:$N$503,_calc!$E$310))=0,"",INDEX('Checks'!$N$4:$N$503,_calc!$E$310)))</f>
        <v/>
      </c>
      <c r="K308" s="47">
        <f>IF(_calc!$E$310="","",IF(LEN(INDEX('Checks'!$M$4:$M$503,_calc!$E$310))=0,"",INDEX('Checks'!$M$4:$M$503,_calc!$E$310)))</f>
        <v/>
      </c>
    </row>
    <row r="309">
      <c r="A309" s="47">
        <f>IF(_calc!$E$311="","",IF(LEN(INDEX('Checks'!$B$4:$B$503,_calc!$E$311))=0,"",INDEX('Checks'!$B$4:$B$503,_calc!$E$311))&amp;" – "&amp;IF(LEN(INDEX('Checks'!$A$4:$A$503,_calc!$E$311))=0,"",INDEX('Checks'!$A$4:$A$503,_calc!$E$311)))</f>
        <v/>
      </c>
      <c r="B309" s="47">
        <f>IF(_calc!$E$311="","",IF(ISNUMBER(INDEX('Checks'!$D$4:$D$503,_calc!$E$311)),TEXT(INDEX('Checks'!$D$4:$D$503,_calc!$E$311),"yyyy-mm-dd"),""))</f>
        <v/>
      </c>
      <c r="C309" s="47">
        <f>IF(_calc!$E$311="","",IF(LEN(INDEX('Checks'!$B$4:$B$503,_calc!$E$311))=0,"",INDEX('Checks'!$B$4:$B$503,_calc!$E$311)))</f>
        <v/>
      </c>
      <c r="D309" s="47">
        <f>IF(_calc!$E$311="","",IF(ISNUMBER(INDEX('Checks'!$C$4:$C$503,_calc!$E$311)),TEXT(INDEX('Checks'!$C$4:$C$503,_calc!$E$311),"yyyy-mm-dd"),""))</f>
        <v/>
      </c>
      <c r="E309" s="47">
        <f>IF(_calc!$E$311="","",IF(LEN(INDEX('Checks'!$L$4:$L$503,_calc!$E$311))=0,"",INDEX('Checks'!$L$4:$L$503,_calc!$E$311)))</f>
        <v/>
      </c>
      <c r="F309" s="47">
        <f>IF(_calc!$E$311="","",TRIM(IF(LEN(IF(LEN(INDEX('Checks'!$I$4:$I$503,_calc!$E$311))=0,"",INDEX('Checks'!$I$4:$I$503,_calc!$E$311)))=0,"","Contractor: "&amp;IF(LEN(INDEX('Checks'!$I$4:$I$503,_calc!$E$311))=0,"",INDEX('Checks'!$I$4:$I$503,_calc!$E$311))&amp;". ")&amp;IF(LEN(IF(LEN(INDEX('Checks'!$J$4:$J$503,_calc!$E$311))=0,"",INDEX('Checks'!$J$4:$J$503,_calc!$E$311)))=0,"","Ref: "&amp;IF(LEN(INDEX('Checks'!$J$4:$J$503,_calc!$E$311))=0,"",INDEX('Checks'!$J$4:$J$503,_calc!$E$311))&amp;". ")&amp;IF(LEN(IF(ISNUMBER(INDEX('Checks'!$K$4:$K$503,_calc!$E$311)),TEXT(INDEX('Checks'!$K$4:$K$503,_calc!$E$311),"yyyy-mm-dd"),""))=0,"","Copy to tenant: "&amp;IF(ISNUMBER(INDEX('Checks'!$K$4:$K$503,_calc!$E$311)),TEXT(INDEX('Checks'!$K$4:$K$503,_calc!$E$311),"yyyy-mm-dd"),"")&amp;". ")&amp;IF(LEN(IF(LEN(INDEX('Checks'!$P$4:$P$503,_calc!$E$311))=0,"",INDEX('Checks'!$P$4:$P$503,_calc!$E$311)))=0,"",IF(LEN(INDEX('Checks'!$P$4:$P$503,_calc!$E$311))=0,"",INDEX('Checks'!$P$4:$P$503,_calc!$E$311)))))</f>
        <v/>
      </c>
      <c r="G309" s="47">
        <f>IF(_calc!$E$311="","",IF(LEN(INDEX('Checks'!$N$4:$N$503,_calc!$E$311))=0,"",INDEX('Checks'!$N$4:$N$503,_calc!$E$311)))</f>
        <v/>
      </c>
      <c r="K309" s="47">
        <f>IF(_calc!$E$311="","",IF(LEN(INDEX('Checks'!$M$4:$M$503,_calc!$E$311))=0,"",INDEX('Checks'!$M$4:$M$503,_calc!$E$311)))</f>
        <v/>
      </c>
    </row>
    <row r="310">
      <c r="A310" s="47">
        <f>IF(_calc!$E$312="","",IF(LEN(INDEX('Checks'!$B$4:$B$503,_calc!$E$312))=0,"",INDEX('Checks'!$B$4:$B$503,_calc!$E$312))&amp;" – "&amp;IF(LEN(INDEX('Checks'!$A$4:$A$503,_calc!$E$312))=0,"",INDEX('Checks'!$A$4:$A$503,_calc!$E$312)))</f>
        <v/>
      </c>
      <c r="B310" s="47">
        <f>IF(_calc!$E$312="","",IF(ISNUMBER(INDEX('Checks'!$D$4:$D$503,_calc!$E$312)),TEXT(INDEX('Checks'!$D$4:$D$503,_calc!$E$312),"yyyy-mm-dd"),""))</f>
        <v/>
      </c>
      <c r="C310" s="47">
        <f>IF(_calc!$E$312="","",IF(LEN(INDEX('Checks'!$B$4:$B$503,_calc!$E$312))=0,"",INDEX('Checks'!$B$4:$B$503,_calc!$E$312)))</f>
        <v/>
      </c>
      <c r="D310" s="47">
        <f>IF(_calc!$E$312="","",IF(ISNUMBER(INDEX('Checks'!$C$4:$C$503,_calc!$E$312)),TEXT(INDEX('Checks'!$C$4:$C$503,_calc!$E$312),"yyyy-mm-dd"),""))</f>
        <v/>
      </c>
      <c r="E310" s="47">
        <f>IF(_calc!$E$312="","",IF(LEN(INDEX('Checks'!$L$4:$L$503,_calc!$E$312))=0,"",INDEX('Checks'!$L$4:$L$503,_calc!$E$312)))</f>
        <v/>
      </c>
      <c r="F310" s="47">
        <f>IF(_calc!$E$312="","",TRIM(IF(LEN(IF(LEN(INDEX('Checks'!$I$4:$I$503,_calc!$E$312))=0,"",INDEX('Checks'!$I$4:$I$503,_calc!$E$312)))=0,"","Contractor: "&amp;IF(LEN(INDEX('Checks'!$I$4:$I$503,_calc!$E$312))=0,"",INDEX('Checks'!$I$4:$I$503,_calc!$E$312))&amp;". ")&amp;IF(LEN(IF(LEN(INDEX('Checks'!$J$4:$J$503,_calc!$E$312))=0,"",INDEX('Checks'!$J$4:$J$503,_calc!$E$312)))=0,"","Ref: "&amp;IF(LEN(INDEX('Checks'!$J$4:$J$503,_calc!$E$312))=0,"",INDEX('Checks'!$J$4:$J$503,_calc!$E$312))&amp;". ")&amp;IF(LEN(IF(ISNUMBER(INDEX('Checks'!$K$4:$K$503,_calc!$E$312)),TEXT(INDEX('Checks'!$K$4:$K$503,_calc!$E$312),"yyyy-mm-dd"),""))=0,"","Copy to tenant: "&amp;IF(ISNUMBER(INDEX('Checks'!$K$4:$K$503,_calc!$E$312)),TEXT(INDEX('Checks'!$K$4:$K$503,_calc!$E$312),"yyyy-mm-dd"),"")&amp;". ")&amp;IF(LEN(IF(LEN(INDEX('Checks'!$P$4:$P$503,_calc!$E$312))=0,"",INDEX('Checks'!$P$4:$P$503,_calc!$E$312)))=0,"",IF(LEN(INDEX('Checks'!$P$4:$P$503,_calc!$E$312))=0,"",INDEX('Checks'!$P$4:$P$503,_calc!$E$312)))))</f>
        <v/>
      </c>
      <c r="G310" s="47">
        <f>IF(_calc!$E$312="","",IF(LEN(INDEX('Checks'!$N$4:$N$503,_calc!$E$312))=0,"",INDEX('Checks'!$N$4:$N$503,_calc!$E$312)))</f>
        <v/>
      </c>
      <c r="K310" s="47">
        <f>IF(_calc!$E$312="","",IF(LEN(INDEX('Checks'!$M$4:$M$503,_calc!$E$312))=0,"",INDEX('Checks'!$M$4:$M$503,_calc!$E$312)))</f>
        <v/>
      </c>
    </row>
    <row r="311">
      <c r="A311" s="47">
        <f>IF(_calc!$E$313="","",IF(LEN(INDEX('Checks'!$B$4:$B$503,_calc!$E$313))=0,"",INDEX('Checks'!$B$4:$B$503,_calc!$E$313))&amp;" – "&amp;IF(LEN(INDEX('Checks'!$A$4:$A$503,_calc!$E$313))=0,"",INDEX('Checks'!$A$4:$A$503,_calc!$E$313)))</f>
        <v/>
      </c>
      <c r="B311" s="47">
        <f>IF(_calc!$E$313="","",IF(ISNUMBER(INDEX('Checks'!$D$4:$D$503,_calc!$E$313)),TEXT(INDEX('Checks'!$D$4:$D$503,_calc!$E$313),"yyyy-mm-dd"),""))</f>
        <v/>
      </c>
      <c r="C311" s="47">
        <f>IF(_calc!$E$313="","",IF(LEN(INDEX('Checks'!$B$4:$B$503,_calc!$E$313))=0,"",INDEX('Checks'!$B$4:$B$503,_calc!$E$313)))</f>
        <v/>
      </c>
      <c r="D311" s="47">
        <f>IF(_calc!$E$313="","",IF(ISNUMBER(INDEX('Checks'!$C$4:$C$503,_calc!$E$313)),TEXT(INDEX('Checks'!$C$4:$C$503,_calc!$E$313),"yyyy-mm-dd"),""))</f>
        <v/>
      </c>
      <c r="E311" s="47">
        <f>IF(_calc!$E$313="","",IF(LEN(INDEX('Checks'!$L$4:$L$503,_calc!$E$313))=0,"",INDEX('Checks'!$L$4:$L$503,_calc!$E$313)))</f>
        <v/>
      </c>
      <c r="F311" s="47">
        <f>IF(_calc!$E$313="","",TRIM(IF(LEN(IF(LEN(INDEX('Checks'!$I$4:$I$503,_calc!$E$313))=0,"",INDEX('Checks'!$I$4:$I$503,_calc!$E$313)))=0,"","Contractor: "&amp;IF(LEN(INDEX('Checks'!$I$4:$I$503,_calc!$E$313))=0,"",INDEX('Checks'!$I$4:$I$503,_calc!$E$313))&amp;". ")&amp;IF(LEN(IF(LEN(INDEX('Checks'!$J$4:$J$503,_calc!$E$313))=0,"",INDEX('Checks'!$J$4:$J$503,_calc!$E$313)))=0,"","Ref: "&amp;IF(LEN(INDEX('Checks'!$J$4:$J$503,_calc!$E$313))=0,"",INDEX('Checks'!$J$4:$J$503,_calc!$E$313))&amp;". ")&amp;IF(LEN(IF(ISNUMBER(INDEX('Checks'!$K$4:$K$503,_calc!$E$313)),TEXT(INDEX('Checks'!$K$4:$K$503,_calc!$E$313),"yyyy-mm-dd"),""))=0,"","Copy to tenant: "&amp;IF(ISNUMBER(INDEX('Checks'!$K$4:$K$503,_calc!$E$313)),TEXT(INDEX('Checks'!$K$4:$K$503,_calc!$E$313),"yyyy-mm-dd"),"")&amp;". ")&amp;IF(LEN(IF(LEN(INDEX('Checks'!$P$4:$P$503,_calc!$E$313))=0,"",INDEX('Checks'!$P$4:$P$503,_calc!$E$313)))=0,"",IF(LEN(INDEX('Checks'!$P$4:$P$503,_calc!$E$313))=0,"",INDEX('Checks'!$P$4:$P$503,_calc!$E$313)))))</f>
        <v/>
      </c>
      <c r="G311" s="47">
        <f>IF(_calc!$E$313="","",IF(LEN(INDEX('Checks'!$N$4:$N$503,_calc!$E$313))=0,"",INDEX('Checks'!$N$4:$N$503,_calc!$E$313)))</f>
        <v/>
      </c>
      <c r="K311" s="47">
        <f>IF(_calc!$E$313="","",IF(LEN(INDEX('Checks'!$M$4:$M$503,_calc!$E$313))=0,"",INDEX('Checks'!$M$4:$M$503,_calc!$E$313)))</f>
        <v/>
      </c>
    </row>
    <row r="312">
      <c r="A312" s="47">
        <f>IF(_calc!$E$314="","",IF(LEN(INDEX('Checks'!$B$4:$B$503,_calc!$E$314))=0,"",INDEX('Checks'!$B$4:$B$503,_calc!$E$314))&amp;" – "&amp;IF(LEN(INDEX('Checks'!$A$4:$A$503,_calc!$E$314))=0,"",INDEX('Checks'!$A$4:$A$503,_calc!$E$314)))</f>
        <v/>
      </c>
      <c r="B312" s="47">
        <f>IF(_calc!$E$314="","",IF(ISNUMBER(INDEX('Checks'!$D$4:$D$503,_calc!$E$314)),TEXT(INDEX('Checks'!$D$4:$D$503,_calc!$E$314),"yyyy-mm-dd"),""))</f>
        <v/>
      </c>
      <c r="C312" s="47">
        <f>IF(_calc!$E$314="","",IF(LEN(INDEX('Checks'!$B$4:$B$503,_calc!$E$314))=0,"",INDEX('Checks'!$B$4:$B$503,_calc!$E$314)))</f>
        <v/>
      </c>
      <c r="D312" s="47">
        <f>IF(_calc!$E$314="","",IF(ISNUMBER(INDEX('Checks'!$C$4:$C$503,_calc!$E$314)),TEXT(INDEX('Checks'!$C$4:$C$503,_calc!$E$314),"yyyy-mm-dd"),""))</f>
        <v/>
      </c>
      <c r="E312" s="47">
        <f>IF(_calc!$E$314="","",IF(LEN(INDEX('Checks'!$L$4:$L$503,_calc!$E$314))=0,"",INDEX('Checks'!$L$4:$L$503,_calc!$E$314)))</f>
        <v/>
      </c>
      <c r="F312" s="47">
        <f>IF(_calc!$E$314="","",TRIM(IF(LEN(IF(LEN(INDEX('Checks'!$I$4:$I$503,_calc!$E$314))=0,"",INDEX('Checks'!$I$4:$I$503,_calc!$E$314)))=0,"","Contractor: "&amp;IF(LEN(INDEX('Checks'!$I$4:$I$503,_calc!$E$314))=0,"",INDEX('Checks'!$I$4:$I$503,_calc!$E$314))&amp;". ")&amp;IF(LEN(IF(LEN(INDEX('Checks'!$J$4:$J$503,_calc!$E$314))=0,"",INDEX('Checks'!$J$4:$J$503,_calc!$E$314)))=0,"","Ref: "&amp;IF(LEN(INDEX('Checks'!$J$4:$J$503,_calc!$E$314))=0,"",INDEX('Checks'!$J$4:$J$503,_calc!$E$314))&amp;". ")&amp;IF(LEN(IF(ISNUMBER(INDEX('Checks'!$K$4:$K$503,_calc!$E$314)),TEXT(INDEX('Checks'!$K$4:$K$503,_calc!$E$314),"yyyy-mm-dd"),""))=0,"","Copy to tenant: "&amp;IF(ISNUMBER(INDEX('Checks'!$K$4:$K$503,_calc!$E$314)),TEXT(INDEX('Checks'!$K$4:$K$503,_calc!$E$314),"yyyy-mm-dd"),"")&amp;". ")&amp;IF(LEN(IF(LEN(INDEX('Checks'!$P$4:$P$503,_calc!$E$314))=0,"",INDEX('Checks'!$P$4:$P$503,_calc!$E$314)))=0,"",IF(LEN(INDEX('Checks'!$P$4:$P$503,_calc!$E$314))=0,"",INDEX('Checks'!$P$4:$P$503,_calc!$E$314)))))</f>
        <v/>
      </c>
      <c r="G312" s="47">
        <f>IF(_calc!$E$314="","",IF(LEN(INDEX('Checks'!$N$4:$N$503,_calc!$E$314))=0,"",INDEX('Checks'!$N$4:$N$503,_calc!$E$314)))</f>
        <v/>
      </c>
      <c r="K312" s="47">
        <f>IF(_calc!$E$314="","",IF(LEN(INDEX('Checks'!$M$4:$M$503,_calc!$E$314))=0,"",INDEX('Checks'!$M$4:$M$503,_calc!$E$314)))</f>
        <v/>
      </c>
    </row>
    <row r="313">
      <c r="A313" s="47">
        <f>IF(_calc!$E$315="","",IF(LEN(INDEX('Checks'!$B$4:$B$503,_calc!$E$315))=0,"",INDEX('Checks'!$B$4:$B$503,_calc!$E$315))&amp;" – "&amp;IF(LEN(INDEX('Checks'!$A$4:$A$503,_calc!$E$315))=0,"",INDEX('Checks'!$A$4:$A$503,_calc!$E$315)))</f>
        <v/>
      </c>
      <c r="B313" s="47">
        <f>IF(_calc!$E$315="","",IF(ISNUMBER(INDEX('Checks'!$D$4:$D$503,_calc!$E$315)),TEXT(INDEX('Checks'!$D$4:$D$503,_calc!$E$315),"yyyy-mm-dd"),""))</f>
        <v/>
      </c>
      <c r="C313" s="47">
        <f>IF(_calc!$E$315="","",IF(LEN(INDEX('Checks'!$B$4:$B$503,_calc!$E$315))=0,"",INDEX('Checks'!$B$4:$B$503,_calc!$E$315)))</f>
        <v/>
      </c>
      <c r="D313" s="47">
        <f>IF(_calc!$E$315="","",IF(ISNUMBER(INDEX('Checks'!$C$4:$C$503,_calc!$E$315)),TEXT(INDEX('Checks'!$C$4:$C$503,_calc!$E$315),"yyyy-mm-dd"),""))</f>
        <v/>
      </c>
      <c r="E313" s="47">
        <f>IF(_calc!$E$315="","",IF(LEN(INDEX('Checks'!$L$4:$L$503,_calc!$E$315))=0,"",INDEX('Checks'!$L$4:$L$503,_calc!$E$315)))</f>
        <v/>
      </c>
      <c r="F313" s="47">
        <f>IF(_calc!$E$315="","",TRIM(IF(LEN(IF(LEN(INDEX('Checks'!$I$4:$I$503,_calc!$E$315))=0,"",INDEX('Checks'!$I$4:$I$503,_calc!$E$315)))=0,"","Contractor: "&amp;IF(LEN(INDEX('Checks'!$I$4:$I$503,_calc!$E$315))=0,"",INDEX('Checks'!$I$4:$I$503,_calc!$E$315))&amp;". ")&amp;IF(LEN(IF(LEN(INDEX('Checks'!$J$4:$J$503,_calc!$E$315))=0,"",INDEX('Checks'!$J$4:$J$503,_calc!$E$315)))=0,"","Ref: "&amp;IF(LEN(INDEX('Checks'!$J$4:$J$503,_calc!$E$315))=0,"",INDEX('Checks'!$J$4:$J$503,_calc!$E$315))&amp;". ")&amp;IF(LEN(IF(ISNUMBER(INDEX('Checks'!$K$4:$K$503,_calc!$E$315)),TEXT(INDEX('Checks'!$K$4:$K$503,_calc!$E$315),"yyyy-mm-dd"),""))=0,"","Copy to tenant: "&amp;IF(ISNUMBER(INDEX('Checks'!$K$4:$K$503,_calc!$E$315)),TEXT(INDEX('Checks'!$K$4:$K$503,_calc!$E$315),"yyyy-mm-dd"),"")&amp;". ")&amp;IF(LEN(IF(LEN(INDEX('Checks'!$P$4:$P$503,_calc!$E$315))=0,"",INDEX('Checks'!$P$4:$P$503,_calc!$E$315)))=0,"",IF(LEN(INDEX('Checks'!$P$4:$P$503,_calc!$E$315))=0,"",INDEX('Checks'!$P$4:$P$503,_calc!$E$315)))))</f>
        <v/>
      </c>
      <c r="G313" s="47">
        <f>IF(_calc!$E$315="","",IF(LEN(INDEX('Checks'!$N$4:$N$503,_calc!$E$315))=0,"",INDEX('Checks'!$N$4:$N$503,_calc!$E$315)))</f>
        <v/>
      </c>
      <c r="K313" s="47">
        <f>IF(_calc!$E$315="","",IF(LEN(INDEX('Checks'!$M$4:$M$503,_calc!$E$315))=0,"",INDEX('Checks'!$M$4:$M$503,_calc!$E$315)))</f>
        <v/>
      </c>
    </row>
    <row r="314">
      <c r="A314" s="47">
        <f>IF(_calc!$E$316="","",IF(LEN(INDEX('Checks'!$B$4:$B$503,_calc!$E$316))=0,"",INDEX('Checks'!$B$4:$B$503,_calc!$E$316))&amp;" – "&amp;IF(LEN(INDEX('Checks'!$A$4:$A$503,_calc!$E$316))=0,"",INDEX('Checks'!$A$4:$A$503,_calc!$E$316)))</f>
        <v/>
      </c>
      <c r="B314" s="47">
        <f>IF(_calc!$E$316="","",IF(ISNUMBER(INDEX('Checks'!$D$4:$D$503,_calc!$E$316)),TEXT(INDEX('Checks'!$D$4:$D$503,_calc!$E$316),"yyyy-mm-dd"),""))</f>
        <v/>
      </c>
      <c r="C314" s="47">
        <f>IF(_calc!$E$316="","",IF(LEN(INDEX('Checks'!$B$4:$B$503,_calc!$E$316))=0,"",INDEX('Checks'!$B$4:$B$503,_calc!$E$316)))</f>
        <v/>
      </c>
      <c r="D314" s="47">
        <f>IF(_calc!$E$316="","",IF(ISNUMBER(INDEX('Checks'!$C$4:$C$503,_calc!$E$316)),TEXT(INDEX('Checks'!$C$4:$C$503,_calc!$E$316),"yyyy-mm-dd"),""))</f>
        <v/>
      </c>
      <c r="E314" s="47">
        <f>IF(_calc!$E$316="","",IF(LEN(INDEX('Checks'!$L$4:$L$503,_calc!$E$316))=0,"",INDEX('Checks'!$L$4:$L$503,_calc!$E$316)))</f>
        <v/>
      </c>
      <c r="F314" s="47">
        <f>IF(_calc!$E$316="","",TRIM(IF(LEN(IF(LEN(INDEX('Checks'!$I$4:$I$503,_calc!$E$316))=0,"",INDEX('Checks'!$I$4:$I$503,_calc!$E$316)))=0,"","Contractor: "&amp;IF(LEN(INDEX('Checks'!$I$4:$I$503,_calc!$E$316))=0,"",INDEX('Checks'!$I$4:$I$503,_calc!$E$316))&amp;". ")&amp;IF(LEN(IF(LEN(INDEX('Checks'!$J$4:$J$503,_calc!$E$316))=0,"",INDEX('Checks'!$J$4:$J$503,_calc!$E$316)))=0,"","Ref: "&amp;IF(LEN(INDEX('Checks'!$J$4:$J$503,_calc!$E$316))=0,"",INDEX('Checks'!$J$4:$J$503,_calc!$E$316))&amp;". ")&amp;IF(LEN(IF(ISNUMBER(INDEX('Checks'!$K$4:$K$503,_calc!$E$316)),TEXT(INDEX('Checks'!$K$4:$K$503,_calc!$E$316),"yyyy-mm-dd"),""))=0,"","Copy to tenant: "&amp;IF(ISNUMBER(INDEX('Checks'!$K$4:$K$503,_calc!$E$316)),TEXT(INDEX('Checks'!$K$4:$K$503,_calc!$E$316),"yyyy-mm-dd"),"")&amp;". ")&amp;IF(LEN(IF(LEN(INDEX('Checks'!$P$4:$P$503,_calc!$E$316))=0,"",INDEX('Checks'!$P$4:$P$503,_calc!$E$316)))=0,"",IF(LEN(INDEX('Checks'!$P$4:$P$503,_calc!$E$316))=0,"",INDEX('Checks'!$P$4:$P$503,_calc!$E$316)))))</f>
        <v/>
      </c>
      <c r="G314" s="47">
        <f>IF(_calc!$E$316="","",IF(LEN(INDEX('Checks'!$N$4:$N$503,_calc!$E$316))=0,"",INDEX('Checks'!$N$4:$N$503,_calc!$E$316)))</f>
        <v/>
      </c>
      <c r="K314" s="47">
        <f>IF(_calc!$E$316="","",IF(LEN(INDEX('Checks'!$M$4:$M$503,_calc!$E$316))=0,"",INDEX('Checks'!$M$4:$M$503,_calc!$E$316)))</f>
        <v/>
      </c>
    </row>
    <row r="315">
      <c r="A315" s="47">
        <f>IF(_calc!$E$317="","",IF(LEN(INDEX('Checks'!$B$4:$B$503,_calc!$E$317))=0,"",INDEX('Checks'!$B$4:$B$503,_calc!$E$317))&amp;" – "&amp;IF(LEN(INDEX('Checks'!$A$4:$A$503,_calc!$E$317))=0,"",INDEX('Checks'!$A$4:$A$503,_calc!$E$317)))</f>
        <v/>
      </c>
      <c r="B315" s="47">
        <f>IF(_calc!$E$317="","",IF(ISNUMBER(INDEX('Checks'!$D$4:$D$503,_calc!$E$317)),TEXT(INDEX('Checks'!$D$4:$D$503,_calc!$E$317),"yyyy-mm-dd"),""))</f>
        <v/>
      </c>
      <c r="C315" s="47">
        <f>IF(_calc!$E$317="","",IF(LEN(INDEX('Checks'!$B$4:$B$503,_calc!$E$317))=0,"",INDEX('Checks'!$B$4:$B$503,_calc!$E$317)))</f>
        <v/>
      </c>
      <c r="D315" s="47">
        <f>IF(_calc!$E$317="","",IF(ISNUMBER(INDEX('Checks'!$C$4:$C$503,_calc!$E$317)),TEXT(INDEX('Checks'!$C$4:$C$503,_calc!$E$317),"yyyy-mm-dd"),""))</f>
        <v/>
      </c>
      <c r="E315" s="47">
        <f>IF(_calc!$E$317="","",IF(LEN(INDEX('Checks'!$L$4:$L$503,_calc!$E$317))=0,"",INDEX('Checks'!$L$4:$L$503,_calc!$E$317)))</f>
        <v/>
      </c>
      <c r="F315" s="47">
        <f>IF(_calc!$E$317="","",TRIM(IF(LEN(IF(LEN(INDEX('Checks'!$I$4:$I$503,_calc!$E$317))=0,"",INDEX('Checks'!$I$4:$I$503,_calc!$E$317)))=0,"","Contractor: "&amp;IF(LEN(INDEX('Checks'!$I$4:$I$503,_calc!$E$317))=0,"",INDEX('Checks'!$I$4:$I$503,_calc!$E$317))&amp;". ")&amp;IF(LEN(IF(LEN(INDEX('Checks'!$J$4:$J$503,_calc!$E$317))=0,"",INDEX('Checks'!$J$4:$J$503,_calc!$E$317)))=0,"","Ref: "&amp;IF(LEN(INDEX('Checks'!$J$4:$J$503,_calc!$E$317))=0,"",INDEX('Checks'!$J$4:$J$503,_calc!$E$317))&amp;". ")&amp;IF(LEN(IF(ISNUMBER(INDEX('Checks'!$K$4:$K$503,_calc!$E$317)),TEXT(INDEX('Checks'!$K$4:$K$503,_calc!$E$317),"yyyy-mm-dd"),""))=0,"","Copy to tenant: "&amp;IF(ISNUMBER(INDEX('Checks'!$K$4:$K$503,_calc!$E$317)),TEXT(INDEX('Checks'!$K$4:$K$503,_calc!$E$317),"yyyy-mm-dd"),"")&amp;". ")&amp;IF(LEN(IF(LEN(INDEX('Checks'!$P$4:$P$503,_calc!$E$317))=0,"",INDEX('Checks'!$P$4:$P$503,_calc!$E$317)))=0,"",IF(LEN(INDEX('Checks'!$P$4:$P$503,_calc!$E$317))=0,"",INDEX('Checks'!$P$4:$P$503,_calc!$E$317)))))</f>
        <v/>
      </c>
      <c r="G315" s="47">
        <f>IF(_calc!$E$317="","",IF(LEN(INDEX('Checks'!$N$4:$N$503,_calc!$E$317))=0,"",INDEX('Checks'!$N$4:$N$503,_calc!$E$317)))</f>
        <v/>
      </c>
      <c r="K315" s="47">
        <f>IF(_calc!$E$317="","",IF(LEN(INDEX('Checks'!$M$4:$M$503,_calc!$E$317))=0,"",INDEX('Checks'!$M$4:$M$503,_calc!$E$317)))</f>
        <v/>
      </c>
    </row>
    <row r="316">
      <c r="A316" s="47">
        <f>IF(_calc!$E$318="","",IF(LEN(INDEX('Checks'!$B$4:$B$503,_calc!$E$318))=0,"",INDEX('Checks'!$B$4:$B$503,_calc!$E$318))&amp;" – "&amp;IF(LEN(INDEX('Checks'!$A$4:$A$503,_calc!$E$318))=0,"",INDEX('Checks'!$A$4:$A$503,_calc!$E$318)))</f>
        <v/>
      </c>
      <c r="B316" s="47">
        <f>IF(_calc!$E$318="","",IF(ISNUMBER(INDEX('Checks'!$D$4:$D$503,_calc!$E$318)),TEXT(INDEX('Checks'!$D$4:$D$503,_calc!$E$318),"yyyy-mm-dd"),""))</f>
        <v/>
      </c>
      <c r="C316" s="47">
        <f>IF(_calc!$E$318="","",IF(LEN(INDEX('Checks'!$B$4:$B$503,_calc!$E$318))=0,"",INDEX('Checks'!$B$4:$B$503,_calc!$E$318)))</f>
        <v/>
      </c>
      <c r="D316" s="47">
        <f>IF(_calc!$E$318="","",IF(ISNUMBER(INDEX('Checks'!$C$4:$C$503,_calc!$E$318)),TEXT(INDEX('Checks'!$C$4:$C$503,_calc!$E$318),"yyyy-mm-dd"),""))</f>
        <v/>
      </c>
      <c r="E316" s="47">
        <f>IF(_calc!$E$318="","",IF(LEN(INDEX('Checks'!$L$4:$L$503,_calc!$E$318))=0,"",INDEX('Checks'!$L$4:$L$503,_calc!$E$318)))</f>
        <v/>
      </c>
      <c r="F316" s="47">
        <f>IF(_calc!$E$318="","",TRIM(IF(LEN(IF(LEN(INDEX('Checks'!$I$4:$I$503,_calc!$E$318))=0,"",INDEX('Checks'!$I$4:$I$503,_calc!$E$318)))=0,"","Contractor: "&amp;IF(LEN(INDEX('Checks'!$I$4:$I$503,_calc!$E$318))=0,"",INDEX('Checks'!$I$4:$I$503,_calc!$E$318))&amp;". ")&amp;IF(LEN(IF(LEN(INDEX('Checks'!$J$4:$J$503,_calc!$E$318))=0,"",INDEX('Checks'!$J$4:$J$503,_calc!$E$318)))=0,"","Ref: "&amp;IF(LEN(INDEX('Checks'!$J$4:$J$503,_calc!$E$318))=0,"",INDEX('Checks'!$J$4:$J$503,_calc!$E$318))&amp;". ")&amp;IF(LEN(IF(ISNUMBER(INDEX('Checks'!$K$4:$K$503,_calc!$E$318)),TEXT(INDEX('Checks'!$K$4:$K$503,_calc!$E$318),"yyyy-mm-dd"),""))=0,"","Copy to tenant: "&amp;IF(ISNUMBER(INDEX('Checks'!$K$4:$K$503,_calc!$E$318)),TEXT(INDEX('Checks'!$K$4:$K$503,_calc!$E$318),"yyyy-mm-dd"),"")&amp;". ")&amp;IF(LEN(IF(LEN(INDEX('Checks'!$P$4:$P$503,_calc!$E$318))=0,"",INDEX('Checks'!$P$4:$P$503,_calc!$E$318)))=0,"",IF(LEN(INDEX('Checks'!$P$4:$P$503,_calc!$E$318))=0,"",INDEX('Checks'!$P$4:$P$503,_calc!$E$318)))))</f>
        <v/>
      </c>
      <c r="G316" s="47">
        <f>IF(_calc!$E$318="","",IF(LEN(INDEX('Checks'!$N$4:$N$503,_calc!$E$318))=0,"",INDEX('Checks'!$N$4:$N$503,_calc!$E$318)))</f>
        <v/>
      </c>
      <c r="K316" s="47">
        <f>IF(_calc!$E$318="","",IF(LEN(INDEX('Checks'!$M$4:$M$503,_calc!$E$318))=0,"",INDEX('Checks'!$M$4:$M$503,_calc!$E$318)))</f>
        <v/>
      </c>
    </row>
    <row r="317">
      <c r="A317" s="47">
        <f>IF(_calc!$E$319="","",IF(LEN(INDEX('Checks'!$B$4:$B$503,_calc!$E$319))=0,"",INDEX('Checks'!$B$4:$B$503,_calc!$E$319))&amp;" – "&amp;IF(LEN(INDEX('Checks'!$A$4:$A$503,_calc!$E$319))=0,"",INDEX('Checks'!$A$4:$A$503,_calc!$E$319)))</f>
        <v/>
      </c>
      <c r="B317" s="47">
        <f>IF(_calc!$E$319="","",IF(ISNUMBER(INDEX('Checks'!$D$4:$D$503,_calc!$E$319)),TEXT(INDEX('Checks'!$D$4:$D$503,_calc!$E$319),"yyyy-mm-dd"),""))</f>
        <v/>
      </c>
      <c r="C317" s="47">
        <f>IF(_calc!$E$319="","",IF(LEN(INDEX('Checks'!$B$4:$B$503,_calc!$E$319))=0,"",INDEX('Checks'!$B$4:$B$503,_calc!$E$319)))</f>
        <v/>
      </c>
      <c r="D317" s="47">
        <f>IF(_calc!$E$319="","",IF(ISNUMBER(INDEX('Checks'!$C$4:$C$503,_calc!$E$319)),TEXT(INDEX('Checks'!$C$4:$C$503,_calc!$E$319),"yyyy-mm-dd"),""))</f>
        <v/>
      </c>
      <c r="E317" s="47">
        <f>IF(_calc!$E$319="","",IF(LEN(INDEX('Checks'!$L$4:$L$503,_calc!$E$319))=0,"",INDEX('Checks'!$L$4:$L$503,_calc!$E$319)))</f>
        <v/>
      </c>
      <c r="F317" s="47">
        <f>IF(_calc!$E$319="","",TRIM(IF(LEN(IF(LEN(INDEX('Checks'!$I$4:$I$503,_calc!$E$319))=0,"",INDEX('Checks'!$I$4:$I$503,_calc!$E$319)))=0,"","Contractor: "&amp;IF(LEN(INDEX('Checks'!$I$4:$I$503,_calc!$E$319))=0,"",INDEX('Checks'!$I$4:$I$503,_calc!$E$319))&amp;". ")&amp;IF(LEN(IF(LEN(INDEX('Checks'!$J$4:$J$503,_calc!$E$319))=0,"",INDEX('Checks'!$J$4:$J$503,_calc!$E$319)))=0,"","Ref: "&amp;IF(LEN(INDEX('Checks'!$J$4:$J$503,_calc!$E$319))=0,"",INDEX('Checks'!$J$4:$J$503,_calc!$E$319))&amp;". ")&amp;IF(LEN(IF(ISNUMBER(INDEX('Checks'!$K$4:$K$503,_calc!$E$319)),TEXT(INDEX('Checks'!$K$4:$K$503,_calc!$E$319),"yyyy-mm-dd"),""))=0,"","Copy to tenant: "&amp;IF(ISNUMBER(INDEX('Checks'!$K$4:$K$503,_calc!$E$319)),TEXT(INDEX('Checks'!$K$4:$K$503,_calc!$E$319),"yyyy-mm-dd"),"")&amp;". ")&amp;IF(LEN(IF(LEN(INDEX('Checks'!$P$4:$P$503,_calc!$E$319))=0,"",INDEX('Checks'!$P$4:$P$503,_calc!$E$319)))=0,"",IF(LEN(INDEX('Checks'!$P$4:$P$503,_calc!$E$319))=0,"",INDEX('Checks'!$P$4:$P$503,_calc!$E$319)))))</f>
        <v/>
      </c>
      <c r="G317" s="47">
        <f>IF(_calc!$E$319="","",IF(LEN(INDEX('Checks'!$N$4:$N$503,_calc!$E$319))=0,"",INDEX('Checks'!$N$4:$N$503,_calc!$E$319)))</f>
        <v/>
      </c>
      <c r="K317" s="47">
        <f>IF(_calc!$E$319="","",IF(LEN(INDEX('Checks'!$M$4:$M$503,_calc!$E$319))=0,"",INDEX('Checks'!$M$4:$M$503,_calc!$E$319)))</f>
        <v/>
      </c>
    </row>
    <row r="318">
      <c r="A318" s="47">
        <f>IF(_calc!$E$320="","",IF(LEN(INDEX('Checks'!$B$4:$B$503,_calc!$E$320))=0,"",INDEX('Checks'!$B$4:$B$503,_calc!$E$320))&amp;" – "&amp;IF(LEN(INDEX('Checks'!$A$4:$A$503,_calc!$E$320))=0,"",INDEX('Checks'!$A$4:$A$503,_calc!$E$320)))</f>
        <v/>
      </c>
      <c r="B318" s="47">
        <f>IF(_calc!$E$320="","",IF(ISNUMBER(INDEX('Checks'!$D$4:$D$503,_calc!$E$320)),TEXT(INDEX('Checks'!$D$4:$D$503,_calc!$E$320),"yyyy-mm-dd"),""))</f>
        <v/>
      </c>
      <c r="C318" s="47">
        <f>IF(_calc!$E$320="","",IF(LEN(INDEX('Checks'!$B$4:$B$503,_calc!$E$320))=0,"",INDEX('Checks'!$B$4:$B$503,_calc!$E$320)))</f>
        <v/>
      </c>
      <c r="D318" s="47">
        <f>IF(_calc!$E$320="","",IF(ISNUMBER(INDEX('Checks'!$C$4:$C$503,_calc!$E$320)),TEXT(INDEX('Checks'!$C$4:$C$503,_calc!$E$320),"yyyy-mm-dd"),""))</f>
        <v/>
      </c>
      <c r="E318" s="47">
        <f>IF(_calc!$E$320="","",IF(LEN(INDEX('Checks'!$L$4:$L$503,_calc!$E$320))=0,"",INDEX('Checks'!$L$4:$L$503,_calc!$E$320)))</f>
        <v/>
      </c>
      <c r="F318" s="47">
        <f>IF(_calc!$E$320="","",TRIM(IF(LEN(IF(LEN(INDEX('Checks'!$I$4:$I$503,_calc!$E$320))=0,"",INDEX('Checks'!$I$4:$I$503,_calc!$E$320)))=0,"","Contractor: "&amp;IF(LEN(INDEX('Checks'!$I$4:$I$503,_calc!$E$320))=0,"",INDEX('Checks'!$I$4:$I$503,_calc!$E$320))&amp;". ")&amp;IF(LEN(IF(LEN(INDEX('Checks'!$J$4:$J$503,_calc!$E$320))=0,"",INDEX('Checks'!$J$4:$J$503,_calc!$E$320)))=0,"","Ref: "&amp;IF(LEN(INDEX('Checks'!$J$4:$J$503,_calc!$E$320))=0,"",INDEX('Checks'!$J$4:$J$503,_calc!$E$320))&amp;". ")&amp;IF(LEN(IF(ISNUMBER(INDEX('Checks'!$K$4:$K$503,_calc!$E$320)),TEXT(INDEX('Checks'!$K$4:$K$503,_calc!$E$320),"yyyy-mm-dd"),""))=0,"","Copy to tenant: "&amp;IF(ISNUMBER(INDEX('Checks'!$K$4:$K$503,_calc!$E$320)),TEXT(INDEX('Checks'!$K$4:$K$503,_calc!$E$320),"yyyy-mm-dd"),"")&amp;". ")&amp;IF(LEN(IF(LEN(INDEX('Checks'!$P$4:$P$503,_calc!$E$320))=0,"",INDEX('Checks'!$P$4:$P$503,_calc!$E$320)))=0,"",IF(LEN(INDEX('Checks'!$P$4:$P$503,_calc!$E$320))=0,"",INDEX('Checks'!$P$4:$P$503,_calc!$E$320)))))</f>
        <v/>
      </c>
      <c r="G318" s="47">
        <f>IF(_calc!$E$320="","",IF(LEN(INDEX('Checks'!$N$4:$N$503,_calc!$E$320))=0,"",INDEX('Checks'!$N$4:$N$503,_calc!$E$320)))</f>
        <v/>
      </c>
      <c r="K318" s="47">
        <f>IF(_calc!$E$320="","",IF(LEN(INDEX('Checks'!$M$4:$M$503,_calc!$E$320))=0,"",INDEX('Checks'!$M$4:$M$503,_calc!$E$320)))</f>
        <v/>
      </c>
    </row>
    <row r="319">
      <c r="A319" s="47">
        <f>IF(_calc!$E$321="","",IF(LEN(INDEX('Checks'!$B$4:$B$503,_calc!$E$321))=0,"",INDEX('Checks'!$B$4:$B$503,_calc!$E$321))&amp;" – "&amp;IF(LEN(INDEX('Checks'!$A$4:$A$503,_calc!$E$321))=0,"",INDEX('Checks'!$A$4:$A$503,_calc!$E$321)))</f>
        <v/>
      </c>
      <c r="B319" s="47">
        <f>IF(_calc!$E$321="","",IF(ISNUMBER(INDEX('Checks'!$D$4:$D$503,_calc!$E$321)),TEXT(INDEX('Checks'!$D$4:$D$503,_calc!$E$321),"yyyy-mm-dd"),""))</f>
        <v/>
      </c>
      <c r="C319" s="47">
        <f>IF(_calc!$E$321="","",IF(LEN(INDEX('Checks'!$B$4:$B$503,_calc!$E$321))=0,"",INDEX('Checks'!$B$4:$B$503,_calc!$E$321)))</f>
        <v/>
      </c>
      <c r="D319" s="47">
        <f>IF(_calc!$E$321="","",IF(ISNUMBER(INDEX('Checks'!$C$4:$C$503,_calc!$E$321)),TEXT(INDEX('Checks'!$C$4:$C$503,_calc!$E$321),"yyyy-mm-dd"),""))</f>
        <v/>
      </c>
      <c r="E319" s="47">
        <f>IF(_calc!$E$321="","",IF(LEN(INDEX('Checks'!$L$4:$L$503,_calc!$E$321))=0,"",INDEX('Checks'!$L$4:$L$503,_calc!$E$321)))</f>
        <v/>
      </c>
      <c r="F319" s="47">
        <f>IF(_calc!$E$321="","",TRIM(IF(LEN(IF(LEN(INDEX('Checks'!$I$4:$I$503,_calc!$E$321))=0,"",INDEX('Checks'!$I$4:$I$503,_calc!$E$321)))=0,"","Contractor: "&amp;IF(LEN(INDEX('Checks'!$I$4:$I$503,_calc!$E$321))=0,"",INDEX('Checks'!$I$4:$I$503,_calc!$E$321))&amp;". ")&amp;IF(LEN(IF(LEN(INDEX('Checks'!$J$4:$J$503,_calc!$E$321))=0,"",INDEX('Checks'!$J$4:$J$503,_calc!$E$321)))=0,"","Ref: "&amp;IF(LEN(INDEX('Checks'!$J$4:$J$503,_calc!$E$321))=0,"",INDEX('Checks'!$J$4:$J$503,_calc!$E$321))&amp;". ")&amp;IF(LEN(IF(ISNUMBER(INDEX('Checks'!$K$4:$K$503,_calc!$E$321)),TEXT(INDEX('Checks'!$K$4:$K$503,_calc!$E$321),"yyyy-mm-dd"),""))=0,"","Copy to tenant: "&amp;IF(ISNUMBER(INDEX('Checks'!$K$4:$K$503,_calc!$E$321)),TEXT(INDEX('Checks'!$K$4:$K$503,_calc!$E$321),"yyyy-mm-dd"),"")&amp;". ")&amp;IF(LEN(IF(LEN(INDEX('Checks'!$P$4:$P$503,_calc!$E$321))=0,"",INDEX('Checks'!$P$4:$P$503,_calc!$E$321)))=0,"",IF(LEN(INDEX('Checks'!$P$4:$P$503,_calc!$E$321))=0,"",INDEX('Checks'!$P$4:$P$503,_calc!$E$321)))))</f>
        <v/>
      </c>
      <c r="G319" s="47">
        <f>IF(_calc!$E$321="","",IF(LEN(INDEX('Checks'!$N$4:$N$503,_calc!$E$321))=0,"",INDEX('Checks'!$N$4:$N$503,_calc!$E$321)))</f>
        <v/>
      </c>
      <c r="K319" s="47">
        <f>IF(_calc!$E$321="","",IF(LEN(INDEX('Checks'!$M$4:$M$503,_calc!$E$321))=0,"",INDEX('Checks'!$M$4:$M$503,_calc!$E$321)))</f>
        <v/>
      </c>
    </row>
    <row r="320">
      <c r="A320" s="47">
        <f>IF(_calc!$E$322="","",IF(LEN(INDEX('Checks'!$B$4:$B$503,_calc!$E$322))=0,"",INDEX('Checks'!$B$4:$B$503,_calc!$E$322))&amp;" – "&amp;IF(LEN(INDEX('Checks'!$A$4:$A$503,_calc!$E$322))=0,"",INDEX('Checks'!$A$4:$A$503,_calc!$E$322)))</f>
        <v/>
      </c>
      <c r="B320" s="47">
        <f>IF(_calc!$E$322="","",IF(ISNUMBER(INDEX('Checks'!$D$4:$D$503,_calc!$E$322)),TEXT(INDEX('Checks'!$D$4:$D$503,_calc!$E$322),"yyyy-mm-dd"),""))</f>
        <v/>
      </c>
      <c r="C320" s="47">
        <f>IF(_calc!$E$322="","",IF(LEN(INDEX('Checks'!$B$4:$B$503,_calc!$E$322))=0,"",INDEX('Checks'!$B$4:$B$503,_calc!$E$322)))</f>
        <v/>
      </c>
      <c r="D320" s="47">
        <f>IF(_calc!$E$322="","",IF(ISNUMBER(INDEX('Checks'!$C$4:$C$503,_calc!$E$322)),TEXT(INDEX('Checks'!$C$4:$C$503,_calc!$E$322),"yyyy-mm-dd"),""))</f>
        <v/>
      </c>
      <c r="E320" s="47">
        <f>IF(_calc!$E$322="","",IF(LEN(INDEX('Checks'!$L$4:$L$503,_calc!$E$322))=0,"",INDEX('Checks'!$L$4:$L$503,_calc!$E$322)))</f>
        <v/>
      </c>
      <c r="F320" s="47">
        <f>IF(_calc!$E$322="","",TRIM(IF(LEN(IF(LEN(INDEX('Checks'!$I$4:$I$503,_calc!$E$322))=0,"",INDEX('Checks'!$I$4:$I$503,_calc!$E$322)))=0,"","Contractor: "&amp;IF(LEN(INDEX('Checks'!$I$4:$I$503,_calc!$E$322))=0,"",INDEX('Checks'!$I$4:$I$503,_calc!$E$322))&amp;". ")&amp;IF(LEN(IF(LEN(INDEX('Checks'!$J$4:$J$503,_calc!$E$322))=0,"",INDEX('Checks'!$J$4:$J$503,_calc!$E$322)))=0,"","Ref: "&amp;IF(LEN(INDEX('Checks'!$J$4:$J$503,_calc!$E$322))=0,"",INDEX('Checks'!$J$4:$J$503,_calc!$E$322))&amp;". ")&amp;IF(LEN(IF(ISNUMBER(INDEX('Checks'!$K$4:$K$503,_calc!$E$322)),TEXT(INDEX('Checks'!$K$4:$K$503,_calc!$E$322),"yyyy-mm-dd"),""))=0,"","Copy to tenant: "&amp;IF(ISNUMBER(INDEX('Checks'!$K$4:$K$503,_calc!$E$322)),TEXT(INDEX('Checks'!$K$4:$K$503,_calc!$E$322),"yyyy-mm-dd"),"")&amp;". ")&amp;IF(LEN(IF(LEN(INDEX('Checks'!$P$4:$P$503,_calc!$E$322))=0,"",INDEX('Checks'!$P$4:$P$503,_calc!$E$322)))=0,"",IF(LEN(INDEX('Checks'!$P$4:$P$503,_calc!$E$322))=0,"",INDEX('Checks'!$P$4:$P$503,_calc!$E$322)))))</f>
        <v/>
      </c>
      <c r="G320" s="47">
        <f>IF(_calc!$E$322="","",IF(LEN(INDEX('Checks'!$N$4:$N$503,_calc!$E$322))=0,"",INDEX('Checks'!$N$4:$N$503,_calc!$E$322)))</f>
        <v/>
      </c>
      <c r="K320" s="47">
        <f>IF(_calc!$E$322="","",IF(LEN(INDEX('Checks'!$M$4:$M$503,_calc!$E$322))=0,"",INDEX('Checks'!$M$4:$M$503,_calc!$E$322)))</f>
        <v/>
      </c>
    </row>
    <row r="321">
      <c r="A321" s="47">
        <f>IF(_calc!$E$323="","",IF(LEN(INDEX('Checks'!$B$4:$B$503,_calc!$E$323))=0,"",INDEX('Checks'!$B$4:$B$503,_calc!$E$323))&amp;" – "&amp;IF(LEN(INDEX('Checks'!$A$4:$A$503,_calc!$E$323))=0,"",INDEX('Checks'!$A$4:$A$503,_calc!$E$323)))</f>
        <v/>
      </c>
      <c r="B321" s="47">
        <f>IF(_calc!$E$323="","",IF(ISNUMBER(INDEX('Checks'!$D$4:$D$503,_calc!$E$323)),TEXT(INDEX('Checks'!$D$4:$D$503,_calc!$E$323),"yyyy-mm-dd"),""))</f>
        <v/>
      </c>
      <c r="C321" s="47">
        <f>IF(_calc!$E$323="","",IF(LEN(INDEX('Checks'!$B$4:$B$503,_calc!$E$323))=0,"",INDEX('Checks'!$B$4:$B$503,_calc!$E$323)))</f>
        <v/>
      </c>
      <c r="D321" s="47">
        <f>IF(_calc!$E$323="","",IF(ISNUMBER(INDEX('Checks'!$C$4:$C$503,_calc!$E$323)),TEXT(INDEX('Checks'!$C$4:$C$503,_calc!$E$323),"yyyy-mm-dd"),""))</f>
        <v/>
      </c>
      <c r="E321" s="47">
        <f>IF(_calc!$E$323="","",IF(LEN(INDEX('Checks'!$L$4:$L$503,_calc!$E$323))=0,"",INDEX('Checks'!$L$4:$L$503,_calc!$E$323)))</f>
        <v/>
      </c>
      <c r="F321" s="47">
        <f>IF(_calc!$E$323="","",TRIM(IF(LEN(IF(LEN(INDEX('Checks'!$I$4:$I$503,_calc!$E$323))=0,"",INDEX('Checks'!$I$4:$I$503,_calc!$E$323)))=0,"","Contractor: "&amp;IF(LEN(INDEX('Checks'!$I$4:$I$503,_calc!$E$323))=0,"",INDEX('Checks'!$I$4:$I$503,_calc!$E$323))&amp;". ")&amp;IF(LEN(IF(LEN(INDEX('Checks'!$J$4:$J$503,_calc!$E$323))=0,"",INDEX('Checks'!$J$4:$J$503,_calc!$E$323)))=0,"","Ref: "&amp;IF(LEN(INDEX('Checks'!$J$4:$J$503,_calc!$E$323))=0,"",INDEX('Checks'!$J$4:$J$503,_calc!$E$323))&amp;". ")&amp;IF(LEN(IF(ISNUMBER(INDEX('Checks'!$K$4:$K$503,_calc!$E$323)),TEXT(INDEX('Checks'!$K$4:$K$503,_calc!$E$323),"yyyy-mm-dd"),""))=0,"","Copy to tenant: "&amp;IF(ISNUMBER(INDEX('Checks'!$K$4:$K$503,_calc!$E$323)),TEXT(INDEX('Checks'!$K$4:$K$503,_calc!$E$323),"yyyy-mm-dd"),"")&amp;". ")&amp;IF(LEN(IF(LEN(INDEX('Checks'!$P$4:$P$503,_calc!$E$323))=0,"",INDEX('Checks'!$P$4:$P$503,_calc!$E$323)))=0,"",IF(LEN(INDEX('Checks'!$P$4:$P$503,_calc!$E$323))=0,"",INDEX('Checks'!$P$4:$P$503,_calc!$E$323)))))</f>
        <v/>
      </c>
      <c r="G321" s="47">
        <f>IF(_calc!$E$323="","",IF(LEN(INDEX('Checks'!$N$4:$N$503,_calc!$E$323))=0,"",INDEX('Checks'!$N$4:$N$503,_calc!$E$323)))</f>
        <v/>
      </c>
      <c r="K321" s="47">
        <f>IF(_calc!$E$323="","",IF(LEN(INDEX('Checks'!$M$4:$M$503,_calc!$E$323))=0,"",INDEX('Checks'!$M$4:$M$503,_calc!$E$323)))</f>
        <v/>
      </c>
    </row>
    <row r="322">
      <c r="A322" s="47">
        <f>IF(_calc!$E$324="","",IF(LEN(INDEX('Checks'!$B$4:$B$503,_calc!$E$324))=0,"",INDEX('Checks'!$B$4:$B$503,_calc!$E$324))&amp;" – "&amp;IF(LEN(INDEX('Checks'!$A$4:$A$503,_calc!$E$324))=0,"",INDEX('Checks'!$A$4:$A$503,_calc!$E$324)))</f>
        <v/>
      </c>
      <c r="B322" s="47">
        <f>IF(_calc!$E$324="","",IF(ISNUMBER(INDEX('Checks'!$D$4:$D$503,_calc!$E$324)),TEXT(INDEX('Checks'!$D$4:$D$503,_calc!$E$324),"yyyy-mm-dd"),""))</f>
        <v/>
      </c>
      <c r="C322" s="47">
        <f>IF(_calc!$E$324="","",IF(LEN(INDEX('Checks'!$B$4:$B$503,_calc!$E$324))=0,"",INDEX('Checks'!$B$4:$B$503,_calc!$E$324)))</f>
        <v/>
      </c>
      <c r="D322" s="47">
        <f>IF(_calc!$E$324="","",IF(ISNUMBER(INDEX('Checks'!$C$4:$C$503,_calc!$E$324)),TEXT(INDEX('Checks'!$C$4:$C$503,_calc!$E$324),"yyyy-mm-dd"),""))</f>
        <v/>
      </c>
      <c r="E322" s="47">
        <f>IF(_calc!$E$324="","",IF(LEN(INDEX('Checks'!$L$4:$L$503,_calc!$E$324))=0,"",INDEX('Checks'!$L$4:$L$503,_calc!$E$324)))</f>
        <v/>
      </c>
      <c r="F322" s="47">
        <f>IF(_calc!$E$324="","",TRIM(IF(LEN(IF(LEN(INDEX('Checks'!$I$4:$I$503,_calc!$E$324))=0,"",INDEX('Checks'!$I$4:$I$503,_calc!$E$324)))=0,"","Contractor: "&amp;IF(LEN(INDEX('Checks'!$I$4:$I$503,_calc!$E$324))=0,"",INDEX('Checks'!$I$4:$I$503,_calc!$E$324))&amp;". ")&amp;IF(LEN(IF(LEN(INDEX('Checks'!$J$4:$J$503,_calc!$E$324))=0,"",INDEX('Checks'!$J$4:$J$503,_calc!$E$324)))=0,"","Ref: "&amp;IF(LEN(INDEX('Checks'!$J$4:$J$503,_calc!$E$324))=0,"",INDEX('Checks'!$J$4:$J$503,_calc!$E$324))&amp;". ")&amp;IF(LEN(IF(ISNUMBER(INDEX('Checks'!$K$4:$K$503,_calc!$E$324)),TEXT(INDEX('Checks'!$K$4:$K$503,_calc!$E$324),"yyyy-mm-dd"),""))=0,"","Copy to tenant: "&amp;IF(ISNUMBER(INDEX('Checks'!$K$4:$K$503,_calc!$E$324)),TEXT(INDEX('Checks'!$K$4:$K$503,_calc!$E$324),"yyyy-mm-dd"),"")&amp;". ")&amp;IF(LEN(IF(LEN(INDEX('Checks'!$P$4:$P$503,_calc!$E$324))=0,"",INDEX('Checks'!$P$4:$P$503,_calc!$E$324)))=0,"",IF(LEN(INDEX('Checks'!$P$4:$P$503,_calc!$E$324))=0,"",INDEX('Checks'!$P$4:$P$503,_calc!$E$324)))))</f>
        <v/>
      </c>
      <c r="G322" s="47">
        <f>IF(_calc!$E$324="","",IF(LEN(INDEX('Checks'!$N$4:$N$503,_calc!$E$324))=0,"",INDEX('Checks'!$N$4:$N$503,_calc!$E$324)))</f>
        <v/>
      </c>
      <c r="K322" s="47">
        <f>IF(_calc!$E$324="","",IF(LEN(INDEX('Checks'!$M$4:$M$503,_calc!$E$324))=0,"",INDEX('Checks'!$M$4:$M$503,_calc!$E$324)))</f>
        <v/>
      </c>
    </row>
    <row r="323">
      <c r="A323" s="47">
        <f>IF(_calc!$E$325="","",IF(LEN(INDEX('Checks'!$B$4:$B$503,_calc!$E$325))=0,"",INDEX('Checks'!$B$4:$B$503,_calc!$E$325))&amp;" – "&amp;IF(LEN(INDEX('Checks'!$A$4:$A$503,_calc!$E$325))=0,"",INDEX('Checks'!$A$4:$A$503,_calc!$E$325)))</f>
        <v/>
      </c>
      <c r="B323" s="47">
        <f>IF(_calc!$E$325="","",IF(ISNUMBER(INDEX('Checks'!$D$4:$D$503,_calc!$E$325)),TEXT(INDEX('Checks'!$D$4:$D$503,_calc!$E$325),"yyyy-mm-dd"),""))</f>
        <v/>
      </c>
      <c r="C323" s="47">
        <f>IF(_calc!$E$325="","",IF(LEN(INDEX('Checks'!$B$4:$B$503,_calc!$E$325))=0,"",INDEX('Checks'!$B$4:$B$503,_calc!$E$325)))</f>
        <v/>
      </c>
      <c r="D323" s="47">
        <f>IF(_calc!$E$325="","",IF(ISNUMBER(INDEX('Checks'!$C$4:$C$503,_calc!$E$325)),TEXT(INDEX('Checks'!$C$4:$C$503,_calc!$E$325),"yyyy-mm-dd"),""))</f>
        <v/>
      </c>
      <c r="E323" s="47">
        <f>IF(_calc!$E$325="","",IF(LEN(INDEX('Checks'!$L$4:$L$503,_calc!$E$325))=0,"",INDEX('Checks'!$L$4:$L$503,_calc!$E$325)))</f>
        <v/>
      </c>
      <c r="F323" s="47">
        <f>IF(_calc!$E$325="","",TRIM(IF(LEN(IF(LEN(INDEX('Checks'!$I$4:$I$503,_calc!$E$325))=0,"",INDEX('Checks'!$I$4:$I$503,_calc!$E$325)))=0,"","Contractor: "&amp;IF(LEN(INDEX('Checks'!$I$4:$I$503,_calc!$E$325))=0,"",INDEX('Checks'!$I$4:$I$503,_calc!$E$325))&amp;". ")&amp;IF(LEN(IF(LEN(INDEX('Checks'!$J$4:$J$503,_calc!$E$325))=0,"",INDEX('Checks'!$J$4:$J$503,_calc!$E$325)))=0,"","Ref: "&amp;IF(LEN(INDEX('Checks'!$J$4:$J$503,_calc!$E$325))=0,"",INDEX('Checks'!$J$4:$J$503,_calc!$E$325))&amp;". ")&amp;IF(LEN(IF(ISNUMBER(INDEX('Checks'!$K$4:$K$503,_calc!$E$325)),TEXT(INDEX('Checks'!$K$4:$K$503,_calc!$E$325),"yyyy-mm-dd"),""))=0,"","Copy to tenant: "&amp;IF(ISNUMBER(INDEX('Checks'!$K$4:$K$503,_calc!$E$325)),TEXT(INDEX('Checks'!$K$4:$K$503,_calc!$E$325),"yyyy-mm-dd"),"")&amp;". ")&amp;IF(LEN(IF(LEN(INDEX('Checks'!$P$4:$P$503,_calc!$E$325))=0,"",INDEX('Checks'!$P$4:$P$503,_calc!$E$325)))=0,"",IF(LEN(INDEX('Checks'!$P$4:$P$503,_calc!$E$325))=0,"",INDEX('Checks'!$P$4:$P$503,_calc!$E$325)))))</f>
        <v/>
      </c>
      <c r="G323" s="47">
        <f>IF(_calc!$E$325="","",IF(LEN(INDEX('Checks'!$N$4:$N$503,_calc!$E$325))=0,"",INDEX('Checks'!$N$4:$N$503,_calc!$E$325)))</f>
        <v/>
      </c>
      <c r="K323" s="47">
        <f>IF(_calc!$E$325="","",IF(LEN(INDEX('Checks'!$M$4:$M$503,_calc!$E$325))=0,"",INDEX('Checks'!$M$4:$M$503,_calc!$E$325)))</f>
        <v/>
      </c>
    </row>
    <row r="324">
      <c r="A324" s="47">
        <f>IF(_calc!$E$326="","",IF(LEN(INDEX('Checks'!$B$4:$B$503,_calc!$E$326))=0,"",INDEX('Checks'!$B$4:$B$503,_calc!$E$326))&amp;" – "&amp;IF(LEN(INDEX('Checks'!$A$4:$A$503,_calc!$E$326))=0,"",INDEX('Checks'!$A$4:$A$503,_calc!$E$326)))</f>
        <v/>
      </c>
      <c r="B324" s="47">
        <f>IF(_calc!$E$326="","",IF(ISNUMBER(INDEX('Checks'!$D$4:$D$503,_calc!$E$326)),TEXT(INDEX('Checks'!$D$4:$D$503,_calc!$E$326),"yyyy-mm-dd"),""))</f>
        <v/>
      </c>
      <c r="C324" s="47">
        <f>IF(_calc!$E$326="","",IF(LEN(INDEX('Checks'!$B$4:$B$503,_calc!$E$326))=0,"",INDEX('Checks'!$B$4:$B$503,_calc!$E$326)))</f>
        <v/>
      </c>
      <c r="D324" s="47">
        <f>IF(_calc!$E$326="","",IF(ISNUMBER(INDEX('Checks'!$C$4:$C$503,_calc!$E$326)),TEXT(INDEX('Checks'!$C$4:$C$503,_calc!$E$326),"yyyy-mm-dd"),""))</f>
        <v/>
      </c>
      <c r="E324" s="47">
        <f>IF(_calc!$E$326="","",IF(LEN(INDEX('Checks'!$L$4:$L$503,_calc!$E$326))=0,"",INDEX('Checks'!$L$4:$L$503,_calc!$E$326)))</f>
        <v/>
      </c>
      <c r="F324" s="47">
        <f>IF(_calc!$E$326="","",TRIM(IF(LEN(IF(LEN(INDEX('Checks'!$I$4:$I$503,_calc!$E$326))=0,"",INDEX('Checks'!$I$4:$I$503,_calc!$E$326)))=0,"","Contractor: "&amp;IF(LEN(INDEX('Checks'!$I$4:$I$503,_calc!$E$326))=0,"",INDEX('Checks'!$I$4:$I$503,_calc!$E$326))&amp;". ")&amp;IF(LEN(IF(LEN(INDEX('Checks'!$J$4:$J$503,_calc!$E$326))=0,"",INDEX('Checks'!$J$4:$J$503,_calc!$E$326)))=0,"","Ref: "&amp;IF(LEN(INDEX('Checks'!$J$4:$J$503,_calc!$E$326))=0,"",INDEX('Checks'!$J$4:$J$503,_calc!$E$326))&amp;". ")&amp;IF(LEN(IF(ISNUMBER(INDEX('Checks'!$K$4:$K$503,_calc!$E$326)),TEXT(INDEX('Checks'!$K$4:$K$503,_calc!$E$326),"yyyy-mm-dd"),""))=0,"","Copy to tenant: "&amp;IF(ISNUMBER(INDEX('Checks'!$K$4:$K$503,_calc!$E$326)),TEXT(INDEX('Checks'!$K$4:$K$503,_calc!$E$326),"yyyy-mm-dd"),"")&amp;". ")&amp;IF(LEN(IF(LEN(INDEX('Checks'!$P$4:$P$503,_calc!$E$326))=0,"",INDEX('Checks'!$P$4:$P$503,_calc!$E$326)))=0,"",IF(LEN(INDEX('Checks'!$P$4:$P$503,_calc!$E$326))=0,"",INDEX('Checks'!$P$4:$P$503,_calc!$E$326)))))</f>
        <v/>
      </c>
      <c r="G324" s="47">
        <f>IF(_calc!$E$326="","",IF(LEN(INDEX('Checks'!$N$4:$N$503,_calc!$E$326))=0,"",INDEX('Checks'!$N$4:$N$503,_calc!$E$326)))</f>
        <v/>
      </c>
      <c r="K324" s="47">
        <f>IF(_calc!$E$326="","",IF(LEN(INDEX('Checks'!$M$4:$M$503,_calc!$E$326))=0,"",INDEX('Checks'!$M$4:$M$503,_calc!$E$326)))</f>
        <v/>
      </c>
    </row>
    <row r="325">
      <c r="A325" s="47">
        <f>IF(_calc!$E$327="","",IF(LEN(INDEX('Checks'!$B$4:$B$503,_calc!$E$327))=0,"",INDEX('Checks'!$B$4:$B$503,_calc!$E$327))&amp;" – "&amp;IF(LEN(INDEX('Checks'!$A$4:$A$503,_calc!$E$327))=0,"",INDEX('Checks'!$A$4:$A$503,_calc!$E$327)))</f>
        <v/>
      </c>
      <c r="B325" s="47">
        <f>IF(_calc!$E$327="","",IF(ISNUMBER(INDEX('Checks'!$D$4:$D$503,_calc!$E$327)),TEXT(INDEX('Checks'!$D$4:$D$503,_calc!$E$327),"yyyy-mm-dd"),""))</f>
        <v/>
      </c>
      <c r="C325" s="47">
        <f>IF(_calc!$E$327="","",IF(LEN(INDEX('Checks'!$B$4:$B$503,_calc!$E$327))=0,"",INDEX('Checks'!$B$4:$B$503,_calc!$E$327)))</f>
        <v/>
      </c>
      <c r="D325" s="47">
        <f>IF(_calc!$E$327="","",IF(ISNUMBER(INDEX('Checks'!$C$4:$C$503,_calc!$E$327)),TEXT(INDEX('Checks'!$C$4:$C$503,_calc!$E$327),"yyyy-mm-dd"),""))</f>
        <v/>
      </c>
      <c r="E325" s="47">
        <f>IF(_calc!$E$327="","",IF(LEN(INDEX('Checks'!$L$4:$L$503,_calc!$E$327))=0,"",INDEX('Checks'!$L$4:$L$503,_calc!$E$327)))</f>
        <v/>
      </c>
      <c r="F325" s="47">
        <f>IF(_calc!$E$327="","",TRIM(IF(LEN(IF(LEN(INDEX('Checks'!$I$4:$I$503,_calc!$E$327))=0,"",INDEX('Checks'!$I$4:$I$503,_calc!$E$327)))=0,"","Contractor: "&amp;IF(LEN(INDEX('Checks'!$I$4:$I$503,_calc!$E$327))=0,"",INDEX('Checks'!$I$4:$I$503,_calc!$E$327))&amp;". ")&amp;IF(LEN(IF(LEN(INDEX('Checks'!$J$4:$J$503,_calc!$E$327))=0,"",INDEX('Checks'!$J$4:$J$503,_calc!$E$327)))=0,"","Ref: "&amp;IF(LEN(INDEX('Checks'!$J$4:$J$503,_calc!$E$327))=0,"",INDEX('Checks'!$J$4:$J$503,_calc!$E$327))&amp;". ")&amp;IF(LEN(IF(ISNUMBER(INDEX('Checks'!$K$4:$K$503,_calc!$E$327)),TEXT(INDEX('Checks'!$K$4:$K$503,_calc!$E$327),"yyyy-mm-dd"),""))=0,"","Copy to tenant: "&amp;IF(ISNUMBER(INDEX('Checks'!$K$4:$K$503,_calc!$E$327)),TEXT(INDEX('Checks'!$K$4:$K$503,_calc!$E$327),"yyyy-mm-dd"),"")&amp;". ")&amp;IF(LEN(IF(LEN(INDEX('Checks'!$P$4:$P$503,_calc!$E$327))=0,"",INDEX('Checks'!$P$4:$P$503,_calc!$E$327)))=0,"",IF(LEN(INDEX('Checks'!$P$4:$P$503,_calc!$E$327))=0,"",INDEX('Checks'!$P$4:$P$503,_calc!$E$327)))))</f>
        <v/>
      </c>
      <c r="G325" s="47">
        <f>IF(_calc!$E$327="","",IF(LEN(INDEX('Checks'!$N$4:$N$503,_calc!$E$327))=0,"",INDEX('Checks'!$N$4:$N$503,_calc!$E$327)))</f>
        <v/>
      </c>
      <c r="K325" s="47">
        <f>IF(_calc!$E$327="","",IF(LEN(INDEX('Checks'!$M$4:$M$503,_calc!$E$327))=0,"",INDEX('Checks'!$M$4:$M$503,_calc!$E$327)))</f>
        <v/>
      </c>
    </row>
    <row r="326">
      <c r="A326" s="47">
        <f>IF(_calc!$E$328="","",IF(LEN(INDEX('Checks'!$B$4:$B$503,_calc!$E$328))=0,"",INDEX('Checks'!$B$4:$B$503,_calc!$E$328))&amp;" – "&amp;IF(LEN(INDEX('Checks'!$A$4:$A$503,_calc!$E$328))=0,"",INDEX('Checks'!$A$4:$A$503,_calc!$E$328)))</f>
        <v/>
      </c>
      <c r="B326" s="47">
        <f>IF(_calc!$E$328="","",IF(ISNUMBER(INDEX('Checks'!$D$4:$D$503,_calc!$E$328)),TEXT(INDEX('Checks'!$D$4:$D$503,_calc!$E$328),"yyyy-mm-dd"),""))</f>
        <v/>
      </c>
      <c r="C326" s="47">
        <f>IF(_calc!$E$328="","",IF(LEN(INDEX('Checks'!$B$4:$B$503,_calc!$E$328))=0,"",INDEX('Checks'!$B$4:$B$503,_calc!$E$328)))</f>
        <v/>
      </c>
      <c r="D326" s="47">
        <f>IF(_calc!$E$328="","",IF(ISNUMBER(INDEX('Checks'!$C$4:$C$503,_calc!$E$328)),TEXT(INDEX('Checks'!$C$4:$C$503,_calc!$E$328),"yyyy-mm-dd"),""))</f>
        <v/>
      </c>
      <c r="E326" s="47">
        <f>IF(_calc!$E$328="","",IF(LEN(INDEX('Checks'!$L$4:$L$503,_calc!$E$328))=0,"",INDEX('Checks'!$L$4:$L$503,_calc!$E$328)))</f>
        <v/>
      </c>
      <c r="F326" s="47">
        <f>IF(_calc!$E$328="","",TRIM(IF(LEN(IF(LEN(INDEX('Checks'!$I$4:$I$503,_calc!$E$328))=0,"",INDEX('Checks'!$I$4:$I$503,_calc!$E$328)))=0,"","Contractor: "&amp;IF(LEN(INDEX('Checks'!$I$4:$I$503,_calc!$E$328))=0,"",INDEX('Checks'!$I$4:$I$503,_calc!$E$328))&amp;". ")&amp;IF(LEN(IF(LEN(INDEX('Checks'!$J$4:$J$503,_calc!$E$328))=0,"",INDEX('Checks'!$J$4:$J$503,_calc!$E$328)))=0,"","Ref: "&amp;IF(LEN(INDEX('Checks'!$J$4:$J$503,_calc!$E$328))=0,"",INDEX('Checks'!$J$4:$J$503,_calc!$E$328))&amp;". ")&amp;IF(LEN(IF(ISNUMBER(INDEX('Checks'!$K$4:$K$503,_calc!$E$328)),TEXT(INDEX('Checks'!$K$4:$K$503,_calc!$E$328),"yyyy-mm-dd"),""))=0,"","Copy to tenant: "&amp;IF(ISNUMBER(INDEX('Checks'!$K$4:$K$503,_calc!$E$328)),TEXT(INDEX('Checks'!$K$4:$K$503,_calc!$E$328),"yyyy-mm-dd"),"")&amp;". ")&amp;IF(LEN(IF(LEN(INDEX('Checks'!$P$4:$P$503,_calc!$E$328))=0,"",INDEX('Checks'!$P$4:$P$503,_calc!$E$328)))=0,"",IF(LEN(INDEX('Checks'!$P$4:$P$503,_calc!$E$328))=0,"",INDEX('Checks'!$P$4:$P$503,_calc!$E$328)))))</f>
        <v/>
      </c>
      <c r="G326" s="47">
        <f>IF(_calc!$E$328="","",IF(LEN(INDEX('Checks'!$N$4:$N$503,_calc!$E$328))=0,"",INDEX('Checks'!$N$4:$N$503,_calc!$E$328)))</f>
        <v/>
      </c>
      <c r="K326" s="47">
        <f>IF(_calc!$E$328="","",IF(LEN(INDEX('Checks'!$M$4:$M$503,_calc!$E$328))=0,"",INDEX('Checks'!$M$4:$M$503,_calc!$E$328)))</f>
        <v/>
      </c>
    </row>
    <row r="327">
      <c r="A327" s="47">
        <f>IF(_calc!$E$329="","",IF(LEN(INDEX('Checks'!$B$4:$B$503,_calc!$E$329))=0,"",INDEX('Checks'!$B$4:$B$503,_calc!$E$329))&amp;" – "&amp;IF(LEN(INDEX('Checks'!$A$4:$A$503,_calc!$E$329))=0,"",INDEX('Checks'!$A$4:$A$503,_calc!$E$329)))</f>
        <v/>
      </c>
      <c r="B327" s="47">
        <f>IF(_calc!$E$329="","",IF(ISNUMBER(INDEX('Checks'!$D$4:$D$503,_calc!$E$329)),TEXT(INDEX('Checks'!$D$4:$D$503,_calc!$E$329),"yyyy-mm-dd"),""))</f>
        <v/>
      </c>
      <c r="C327" s="47">
        <f>IF(_calc!$E$329="","",IF(LEN(INDEX('Checks'!$B$4:$B$503,_calc!$E$329))=0,"",INDEX('Checks'!$B$4:$B$503,_calc!$E$329)))</f>
        <v/>
      </c>
      <c r="D327" s="47">
        <f>IF(_calc!$E$329="","",IF(ISNUMBER(INDEX('Checks'!$C$4:$C$503,_calc!$E$329)),TEXT(INDEX('Checks'!$C$4:$C$503,_calc!$E$329),"yyyy-mm-dd"),""))</f>
        <v/>
      </c>
      <c r="E327" s="47">
        <f>IF(_calc!$E$329="","",IF(LEN(INDEX('Checks'!$L$4:$L$503,_calc!$E$329))=0,"",INDEX('Checks'!$L$4:$L$503,_calc!$E$329)))</f>
        <v/>
      </c>
      <c r="F327" s="47">
        <f>IF(_calc!$E$329="","",TRIM(IF(LEN(IF(LEN(INDEX('Checks'!$I$4:$I$503,_calc!$E$329))=0,"",INDEX('Checks'!$I$4:$I$503,_calc!$E$329)))=0,"","Contractor: "&amp;IF(LEN(INDEX('Checks'!$I$4:$I$503,_calc!$E$329))=0,"",INDEX('Checks'!$I$4:$I$503,_calc!$E$329))&amp;". ")&amp;IF(LEN(IF(LEN(INDEX('Checks'!$J$4:$J$503,_calc!$E$329))=0,"",INDEX('Checks'!$J$4:$J$503,_calc!$E$329)))=0,"","Ref: "&amp;IF(LEN(INDEX('Checks'!$J$4:$J$503,_calc!$E$329))=0,"",INDEX('Checks'!$J$4:$J$503,_calc!$E$329))&amp;". ")&amp;IF(LEN(IF(ISNUMBER(INDEX('Checks'!$K$4:$K$503,_calc!$E$329)),TEXT(INDEX('Checks'!$K$4:$K$503,_calc!$E$329),"yyyy-mm-dd"),""))=0,"","Copy to tenant: "&amp;IF(ISNUMBER(INDEX('Checks'!$K$4:$K$503,_calc!$E$329)),TEXT(INDEX('Checks'!$K$4:$K$503,_calc!$E$329),"yyyy-mm-dd"),"")&amp;". ")&amp;IF(LEN(IF(LEN(INDEX('Checks'!$P$4:$P$503,_calc!$E$329))=0,"",INDEX('Checks'!$P$4:$P$503,_calc!$E$329)))=0,"",IF(LEN(INDEX('Checks'!$P$4:$P$503,_calc!$E$329))=0,"",INDEX('Checks'!$P$4:$P$503,_calc!$E$329)))))</f>
        <v/>
      </c>
      <c r="G327" s="47">
        <f>IF(_calc!$E$329="","",IF(LEN(INDEX('Checks'!$N$4:$N$503,_calc!$E$329))=0,"",INDEX('Checks'!$N$4:$N$503,_calc!$E$329)))</f>
        <v/>
      </c>
      <c r="K327" s="47">
        <f>IF(_calc!$E$329="","",IF(LEN(INDEX('Checks'!$M$4:$M$503,_calc!$E$329))=0,"",INDEX('Checks'!$M$4:$M$503,_calc!$E$329)))</f>
        <v/>
      </c>
    </row>
    <row r="328">
      <c r="A328" s="47">
        <f>IF(_calc!$E$330="","",IF(LEN(INDEX('Checks'!$B$4:$B$503,_calc!$E$330))=0,"",INDEX('Checks'!$B$4:$B$503,_calc!$E$330))&amp;" – "&amp;IF(LEN(INDEX('Checks'!$A$4:$A$503,_calc!$E$330))=0,"",INDEX('Checks'!$A$4:$A$503,_calc!$E$330)))</f>
        <v/>
      </c>
      <c r="B328" s="47">
        <f>IF(_calc!$E$330="","",IF(ISNUMBER(INDEX('Checks'!$D$4:$D$503,_calc!$E$330)),TEXT(INDEX('Checks'!$D$4:$D$503,_calc!$E$330),"yyyy-mm-dd"),""))</f>
        <v/>
      </c>
      <c r="C328" s="47">
        <f>IF(_calc!$E$330="","",IF(LEN(INDEX('Checks'!$B$4:$B$503,_calc!$E$330))=0,"",INDEX('Checks'!$B$4:$B$503,_calc!$E$330)))</f>
        <v/>
      </c>
      <c r="D328" s="47">
        <f>IF(_calc!$E$330="","",IF(ISNUMBER(INDEX('Checks'!$C$4:$C$503,_calc!$E$330)),TEXT(INDEX('Checks'!$C$4:$C$503,_calc!$E$330),"yyyy-mm-dd"),""))</f>
        <v/>
      </c>
      <c r="E328" s="47">
        <f>IF(_calc!$E$330="","",IF(LEN(INDEX('Checks'!$L$4:$L$503,_calc!$E$330))=0,"",INDEX('Checks'!$L$4:$L$503,_calc!$E$330)))</f>
        <v/>
      </c>
      <c r="F328" s="47">
        <f>IF(_calc!$E$330="","",TRIM(IF(LEN(IF(LEN(INDEX('Checks'!$I$4:$I$503,_calc!$E$330))=0,"",INDEX('Checks'!$I$4:$I$503,_calc!$E$330)))=0,"","Contractor: "&amp;IF(LEN(INDEX('Checks'!$I$4:$I$503,_calc!$E$330))=0,"",INDEX('Checks'!$I$4:$I$503,_calc!$E$330))&amp;". ")&amp;IF(LEN(IF(LEN(INDEX('Checks'!$J$4:$J$503,_calc!$E$330))=0,"",INDEX('Checks'!$J$4:$J$503,_calc!$E$330)))=0,"","Ref: "&amp;IF(LEN(INDEX('Checks'!$J$4:$J$503,_calc!$E$330))=0,"",INDEX('Checks'!$J$4:$J$503,_calc!$E$330))&amp;". ")&amp;IF(LEN(IF(ISNUMBER(INDEX('Checks'!$K$4:$K$503,_calc!$E$330)),TEXT(INDEX('Checks'!$K$4:$K$503,_calc!$E$330),"yyyy-mm-dd"),""))=0,"","Copy to tenant: "&amp;IF(ISNUMBER(INDEX('Checks'!$K$4:$K$503,_calc!$E$330)),TEXT(INDEX('Checks'!$K$4:$K$503,_calc!$E$330),"yyyy-mm-dd"),"")&amp;". ")&amp;IF(LEN(IF(LEN(INDEX('Checks'!$P$4:$P$503,_calc!$E$330))=0,"",INDEX('Checks'!$P$4:$P$503,_calc!$E$330)))=0,"",IF(LEN(INDEX('Checks'!$P$4:$P$503,_calc!$E$330))=0,"",INDEX('Checks'!$P$4:$P$503,_calc!$E$330)))))</f>
        <v/>
      </c>
      <c r="G328" s="47">
        <f>IF(_calc!$E$330="","",IF(LEN(INDEX('Checks'!$N$4:$N$503,_calc!$E$330))=0,"",INDEX('Checks'!$N$4:$N$503,_calc!$E$330)))</f>
        <v/>
      </c>
      <c r="K328" s="47">
        <f>IF(_calc!$E$330="","",IF(LEN(INDEX('Checks'!$M$4:$M$503,_calc!$E$330))=0,"",INDEX('Checks'!$M$4:$M$503,_calc!$E$330)))</f>
        <v/>
      </c>
    </row>
    <row r="329">
      <c r="A329" s="47">
        <f>IF(_calc!$E$331="","",IF(LEN(INDEX('Checks'!$B$4:$B$503,_calc!$E$331))=0,"",INDEX('Checks'!$B$4:$B$503,_calc!$E$331))&amp;" – "&amp;IF(LEN(INDEX('Checks'!$A$4:$A$503,_calc!$E$331))=0,"",INDEX('Checks'!$A$4:$A$503,_calc!$E$331)))</f>
        <v/>
      </c>
      <c r="B329" s="47">
        <f>IF(_calc!$E$331="","",IF(ISNUMBER(INDEX('Checks'!$D$4:$D$503,_calc!$E$331)),TEXT(INDEX('Checks'!$D$4:$D$503,_calc!$E$331),"yyyy-mm-dd"),""))</f>
        <v/>
      </c>
      <c r="C329" s="47">
        <f>IF(_calc!$E$331="","",IF(LEN(INDEX('Checks'!$B$4:$B$503,_calc!$E$331))=0,"",INDEX('Checks'!$B$4:$B$503,_calc!$E$331)))</f>
        <v/>
      </c>
      <c r="D329" s="47">
        <f>IF(_calc!$E$331="","",IF(ISNUMBER(INDEX('Checks'!$C$4:$C$503,_calc!$E$331)),TEXT(INDEX('Checks'!$C$4:$C$503,_calc!$E$331),"yyyy-mm-dd"),""))</f>
        <v/>
      </c>
      <c r="E329" s="47">
        <f>IF(_calc!$E$331="","",IF(LEN(INDEX('Checks'!$L$4:$L$503,_calc!$E$331))=0,"",INDEX('Checks'!$L$4:$L$503,_calc!$E$331)))</f>
        <v/>
      </c>
      <c r="F329" s="47">
        <f>IF(_calc!$E$331="","",TRIM(IF(LEN(IF(LEN(INDEX('Checks'!$I$4:$I$503,_calc!$E$331))=0,"",INDEX('Checks'!$I$4:$I$503,_calc!$E$331)))=0,"","Contractor: "&amp;IF(LEN(INDEX('Checks'!$I$4:$I$503,_calc!$E$331))=0,"",INDEX('Checks'!$I$4:$I$503,_calc!$E$331))&amp;". ")&amp;IF(LEN(IF(LEN(INDEX('Checks'!$J$4:$J$503,_calc!$E$331))=0,"",INDEX('Checks'!$J$4:$J$503,_calc!$E$331)))=0,"","Ref: "&amp;IF(LEN(INDEX('Checks'!$J$4:$J$503,_calc!$E$331))=0,"",INDEX('Checks'!$J$4:$J$503,_calc!$E$331))&amp;". ")&amp;IF(LEN(IF(ISNUMBER(INDEX('Checks'!$K$4:$K$503,_calc!$E$331)),TEXT(INDEX('Checks'!$K$4:$K$503,_calc!$E$331),"yyyy-mm-dd"),""))=0,"","Copy to tenant: "&amp;IF(ISNUMBER(INDEX('Checks'!$K$4:$K$503,_calc!$E$331)),TEXT(INDEX('Checks'!$K$4:$K$503,_calc!$E$331),"yyyy-mm-dd"),"")&amp;". ")&amp;IF(LEN(IF(LEN(INDEX('Checks'!$P$4:$P$503,_calc!$E$331))=0,"",INDEX('Checks'!$P$4:$P$503,_calc!$E$331)))=0,"",IF(LEN(INDEX('Checks'!$P$4:$P$503,_calc!$E$331))=0,"",INDEX('Checks'!$P$4:$P$503,_calc!$E$331)))))</f>
        <v/>
      </c>
      <c r="G329" s="47">
        <f>IF(_calc!$E$331="","",IF(LEN(INDEX('Checks'!$N$4:$N$503,_calc!$E$331))=0,"",INDEX('Checks'!$N$4:$N$503,_calc!$E$331)))</f>
        <v/>
      </c>
      <c r="K329" s="47">
        <f>IF(_calc!$E$331="","",IF(LEN(INDEX('Checks'!$M$4:$M$503,_calc!$E$331))=0,"",INDEX('Checks'!$M$4:$M$503,_calc!$E$331)))</f>
        <v/>
      </c>
    </row>
    <row r="330">
      <c r="A330" s="47">
        <f>IF(_calc!$E$332="","",IF(LEN(INDEX('Checks'!$B$4:$B$503,_calc!$E$332))=0,"",INDEX('Checks'!$B$4:$B$503,_calc!$E$332))&amp;" – "&amp;IF(LEN(INDEX('Checks'!$A$4:$A$503,_calc!$E$332))=0,"",INDEX('Checks'!$A$4:$A$503,_calc!$E$332)))</f>
        <v/>
      </c>
      <c r="B330" s="47">
        <f>IF(_calc!$E$332="","",IF(ISNUMBER(INDEX('Checks'!$D$4:$D$503,_calc!$E$332)),TEXT(INDEX('Checks'!$D$4:$D$503,_calc!$E$332),"yyyy-mm-dd"),""))</f>
        <v/>
      </c>
      <c r="C330" s="47">
        <f>IF(_calc!$E$332="","",IF(LEN(INDEX('Checks'!$B$4:$B$503,_calc!$E$332))=0,"",INDEX('Checks'!$B$4:$B$503,_calc!$E$332)))</f>
        <v/>
      </c>
      <c r="D330" s="47">
        <f>IF(_calc!$E$332="","",IF(ISNUMBER(INDEX('Checks'!$C$4:$C$503,_calc!$E$332)),TEXT(INDEX('Checks'!$C$4:$C$503,_calc!$E$332),"yyyy-mm-dd"),""))</f>
        <v/>
      </c>
      <c r="E330" s="47">
        <f>IF(_calc!$E$332="","",IF(LEN(INDEX('Checks'!$L$4:$L$503,_calc!$E$332))=0,"",INDEX('Checks'!$L$4:$L$503,_calc!$E$332)))</f>
        <v/>
      </c>
      <c r="F330" s="47">
        <f>IF(_calc!$E$332="","",TRIM(IF(LEN(IF(LEN(INDEX('Checks'!$I$4:$I$503,_calc!$E$332))=0,"",INDEX('Checks'!$I$4:$I$503,_calc!$E$332)))=0,"","Contractor: "&amp;IF(LEN(INDEX('Checks'!$I$4:$I$503,_calc!$E$332))=0,"",INDEX('Checks'!$I$4:$I$503,_calc!$E$332))&amp;". ")&amp;IF(LEN(IF(LEN(INDEX('Checks'!$J$4:$J$503,_calc!$E$332))=0,"",INDEX('Checks'!$J$4:$J$503,_calc!$E$332)))=0,"","Ref: "&amp;IF(LEN(INDEX('Checks'!$J$4:$J$503,_calc!$E$332))=0,"",INDEX('Checks'!$J$4:$J$503,_calc!$E$332))&amp;". ")&amp;IF(LEN(IF(ISNUMBER(INDEX('Checks'!$K$4:$K$503,_calc!$E$332)),TEXT(INDEX('Checks'!$K$4:$K$503,_calc!$E$332),"yyyy-mm-dd"),""))=0,"","Copy to tenant: "&amp;IF(ISNUMBER(INDEX('Checks'!$K$4:$K$503,_calc!$E$332)),TEXT(INDEX('Checks'!$K$4:$K$503,_calc!$E$332),"yyyy-mm-dd"),"")&amp;". ")&amp;IF(LEN(IF(LEN(INDEX('Checks'!$P$4:$P$503,_calc!$E$332))=0,"",INDEX('Checks'!$P$4:$P$503,_calc!$E$332)))=0,"",IF(LEN(INDEX('Checks'!$P$4:$P$503,_calc!$E$332))=0,"",INDEX('Checks'!$P$4:$P$503,_calc!$E$332)))))</f>
        <v/>
      </c>
      <c r="G330" s="47">
        <f>IF(_calc!$E$332="","",IF(LEN(INDEX('Checks'!$N$4:$N$503,_calc!$E$332))=0,"",INDEX('Checks'!$N$4:$N$503,_calc!$E$332)))</f>
        <v/>
      </c>
      <c r="K330" s="47">
        <f>IF(_calc!$E$332="","",IF(LEN(INDEX('Checks'!$M$4:$M$503,_calc!$E$332))=0,"",INDEX('Checks'!$M$4:$M$503,_calc!$E$332)))</f>
        <v/>
      </c>
    </row>
    <row r="331">
      <c r="A331" s="47">
        <f>IF(_calc!$E$333="","",IF(LEN(INDEX('Checks'!$B$4:$B$503,_calc!$E$333))=0,"",INDEX('Checks'!$B$4:$B$503,_calc!$E$333))&amp;" – "&amp;IF(LEN(INDEX('Checks'!$A$4:$A$503,_calc!$E$333))=0,"",INDEX('Checks'!$A$4:$A$503,_calc!$E$333)))</f>
        <v/>
      </c>
      <c r="B331" s="47">
        <f>IF(_calc!$E$333="","",IF(ISNUMBER(INDEX('Checks'!$D$4:$D$503,_calc!$E$333)),TEXT(INDEX('Checks'!$D$4:$D$503,_calc!$E$333),"yyyy-mm-dd"),""))</f>
        <v/>
      </c>
      <c r="C331" s="47">
        <f>IF(_calc!$E$333="","",IF(LEN(INDEX('Checks'!$B$4:$B$503,_calc!$E$333))=0,"",INDEX('Checks'!$B$4:$B$503,_calc!$E$333)))</f>
        <v/>
      </c>
      <c r="D331" s="47">
        <f>IF(_calc!$E$333="","",IF(ISNUMBER(INDEX('Checks'!$C$4:$C$503,_calc!$E$333)),TEXT(INDEX('Checks'!$C$4:$C$503,_calc!$E$333),"yyyy-mm-dd"),""))</f>
        <v/>
      </c>
      <c r="E331" s="47">
        <f>IF(_calc!$E$333="","",IF(LEN(INDEX('Checks'!$L$4:$L$503,_calc!$E$333))=0,"",INDEX('Checks'!$L$4:$L$503,_calc!$E$333)))</f>
        <v/>
      </c>
      <c r="F331" s="47">
        <f>IF(_calc!$E$333="","",TRIM(IF(LEN(IF(LEN(INDEX('Checks'!$I$4:$I$503,_calc!$E$333))=0,"",INDEX('Checks'!$I$4:$I$503,_calc!$E$333)))=0,"","Contractor: "&amp;IF(LEN(INDEX('Checks'!$I$4:$I$503,_calc!$E$333))=0,"",INDEX('Checks'!$I$4:$I$503,_calc!$E$333))&amp;". ")&amp;IF(LEN(IF(LEN(INDEX('Checks'!$J$4:$J$503,_calc!$E$333))=0,"",INDEX('Checks'!$J$4:$J$503,_calc!$E$333)))=0,"","Ref: "&amp;IF(LEN(INDEX('Checks'!$J$4:$J$503,_calc!$E$333))=0,"",INDEX('Checks'!$J$4:$J$503,_calc!$E$333))&amp;". ")&amp;IF(LEN(IF(ISNUMBER(INDEX('Checks'!$K$4:$K$503,_calc!$E$333)),TEXT(INDEX('Checks'!$K$4:$K$503,_calc!$E$333),"yyyy-mm-dd"),""))=0,"","Copy to tenant: "&amp;IF(ISNUMBER(INDEX('Checks'!$K$4:$K$503,_calc!$E$333)),TEXT(INDEX('Checks'!$K$4:$K$503,_calc!$E$333),"yyyy-mm-dd"),"")&amp;". ")&amp;IF(LEN(IF(LEN(INDEX('Checks'!$P$4:$P$503,_calc!$E$333))=0,"",INDEX('Checks'!$P$4:$P$503,_calc!$E$333)))=0,"",IF(LEN(INDEX('Checks'!$P$4:$P$503,_calc!$E$333))=0,"",INDEX('Checks'!$P$4:$P$503,_calc!$E$333)))))</f>
        <v/>
      </c>
      <c r="G331" s="47">
        <f>IF(_calc!$E$333="","",IF(LEN(INDEX('Checks'!$N$4:$N$503,_calc!$E$333))=0,"",INDEX('Checks'!$N$4:$N$503,_calc!$E$333)))</f>
        <v/>
      </c>
      <c r="K331" s="47">
        <f>IF(_calc!$E$333="","",IF(LEN(INDEX('Checks'!$M$4:$M$503,_calc!$E$333))=0,"",INDEX('Checks'!$M$4:$M$503,_calc!$E$333)))</f>
        <v/>
      </c>
    </row>
    <row r="332">
      <c r="A332" s="47">
        <f>IF(_calc!$E$334="","",IF(LEN(INDEX('Checks'!$B$4:$B$503,_calc!$E$334))=0,"",INDEX('Checks'!$B$4:$B$503,_calc!$E$334))&amp;" – "&amp;IF(LEN(INDEX('Checks'!$A$4:$A$503,_calc!$E$334))=0,"",INDEX('Checks'!$A$4:$A$503,_calc!$E$334)))</f>
        <v/>
      </c>
      <c r="B332" s="47">
        <f>IF(_calc!$E$334="","",IF(ISNUMBER(INDEX('Checks'!$D$4:$D$503,_calc!$E$334)),TEXT(INDEX('Checks'!$D$4:$D$503,_calc!$E$334),"yyyy-mm-dd"),""))</f>
        <v/>
      </c>
      <c r="C332" s="47">
        <f>IF(_calc!$E$334="","",IF(LEN(INDEX('Checks'!$B$4:$B$503,_calc!$E$334))=0,"",INDEX('Checks'!$B$4:$B$503,_calc!$E$334)))</f>
        <v/>
      </c>
      <c r="D332" s="47">
        <f>IF(_calc!$E$334="","",IF(ISNUMBER(INDEX('Checks'!$C$4:$C$503,_calc!$E$334)),TEXT(INDEX('Checks'!$C$4:$C$503,_calc!$E$334),"yyyy-mm-dd"),""))</f>
        <v/>
      </c>
      <c r="E332" s="47">
        <f>IF(_calc!$E$334="","",IF(LEN(INDEX('Checks'!$L$4:$L$503,_calc!$E$334))=0,"",INDEX('Checks'!$L$4:$L$503,_calc!$E$334)))</f>
        <v/>
      </c>
      <c r="F332" s="47">
        <f>IF(_calc!$E$334="","",TRIM(IF(LEN(IF(LEN(INDEX('Checks'!$I$4:$I$503,_calc!$E$334))=0,"",INDEX('Checks'!$I$4:$I$503,_calc!$E$334)))=0,"","Contractor: "&amp;IF(LEN(INDEX('Checks'!$I$4:$I$503,_calc!$E$334))=0,"",INDEX('Checks'!$I$4:$I$503,_calc!$E$334))&amp;". ")&amp;IF(LEN(IF(LEN(INDEX('Checks'!$J$4:$J$503,_calc!$E$334))=0,"",INDEX('Checks'!$J$4:$J$503,_calc!$E$334)))=0,"","Ref: "&amp;IF(LEN(INDEX('Checks'!$J$4:$J$503,_calc!$E$334))=0,"",INDEX('Checks'!$J$4:$J$503,_calc!$E$334))&amp;". ")&amp;IF(LEN(IF(ISNUMBER(INDEX('Checks'!$K$4:$K$503,_calc!$E$334)),TEXT(INDEX('Checks'!$K$4:$K$503,_calc!$E$334),"yyyy-mm-dd"),""))=0,"","Copy to tenant: "&amp;IF(ISNUMBER(INDEX('Checks'!$K$4:$K$503,_calc!$E$334)),TEXT(INDEX('Checks'!$K$4:$K$503,_calc!$E$334),"yyyy-mm-dd"),"")&amp;". ")&amp;IF(LEN(IF(LEN(INDEX('Checks'!$P$4:$P$503,_calc!$E$334))=0,"",INDEX('Checks'!$P$4:$P$503,_calc!$E$334)))=0,"",IF(LEN(INDEX('Checks'!$P$4:$P$503,_calc!$E$334))=0,"",INDEX('Checks'!$P$4:$P$503,_calc!$E$334)))))</f>
        <v/>
      </c>
      <c r="G332" s="47">
        <f>IF(_calc!$E$334="","",IF(LEN(INDEX('Checks'!$N$4:$N$503,_calc!$E$334))=0,"",INDEX('Checks'!$N$4:$N$503,_calc!$E$334)))</f>
        <v/>
      </c>
      <c r="K332" s="47">
        <f>IF(_calc!$E$334="","",IF(LEN(INDEX('Checks'!$M$4:$M$503,_calc!$E$334))=0,"",INDEX('Checks'!$M$4:$M$503,_calc!$E$334)))</f>
        <v/>
      </c>
    </row>
    <row r="333">
      <c r="A333" s="47">
        <f>IF(_calc!$E$335="","",IF(LEN(INDEX('Checks'!$B$4:$B$503,_calc!$E$335))=0,"",INDEX('Checks'!$B$4:$B$503,_calc!$E$335))&amp;" – "&amp;IF(LEN(INDEX('Checks'!$A$4:$A$503,_calc!$E$335))=0,"",INDEX('Checks'!$A$4:$A$503,_calc!$E$335)))</f>
        <v/>
      </c>
      <c r="B333" s="47">
        <f>IF(_calc!$E$335="","",IF(ISNUMBER(INDEX('Checks'!$D$4:$D$503,_calc!$E$335)),TEXT(INDEX('Checks'!$D$4:$D$503,_calc!$E$335),"yyyy-mm-dd"),""))</f>
        <v/>
      </c>
      <c r="C333" s="47">
        <f>IF(_calc!$E$335="","",IF(LEN(INDEX('Checks'!$B$4:$B$503,_calc!$E$335))=0,"",INDEX('Checks'!$B$4:$B$503,_calc!$E$335)))</f>
        <v/>
      </c>
      <c r="D333" s="47">
        <f>IF(_calc!$E$335="","",IF(ISNUMBER(INDEX('Checks'!$C$4:$C$503,_calc!$E$335)),TEXT(INDEX('Checks'!$C$4:$C$503,_calc!$E$335),"yyyy-mm-dd"),""))</f>
        <v/>
      </c>
      <c r="E333" s="47">
        <f>IF(_calc!$E$335="","",IF(LEN(INDEX('Checks'!$L$4:$L$503,_calc!$E$335))=0,"",INDEX('Checks'!$L$4:$L$503,_calc!$E$335)))</f>
        <v/>
      </c>
      <c r="F333" s="47">
        <f>IF(_calc!$E$335="","",TRIM(IF(LEN(IF(LEN(INDEX('Checks'!$I$4:$I$503,_calc!$E$335))=0,"",INDEX('Checks'!$I$4:$I$503,_calc!$E$335)))=0,"","Contractor: "&amp;IF(LEN(INDEX('Checks'!$I$4:$I$503,_calc!$E$335))=0,"",INDEX('Checks'!$I$4:$I$503,_calc!$E$335))&amp;". ")&amp;IF(LEN(IF(LEN(INDEX('Checks'!$J$4:$J$503,_calc!$E$335))=0,"",INDEX('Checks'!$J$4:$J$503,_calc!$E$335)))=0,"","Ref: "&amp;IF(LEN(INDEX('Checks'!$J$4:$J$503,_calc!$E$335))=0,"",INDEX('Checks'!$J$4:$J$503,_calc!$E$335))&amp;". ")&amp;IF(LEN(IF(ISNUMBER(INDEX('Checks'!$K$4:$K$503,_calc!$E$335)),TEXT(INDEX('Checks'!$K$4:$K$503,_calc!$E$335),"yyyy-mm-dd"),""))=0,"","Copy to tenant: "&amp;IF(ISNUMBER(INDEX('Checks'!$K$4:$K$503,_calc!$E$335)),TEXT(INDEX('Checks'!$K$4:$K$503,_calc!$E$335),"yyyy-mm-dd"),"")&amp;". ")&amp;IF(LEN(IF(LEN(INDEX('Checks'!$P$4:$P$503,_calc!$E$335))=0,"",INDEX('Checks'!$P$4:$P$503,_calc!$E$335)))=0,"",IF(LEN(INDEX('Checks'!$P$4:$P$503,_calc!$E$335))=0,"",INDEX('Checks'!$P$4:$P$503,_calc!$E$335)))))</f>
        <v/>
      </c>
      <c r="G333" s="47">
        <f>IF(_calc!$E$335="","",IF(LEN(INDEX('Checks'!$N$4:$N$503,_calc!$E$335))=0,"",INDEX('Checks'!$N$4:$N$503,_calc!$E$335)))</f>
        <v/>
      </c>
      <c r="K333" s="47">
        <f>IF(_calc!$E$335="","",IF(LEN(INDEX('Checks'!$M$4:$M$503,_calc!$E$335))=0,"",INDEX('Checks'!$M$4:$M$503,_calc!$E$335)))</f>
        <v/>
      </c>
    </row>
    <row r="334">
      <c r="A334" s="47">
        <f>IF(_calc!$E$336="","",IF(LEN(INDEX('Checks'!$B$4:$B$503,_calc!$E$336))=0,"",INDEX('Checks'!$B$4:$B$503,_calc!$E$336))&amp;" – "&amp;IF(LEN(INDEX('Checks'!$A$4:$A$503,_calc!$E$336))=0,"",INDEX('Checks'!$A$4:$A$503,_calc!$E$336)))</f>
        <v/>
      </c>
      <c r="B334" s="47">
        <f>IF(_calc!$E$336="","",IF(ISNUMBER(INDEX('Checks'!$D$4:$D$503,_calc!$E$336)),TEXT(INDEX('Checks'!$D$4:$D$503,_calc!$E$336),"yyyy-mm-dd"),""))</f>
        <v/>
      </c>
      <c r="C334" s="47">
        <f>IF(_calc!$E$336="","",IF(LEN(INDEX('Checks'!$B$4:$B$503,_calc!$E$336))=0,"",INDEX('Checks'!$B$4:$B$503,_calc!$E$336)))</f>
        <v/>
      </c>
      <c r="D334" s="47">
        <f>IF(_calc!$E$336="","",IF(ISNUMBER(INDEX('Checks'!$C$4:$C$503,_calc!$E$336)),TEXT(INDEX('Checks'!$C$4:$C$503,_calc!$E$336),"yyyy-mm-dd"),""))</f>
        <v/>
      </c>
      <c r="E334" s="47">
        <f>IF(_calc!$E$336="","",IF(LEN(INDEX('Checks'!$L$4:$L$503,_calc!$E$336))=0,"",INDEX('Checks'!$L$4:$L$503,_calc!$E$336)))</f>
        <v/>
      </c>
      <c r="F334" s="47">
        <f>IF(_calc!$E$336="","",TRIM(IF(LEN(IF(LEN(INDEX('Checks'!$I$4:$I$503,_calc!$E$336))=0,"",INDEX('Checks'!$I$4:$I$503,_calc!$E$336)))=0,"","Contractor: "&amp;IF(LEN(INDEX('Checks'!$I$4:$I$503,_calc!$E$336))=0,"",INDEX('Checks'!$I$4:$I$503,_calc!$E$336))&amp;". ")&amp;IF(LEN(IF(LEN(INDEX('Checks'!$J$4:$J$503,_calc!$E$336))=0,"",INDEX('Checks'!$J$4:$J$503,_calc!$E$336)))=0,"","Ref: "&amp;IF(LEN(INDEX('Checks'!$J$4:$J$503,_calc!$E$336))=0,"",INDEX('Checks'!$J$4:$J$503,_calc!$E$336))&amp;". ")&amp;IF(LEN(IF(ISNUMBER(INDEX('Checks'!$K$4:$K$503,_calc!$E$336)),TEXT(INDEX('Checks'!$K$4:$K$503,_calc!$E$336),"yyyy-mm-dd"),""))=0,"","Copy to tenant: "&amp;IF(ISNUMBER(INDEX('Checks'!$K$4:$K$503,_calc!$E$336)),TEXT(INDEX('Checks'!$K$4:$K$503,_calc!$E$336),"yyyy-mm-dd"),"")&amp;". ")&amp;IF(LEN(IF(LEN(INDEX('Checks'!$P$4:$P$503,_calc!$E$336))=0,"",INDEX('Checks'!$P$4:$P$503,_calc!$E$336)))=0,"",IF(LEN(INDEX('Checks'!$P$4:$P$503,_calc!$E$336))=0,"",INDEX('Checks'!$P$4:$P$503,_calc!$E$336)))))</f>
        <v/>
      </c>
      <c r="G334" s="47">
        <f>IF(_calc!$E$336="","",IF(LEN(INDEX('Checks'!$N$4:$N$503,_calc!$E$336))=0,"",INDEX('Checks'!$N$4:$N$503,_calc!$E$336)))</f>
        <v/>
      </c>
      <c r="K334" s="47">
        <f>IF(_calc!$E$336="","",IF(LEN(INDEX('Checks'!$M$4:$M$503,_calc!$E$336))=0,"",INDEX('Checks'!$M$4:$M$503,_calc!$E$336)))</f>
        <v/>
      </c>
    </row>
    <row r="335">
      <c r="A335" s="47">
        <f>IF(_calc!$E$337="","",IF(LEN(INDEX('Checks'!$B$4:$B$503,_calc!$E$337))=0,"",INDEX('Checks'!$B$4:$B$503,_calc!$E$337))&amp;" – "&amp;IF(LEN(INDEX('Checks'!$A$4:$A$503,_calc!$E$337))=0,"",INDEX('Checks'!$A$4:$A$503,_calc!$E$337)))</f>
        <v/>
      </c>
      <c r="B335" s="47">
        <f>IF(_calc!$E$337="","",IF(ISNUMBER(INDEX('Checks'!$D$4:$D$503,_calc!$E$337)),TEXT(INDEX('Checks'!$D$4:$D$503,_calc!$E$337),"yyyy-mm-dd"),""))</f>
        <v/>
      </c>
      <c r="C335" s="47">
        <f>IF(_calc!$E$337="","",IF(LEN(INDEX('Checks'!$B$4:$B$503,_calc!$E$337))=0,"",INDEX('Checks'!$B$4:$B$503,_calc!$E$337)))</f>
        <v/>
      </c>
      <c r="D335" s="47">
        <f>IF(_calc!$E$337="","",IF(ISNUMBER(INDEX('Checks'!$C$4:$C$503,_calc!$E$337)),TEXT(INDEX('Checks'!$C$4:$C$503,_calc!$E$337),"yyyy-mm-dd"),""))</f>
        <v/>
      </c>
      <c r="E335" s="47">
        <f>IF(_calc!$E$337="","",IF(LEN(INDEX('Checks'!$L$4:$L$503,_calc!$E$337))=0,"",INDEX('Checks'!$L$4:$L$503,_calc!$E$337)))</f>
        <v/>
      </c>
      <c r="F335" s="47">
        <f>IF(_calc!$E$337="","",TRIM(IF(LEN(IF(LEN(INDEX('Checks'!$I$4:$I$503,_calc!$E$337))=0,"",INDEX('Checks'!$I$4:$I$503,_calc!$E$337)))=0,"","Contractor: "&amp;IF(LEN(INDEX('Checks'!$I$4:$I$503,_calc!$E$337))=0,"",INDEX('Checks'!$I$4:$I$503,_calc!$E$337))&amp;". ")&amp;IF(LEN(IF(LEN(INDEX('Checks'!$J$4:$J$503,_calc!$E$337))=0,"",INDEX('Checks'!$J$4:$J$503,_calc!$E$337)))=0,"","Ref: "&amp;IF(LEN(INDEX('Checks'!$J$4:$J$503,_calc!$E$337))=0,"",INDEX('Checks'!$J$4:$J$503,_calc!$E$337))&amp;". ")&amp;IF(LEN(IF(ISNUMBER(INDEX('Checks'!$K$4:$K$503,_calc!$E$337)),TEXT(INDEX('Checks'!$K$4:$K$503,_calc!$E$337),"yyyy-mm-dd"),""))=0,"","Copy to tenant: "&amp;IF(ISNUMBER(INDEX('Checks'!$K$4:$K$503,_calc!$E$337)),TEXT(INDEX('Checks'!$K$4:$K$503,_calc!$E$337),"yyyy-mm-dd"),"")&amp;". ")&amp;IF(LEN(IF(LEN(INDEX('Checks'!$P$4:$P$503,_calc!$E$337))=0,"",INDEX('Checks'!$P$4:$P$503,_calc!$E$337)))=0,"",IF(LEN(INDEX('Checks'!$P$4:$P$503,_calc!$E$337))=0,"",INDEX('Checks'!$P$4:$P$503,_calc!$E$337)))))</f>
        <v/>
      </c>
      <c r="G335" s="47">
        <f>IF(_calc!$E$337="","",IF(LEN(INDEX('Checks'!$N$4:$N$503,_calc!$E$337))=0,"",INDEX('Checks'!$N$4:$N$503,_calc!$E$337)))</f>
        <v/>
      </c>
      <c r="K335" s="47">
        <f>IF(_calc!$E$337="","",IF(LEN(INDEX('Checks'!$M$4:$M$503,_calc!$E$337))=0,"",INDEX('Checks'!$M$4:$M$503,_calc!$E$337)))</f>
        <v/>
      </c>
    </row>
    <row r="336">
      <c r="A336" s="47">
        <f>IF(_calc!$E$338="","",IF(LEN(INDEX('Checks'!$B$4:$B$503,_calc!$E$338))=0,"",INDEX('Checks'!$B$4:$B$503,_calc!$E$338))&amp;" – "&amp;IF(LEN(INDEX('Checks'!$A$4:$A$503,_calc!$E$338))=0,"",INDEX('Checks'!$A$4:$A$503,_calc!$E$338)))</f>
        <v/>
      </c>
      <c r="B336" s="47">
        <f>IF(_calc!$E$338="","",IF(ISNUMBER(INDEX('Checks'!$D$4:$D$503,_calc!$E$338)),TEXT(INDEX('Checks'!$D$4:$D$503,_calc!$E$338),"yyyy-mm-dd"),""))</f>
        <v/>
      </c>
      <c r="C336" s="47">
        <f>IF(_calc!$E$338="","",IF(LEN(INDEX('Checks'!$B$4:$B$503,_calc!$E$338))=0,"",INDEX('Checks'!$B$4:$B$503,_calc!$E$338)))</f>
        <v/>
      </c>
      <c r="D336" s="47">
        <f>IF(_calc!$E$338="","",IF(ISNUMBER(INDEX('Checks'!$C$4:$C$503,_calc!$E$338)),TEXT(INDEX('Checks'!$C$4:$C$503,_calc!$E$338),"yyyy-mm-dd"),""))</f>
        <v/>
      </c>
      <c r="E336" s="47">
        <f>IF(_calc!$E$338="","",IF(LEN(INDEX('Checks'!$L$4:$L$503,_calc!$E$338))=0,"",INDEX('Checks'!$L$4:$L$503,_calc!$E$338)))</f>
        <v/>
      </c>
      <c r="F336" s="47">
        <f>IF(_calc!$E$338="","",TRIM(IF(LEN(IF(LEN(INDEX('Checks'!$I$4:$I$503,_calc!$E$338))=0,"",INDEX('Checks'!$I$4:$I$503,_calc!$E$338)))=0,"","Contractor: "&amp;IF(LEN(INDEX('Checks'!$I$4:$I$503,_calc!$E$338))=0,"",INDEX('Checks'!$I$4:$I$503,_calc!$E$338))&amp;". ")&amp;IF(LEN(IF(LEN(INDEX('Checks'!$J$4:$J$503,_calc!$E$338))=0,"",INDEX('Checks'!$J$4:$J$503,_calc!$E$338)))=0,"","Ref: "&amp;IF(LEN(INDEX('Checks'!$J$4:$J$503,_calc!$E$338))=0,"",INDEX('Checks'!$J$4:$J$503,_calc!$E$338))&amp;". ")&amp;IF(LEN(IF(ISNUMBER(INDEX('Checks'!$K$4:$K$503,_calc!$E$338)),TEXT(INDEX('Checks'!$K$4:$K$503,_calc!$E$338),"yyyy-mm-dd"),""))=0,"","Copy to tenant: "&amp;IF(ISNUMBER(INDEX('Checks'!$K$4:$K$503,_calc!$E$338)),TEXT(INDEX('Checks'!$K$4:$K$503,_calc!$E$338),"yyyy-mm-dd"),"")&amp;". ")&amp;IF(LEN(IF(LEN(INDEX('Checks'!$P$4:$P$503,_calc!$E$338))=0,"",INDEX('Checks'!$P$4:$P$503,_calc!$E$338)))=0,"",IF(LEN(INDEX('Checks'!$P$4:$P$503,_calc!$E$338))=0,"",INDEX('Checks'!$P$4:$P$503,_calc!$E$338)))))</f>
        <v/>
      </c>
      <c r="G336" s="47">
        <f>IF(_calc!$E$338="","",IF(LEN(INDEX('Checks'!$N$4:$N$503,_calc!$E$338))=0,"",INDEX('Checks'!$N$4:$N$503,_calc!$E$338)))</f>
        <v/>
      </c>
      <c r="K336" s="47">
        <f>IF(_calc!$E$338="","",IF(LEN(INDEX('Checks'!$M$4:$M$503,_calc!$E$338))=0,"",INDEX('Checks'!$M$4:$M$503,_calc!$E$338)))</f>
        <v/>
      </c>
    </row>
    <row r="337">
      <c r="A337" s="47">
        <f>IF(_calc!$E$339="","",IF(LEN(INDEX('Checks'!$B$4:$B$503,_calc!$E$339))=0,"",INDEX('Checks'!$B$4:$B$503,_calc!$E$339))&amp;" – "&amp;IF(LEN(INDEX('Checks'!$A$4:$A$503,_calc!$E$339))=0,"",INDEX('Checks'!$A$4:$A$503,_calc!$E$339)))</f>
        <v/>
      </c>
      <c r="B337" s="47">
        <f>IF(_calc!$E$339="","",IF(ISNUMBER(INDEX('Checks'!$D$4:$D$503,_calc!$E$339)),TEXT(INDEX('Checks'!$D$4:$D$503,_calc!$E$339),"yyyy-mm-dd"),""))</f>
        <v/>
      </c>
      <c r="C337" s="47">
        <f>IF(_calc!$E$339="","",IF(LEN(INDEX('Checks'!$B$4:$B$503,_calc!$E$339))=0,"",INDEX('Checks'!$B$4:$B$503,_calc!$E$339)))</f>
        <v/>
      </c>
      <c r="D337" s="47">
        <f>IF(_calc!$E$339="","",IF(ISNUMBER(INDEX('Checks'!$C$4:$C$503,_calc!$E$339)),TEXT(INDEX('Checks'!$C$4:$C$503,_calc!$E$339),"yyyy-mm-dd"),""))</f>
        <v/>
      </c>
      <c r="E337" s="47">
        <f>IF(_calc!$E$339="","",IF(LEN(INDEX('Checks'!$L$4:$L$503,_calc!$E$339))=0,"",INDEX('Checks'!$L$4:$L$503,_calc!$E$339)))</f>
        <v/>
      </c>
      <c r="F337" s="47">
        <f>IF(_calc!$E$339="","",TRIM(IF(LEN(IF(LEN(INDEX('Checks'!$I$4:$I$503,_calc!$E$339))=0,"",INDEX('Checks'!$I$4:$I$503,_calc!$E$339)))=0,"","Contractor: "&amp;IF(LEN(INDEX('Checks'!$I$4:$I$503,_calc!$E$339))=0,"",INDEX('Checks'!$I$4:$I$503,_calc!$E$339))&amp;". ")&amp;IF(LEN(IF(LEN(INDEX('Checks'!$J$4:$J$503,_calc!$E$339))=0,"",INDEX('Checks'!$J$4:$J$503,_calc!$E$339)))=0,"","Ref: "&amp;IF(LEN(INDEX('Checks'!$J$4:$J$503,_calc!$E$339))=0,"",INDEX('Checks'!$J$4:$J$503,_calc!$E$339))&amp;". ")&amp;IF(LEN(IF(ISNUMBER(INDEX('Checks'!$K$4:$K$503,_calc!$E$339)),TEXT(INDEX('Checks'!$K$4:$K$503,_calc!$E$339),"yyyy-mm-dd"),""))=0,"","Copy to tenant: "&amp;IF(ISNUMBER(INDEX('Checks'!$K$4:$K$503,_calc!$E$339)),TEXT(INDEX('Checks'!$K$4:$K$503,_calc!$E$339),"yyyy-mm-dd"),"")&amp;". ")&amp;IF(LEN(IF(LEN(INDEX('Checks'!$P$4:$P$503,_calc!$E$339))=0,"",INDEX('Checks'!$P$4:$P$503,_calc!$E$339)))=0,"",IF(LEN(INDEX('Checks'!$P$4:$P$503,_calc!$E$339))=0,"",INDEX('Checks'!$P$4:$P$503,_calc!$E$339)))))</f>
        <v/>
      </c>
      <c r="G337" s="47">
        <f>IF(_calc!$E$339="","",IF(LEN(INDEX('Checks'!$N$4:$N$503,_calc!$E$339))=0,"",INDEX('Checks'!$N$4:$N$503,_calc!$E$339)))</f>
        <v/>
      </c>
      <c r="K337" s="47">
        <f>IF(_calc!$E$339="","",IF(LEN(INDEX('Checks'!$M$4:$M$503,_calc!$E$339))=0,"",INDEX('Checks'!$M$4:$M$503,_calc!$E$339)))</f>
        <v/>
      </c>
    </row>
    <row r="338">
      <c r="A338" s="47">
        <f>IF(_calc!$E$340="","",IF(LEN(INDEX('Checks'!$B$4:$B$503,_calc!$E$340))=0,"",INDEX('Checks'!$B$4:$B$503,_calc!$E$340))&amp;" – "&amp;IF(LEN(INDEX('Checks'!$A$4:$A$503,_calc!$E$340))=0,"",INDEX('Checks'!$A$4:$A$503,_calc!$E$340)))</f>
        <v/>
      </c>
      <c r="B338" s="47">
        <f>IF(_calc!$E$340="","",IF(ISNUMBER(INDEX('Checks'!$D$4:$D$503,_calc!$E$340)),TEXT(INDEX('Checks'!$D$4:$D$503,_calc!$E$340),"yyyy-mm-dd"),""))</f>
        <v/>
      </c>
      <c r="C338" s="47">
        <f>IF(_calc!$E$340="","",IF(LEN(INDEX('Checks'!$B$4:$B$503,_calc!$E$340))=0,"",INDEX('Checks'!$B$4:$B$503,_calc!$E$340)))</f>
        <v/>
      </c>
      <c r="D338" s="47">
        <f>IF(_calc!$E$340="","",IF(ISNUMBER(INDEX('Checks'!$C$4:$C$503,_calc!$E$340)),TEXT(INDEX('Checks'!$C$4:$C$503,_calc!$E$340),"yyyy-mm-dd"),""))</f>
        <v/>
      </c>
      <c r="E338" s="47">
        <f>IF(_calc!$E$340="","",IF(LEN(INDEX('Checks'!$L$4:$L$503,_calc!$E$340))=0,"",INDEX('Checks'!$L$4:$L$503,_calc!$E$340)))</f>
        <v/>
      </c>
      <c r="F338" s="47">
        <f>IF(_calc!$E$340="","",TRIM(IF(LEN(IF(LEN(INDEX('Checks'!$I$4:$I$503,_calc!$E$340))=0,"",INDEX('Checks'!$I$4:$I$503,_calc!$E$340)))=0,"","Contractor: "&amp;IF(LEN(INDEX('Checks'!$I$4:$I$503,_calc!$E$340))=0,"",INDEX('Checks'!$I$4:$I$503,_calc!$E$340))&amp;". ")&amp;IF(LEN(IF(LEN(INDEX('Checks'!$J$4:$J$503,_calc!$E$340))=0,"",INDEX('Checks'!$J$4:$J$503,_calc!$E$340)))=0,"","Ref: "&amp;IF(LEN(INDEX('Checks'!$J$4:$J$503,_calc!$E$340))=0,"",INDEX('Checks'!$J$4:$J$503,_calc!$E$340))&amp;". ")&amp;IF(LEN(IF(ISNUMBER(INDEX('Checks'!$K$4:$K$503,_calc!$E$340)),TEXT(INDEX('Checks'!$K$4:$K$503,_calc!$E$340),"yyyy-mm-dd"),""))=0,"","Copy to tenant: "&amp;IF(ISNUMBER(INDEX('Checks'!$K$4:$K$503,_calc!$E$340)),TEXT(INDEX('Checks'!$K$4:$K$503,_calc!$E$340),"yyyy-mm-dd"),"")&amp;". ")&amp;IF(LEN(IF(LEN(INDEX('Checks'!$P$4:$P$503,_calc!$E$340))=0,"",INDEX('Checks'!$P$4:$P$503,_calc!$E$340)))=0,"",IF(LEN(INDEX('Checks'!$P$4:$P$503,_calc!$E$340))=0,"",INDEX('Checks'!$P$4:$P$503,_calc!$E$340)))))</f>
        <v/>
      </c>
      <c r="G338" s="47">
        <f>IF(_calc!$E$340="","",IF(LEN(INDEX('Checks'!$N$4:$N$503,_calc!$E$340))=0,"",INDEX('Checks'!$N$4:$N$503,_calc!$E$340)))</f>
        <v/>
      </c>
      <c r="K338" s="47">
        <f>IF(_calc!$E$340="","",IF(LEN(INDEX('Checks'!$M$4:$M$503,_calc!$E$340))=0,"",INDEX('Checks'!$M$4:$M$503,_calc!$E$340)))</f>
        <v/>
      </c>
    </row>
    <row r="339">
      <c r="A339" s="47">
        <f>IF(_calc!$E$341="","",IF(LEN(INDEX('Checks'!$B$4:$B$503,_calc!$E$341))=0,"",INDEX('Checks'!$B$4:$B$503,_calc!$E$341))&amp;" – "&amp;IF(LEN(INDEX('Checks'!$A$4:$A$503,_calc!$E$341))=0,"",INDEX('Checks'!$A$4:$A$503,_calc!$E$341)))</f>
        <v/>
      </c>
      <c r="B339" s="47">
        <f>IF(_calc!$E$341="","",IF(ISNUMBER(INDEX('Checks'!$D$4:$D$503,_calc!$E$341)),TEXT(INDEX('Checks'!$D$4:$D$503,_calc!$E$341),"yyyy-mm-dd"),""))</f>
        <v/>
      </c>
      <c r="C339" s="47">
        <f>IF(_calc!$E$341="","",IF(LEN(INDEX('Checks'!$B$4:$B$503,_calc!$E$341))=0,"",INDEX('Checks'!$B$4:$B$503,_calc!$E$341)))</f>
        <v/>
      </c>
      <c r="D339" s="47">
        <f>IF(_calc!$E$341="","",IF(ISNUMBER(INDEX('Checks'!$C$4:$C$503,_calc!$E$341)),TEXT(INDEX('Checks'!$C$4:$C$503,_calc!$E$341),"yyyy-mm-dd"),""))</f>
        <v/>
      </c>
      <c r="E339" s="47">
        <f>IF(_calc!$E$341="","",IF(LEN(INDEX('Checks'!$L$4:$L$503,_calc!$E$341))=0,"",INDEX('Checks'!$L$4:$L$503,_calc!$E$341)))</f>
        <v/>
      </c>
      <c r="F339" s="47">
        <f>IF(_calc!$E$341="","",TRIM(IF(LEN(IF(LEN(INDEX('Checks'!$I$4:$I$503,_calc!$E$341))=0,"",INDEX('Checks'!$I$4:$I$503,_calc!$E$341)))=0,"","Contractor: "&amp;IF(LEN(INDEX('Checks'!$I$4:$I$503,_calc!$E$341))=0,"",INDEX('Checks'!$I$4:$I$503,_calc!$E$341))&amp;". ")&amp;IF(LEN(IF(LEN(INDEX('Checks'!$J$4:$J$503,_calc!$E$341))=0,"",INDEX('Checks'!$J$4:$J$503,_calc!$E$341)))=0,"","Ref: "&amp;IF(LEN(INDEX('Checks'!$J$4:$J$503,_calc!$E$341))=0,"",INDEX('Checks'!$J$4:$J$503,_calc!$E$341))&amp;". ")&amp;IF(LEN(IF(ISNUMBER(INDEX('Checks'!$K$4:$K$503,_calc!$E$341)),TEXT(INDEX('Checks'!$K$4:$K$503,_calc!$E$341),"yyyy-mm-dd"),""))=0,"","Copy to tenant: "&amp;IF(ISNUMBER(INDEX('Checks'!$K$4:$K$503,_calc!$E$341)),TEXT(INDEX('Checks'!$K$4:$K$503,_calc!$E$341),"yyyy-mm-dd"),"")&amp;". ")&amp;IF(LEN(IF(LEN(INDEX('Checks'!$P$4:$P$503,_calc!$E$341))=0,"",INDEX('Checks'!$P$4:$P$503,_calc!$E$341)))=0,"",IF(LEN(INDEX('Checks'!$P$4:$P$503,_calc!$E$341))=0,"",INDEX('Checks'!$P$4:$P$503,_calc!$E$341)))))</f>
        <v/>
      </c>
      <c r="G339" s="47">
        <f>IF(_calc!$E$341="","",IF(LEN(INDEX('Checks'!$N$4:$N$503,_calc!$E$341))=0,"",INDEX('Checks'!$N$4:$N$503,_calc!$E$341)))</f>
        <v/>
      </c>
      <c r="K339" s="47">
        <f>IF(_calc!$E$341="","",IF(LEN(INDEX('Checks'!$M$4:$M$503,_calc!$E$341))=0,"",INDEX('Checks'!$M$4:$M$503,_calc!$E$341)))</f>
        <v/>
      </c>
    </row>
    <row r="340">
      <c r="A340" s="47">
        <f>IF(_calc!$E$342="","",IF(LEN(INDEX('Checks'!$B$4:$B$503,_calc!$E$342))=0,"",INDEX('Checks'!$B$4:$B$503,_calc!$E$342))&amp;" – "&amp;IF(LEN(INDEX('Checks'!$A$4:$A$503,_calc!$E$342))=0,"",INDEX('Checks'!$A$4:$A$503,_calc!$E$342)))</f>
        <v/>
      </c>
      <c r="B340" s="47">
        <f>IF(_calc!$E$342="","",IF(ISNUMBER(INDEX('Checks'!$D$4:$D$503,_calc!$E$342)),TEXT(INDEX('Checks'!$D$4:$D$503,_calc!$E$342),"yyyy-mm-dd"),""))</f>
        <v/>
      </c>
      <c r="C340" s="47">
        <f>IF(_calc!$E$342="","",IF(LEN(INDEX('Checks'!$B$4:$B$503,_calc!$E$342))=0,"",INDEX('Checks'!$B$4:$B$503,_calc!$E$342)))</f>
        <v/>
      </c>
      <c r="D340" s="47">
        <f>IF(_calc!$E$342="","",IF(ISNUMBER(INDEX('Checks'!$C$4:$C$503,_calc!$E$342)),TEXT(INDEX('Checks'!$C$4:$C$503,_calc!$E$342),"yyyy-mm-dd"),""))</f>
        <v/>
      </c>
      <c r="E340" s="47">
        <f>IF(_calc!$E$342="","",IF(LEN(INDEX('Checks'!$L$4:$L$503,_calc!$E$342))=0,"",INDEX('Checks'!$L$4:$L$503,_calc!$E$342)))</f>
        <v/>
      </c>
      <c r="F340" s="47">
        <f>IF(_calc!$E$342="","",TRIM(IF(LEN(IF(LEN(INDEX('Checks'!$I$4:$I$503,_calc!$E$342))=0,"",INDEX('Checks'!$I$4:$I$503,_calc!$E$342)))=0,"","Contractor: "&amp;IF(LEN(INDEX('Checks'!$I$4:$I$503,_calc!$E$342))=0,"",INDEX('Checks'!$I$4:$I$503,_calc!$E$342))&amp;". ")&amp;IF(LEN(IF(LEN(INDEX('Checks'!$J$4:$J$503,_calc!$E$342))=0,"",INDEX('Checks'!$J$4:$J$503,_calc!$E$342)))=0,"","Ref: "&amp;IF(LEN(INDEX('Checks'!$J$4:$J$503,_calc!$E$342))=0,"",INDEX('Checks'!$J$4:$J$503,_calc!$E$342))&amp;". ")&amp;IF(LEN(IF(ISNUMBER(INDEX('Checks'!$K$4:$K$503,_calc!$E$342)),TEXT(INDEX('Checks'!$K$4:$K$503,_calc!$E$342),"yyyy-mm-dd"),""))=0,"","Copy to tenant: "&amp;IF(ISNUMBER(INDEX('Checks'!$K$4:$K$503,_calc!$E$342)),TEXT(INDEX('Checks'!$K$4:$K$503,_calc!$E$342),"yyyy-mm-dd"),"")&amp;". ")&amp;IF(LEN(IF(LEN(INDEX('Checks'!$P$4:$P$503,_calc!$E$342))=0,"",INDEX('Checks'!$P$4:$P$503,_calc!$E$342)))=0,"",IF(LEN(INDEX('Checks'!$P$4:$P$503,_calc!$E$342))=0,"",INDEX('Checks'!$P$4:$P$503,_calc!$E$342)))))</f>
        <v/>
      </c>
      <c r="G340" s="47">
        <f>IF(_calc!$E$342="","",IF(LEN(INDEX('Checks'!$N$4:$N$503,_calc!$E$342))=0,"",INDEX('Checks'!$N$4:$N$503,_calc!$E$342)))</f>
        <v/>
      </c>
      <c r="K340" s="47">
        <f>IF(_calc!$E$342="","",IF(LEN(INDEX('Checks'!$M$4:$M$503,_calc!$E$342))=0,"",INDEX('Checks'!$M$4:$M$503,_calc!$E$342)))</f>
        <v/>
      </c>
    </row>
    <row r="341">
      <c r="A341" s="47">
        <f>IF(_calc!$E$343="","",IF(LEN(INDEX('Checks'!$B$4:$B$503,_calc!$E$343))=0,"",INDEX('Checks'!$B$4:$B$503,_calc!$E$343))&amp;" – "&amp;IF(LEN(INDEX('Checks'!$A$4:$A$503,_calc!$E$343))=0,"",INDEX('Checks'!$A$4:$A$503,_calc!$E$343)))</f>
        <v/>
      </c>
      <c r="B341" s="47">
        <f>IF(_calc!$E$343="","",IF(ISNUMBER(INDEX('Checks'!$D$4:$D$503,_calc!$E$343)),TEXT(INDEX('Checks'!$D$4:$D$503,_calc!$E$343),"yyyy-mm-dd"),""))</f>
        <v/>
      </c>
      <c r="C341" s="47">
        <f>IF(_calc!$E$343="","",IF(LEN(INDEX('Checks'!$B$4:$B$503,_calc!$E$343))=0,"",INDEX('Checks'!$B$4:$B$503,_calc!$E$343)))</f>
        <v/>
      </c>
      <c r="D341" s="47">
        <f>IF(_calc!$E$343="","",IF(ISNUMBER(INDEX('Checks'!$C$4:$C$503,_calc!$E$343)),TEXT(INDEX('Checks'!$C$4:$C$503,_calc!$E$343),"yyyy-mm-dd"),""))</f>
        <v/>
      </c>
      <c r="E341" s="47">
        <f>IF(_calc!$E$343="","",IF(LEN(INDEX('Checks'!$L$4:$L$503,_calc!$E$343))=0,"",INDEX('Checks'!$L$4:$L$503,_calc!$E$343)))</f>
        <v/>
      </c>
      <c r="F341" s="47">
        <f>IF(_calc!$E$343="","",TRIM(IF(LEN(IF(LEN(INDEX('Checks'!$I$4:$I$503,_calc!$E$343))=0,"",INDEX('Checks'!$I$4:$I$503,_calc!$E$343)))=0,"","Contractor: "&amp;IF(LEN(INDEX('Checks'!$I$4:$I$503,_calc!$E$343))=0,"",INDEX('Checks'!$I$4:$I$503,_calc!$E$343))&amp;". ")&amp;IF(LEN(IF(LEN(INDEX('Checks'!$J$4:$J$503,_calc!$E$343))=0,"",INDEX('Checks'!$J$4:$J$503,_calc!$E$343)))=0,"","Ref: "&amp;IF(LEN(INDEX('Checks'!$J$4:$J$503,_calc!$E$343))=0,"",INDEX('Checks'!$J$4:$J$503,_calc!$E$343))&amp;". ")&amp;IF(LEN(IF(ISNUMBER(INDEX('Checks'!$K$4:$K$503,_calc!$E$343)),TEXT(INDEX('Checks'!$K$4:$K$503,_calc!$E$343),"yyyy-mm-dd"),""))=0,"","Copy to tenant: "&amp;IF(ISNUMBER(INDEX('Checks'!$K$4:$K$503,_calc!$E$343)),TEXT(INDEX('Checks'!$K$4:$K$503,_calc!$E$343),"yyyy-mm-dd"),"")&amp;". ")&amp;IF(LEN(IF(LEN(INDEX('Checks'!$P$4:$P$503,_calc!$E$343))=0,"",INDEX('Checks'!$P$4:$P$503,_calc!$E$343)))=0,"",IF(LEN(INDEX('Checks'!$P$4:$P$503,_calc!$E$343))=0,"",INDEX('Checks'!$P$4:$P$503,_calc!$E$343)))))</f>
        <v/>
      </c>
      <c r="G341" s="47">
        <f>IF(_calc!$E$343="","",IF(LEN(INDEX('Checks'!$N$4:$N$503,_calc!$E$343))=0,"",INDEX('Checks'!$N$4:$N$503,_calc!$E$343)))</f>
        <v/>
      </c>
      <c r="K341" s="47">
        <f>IF(_calc!$E$343="","",IF(LEN(INDEX('Checks'!$M$4:$M$503,_calc!$E$343))=0,"",INDEX('Checks'!$M$4:$M$503,_calc!$E$343)))</f>
        <v/>
      </c>
    </row>
    <row r="342">
      <c r="A342" s="47">
        <f>IF(_calc!$E$344="","",IF(LEN(INDEX('Checks'!$B$4:$B$503,_calc!$E$344))=0,"",INDEX('Checks'!$B$4:$B$503,_calc!$E$344))&amp;" – "&amp;IF(LEN(INDEX('Checks'!$A$4:$A$503,_calc!$E$344))=0,"",INDEX('Checks'!$A$4:$A$503,_calc!$E$344)))</f>
        <v/>
      </c>
      <c r="B342" s="47">
        <f>IF(_calc!$E$344="","",IF(ISNUMBER(INDEX('Checks'!$D$4:$D$503,_calc!$E$344)),TEXT(INDEX('Checks'!$D$4:$D$503,_calc!$E$344),"yyyy-mm-dd"),""))</f>
        <v/>
      </c>
      <c r="C342" s="47">
        <f>IF(_calc!$E$344="","",IF(LEN(INDEX('Checks'!$B$4:$B$503,_calc!$E$344))=0,"",INDEX('Checks'!$B$4:$B$503,_calc!$E$344)))</f>
        <v/>
      </c>
      <c r="D342" s="47">
        <f>IF(_calc!$E$344="","",IF(ISNUMBER(INDEX('Checks'!$C$4:$C$503,_calc!$E$344)),TEXT(INDEX('Checks'!$C$4:$C$503,_calc!$E$344),"yyyy-mm-dd"),""))</f>
        <v/>
      </c>
      <c r="E342" s="47">
        <f>IF(_calc!$E$344="","",IF(LEN(INDEX('Checks'!$L$4:$L$503,_calc!$E$344))=0,"",INDEX('Checks'!$L$4:$L$503,_calc!$E$344)))</f>
        <v/>
      </c>
      <c r="F342" s="47">
        <f>IF(_calc!$E$344="","",TRIM(IF(LEN(IF(LEN(INDEX('Checks'!$I$4:$I$503,_calc!$E$344))=0,"",INDEX('Checks'!$I$4:$I$503,_calc!$E$344)))=0,"","Contractor: "&amp;IF(LEN(INDEX('Checks'!$I$4:$I$503,_calc!$E$344))=0,"",INDEX('Checks'!$I$4:$I$503,_calc!$E$344))&amp;". ")&amp;IF(LEN(IF(LEN(INDEX('Checks'!$J$4:$J$503,_calc!$E$344))=0,"",INDEX('Checks'!$J$4:$J$503,_calc!$E$344)))=0,"","Ref: "&amp;IF(LEN(INDEX('Checks'!$J$4:$J$503,_calc!$E$344))=0,"",INDEX('Checks'!$J$4:$J$503,_calc!$E$344))&amp;". ")&amp;IF(LEN(IF(ISNUMBER(INDEX('Checks'!$K$4:$K$503,_calc!$E$344)),TEXT(INDEX('Checks'!$K$4:$K$503,_calc!$E$344),"yyyy-mm-dd"),""))=0,"","Copy to tenant: "&amp;IF(ISNUMBER(INDEX('Checks'!$K$4:$K$503,_calc!$E$344)),TEXT(INDEX('Checks'!$K$4:$K$503,_calc!$E$344),"yyyy-mm-dd"),"")&amp;". ")&amp;IF(LEN(IF(LEN(INDEX('Checks'!$P$4:$P$503,_calc!$E$344))=0,"",INDEX('Checks'!$P$4:$P$503,_calc!$E$344)))=0,"",IF(LEN(INDEX('Checks'!$P$4:$P$503,_calc!$E$344))=0,"",INDEX('Checks'!$P$4:$P$503,_calc!$E$344)))))</f>
        <v/>
      </c>
      <c r="G342" s="47">
        <f>IF(_calc!$E$344="","",IF(LEN(INDEX('Checks'!$N$4:$N$503,_calc!$E$344))=0,"",INDEX('Checks'!$N$4:$N$503,_calc!$E$344)))</f>
        <v/>
      </c>
      <c r="K342" s="47">
        <f>IF(_calc!$E$344="","",IF(LEN(INDEX('Checks'!$M$4:$M$503,_calc!$E$344))=0,"",INDEX('Checks'!$M$4:$M$503,_calc!$E$344)))</f>
        <v/>
      </c>
    </row>
    <row r="343">
      <c r="A343" s="47">
        <f>IF(_calc!$E$345="","",IF(LEN(INDEX('Checks'!$B$4:$B$503,_calc!$E$345))=0,"",INDEX('Checks'!$B$4:$B$503,_calc!$E$345))&amp;" – "&amp;IF(LEN(INDEX('Checks'!$A$4:$A$503,_calc!$E$345))=0,"",INDEX('Checks'!$A$4:$A$503,_calc!$E$345)))</f>
        <v/>
      </c>
      <c r="B343" s="47">
        <f>IF(_calc!$E$345="","",IF(ISNUMBER(INDEX('Checks'!$D$4:$D$503,_calc!$E$345)),TEXT(INDEX('Checks'!$D$4:$D$503,_calc!$E$345),"yyyy-mm-dd"),""))</f>
        <v/>
      </c>
      <c r="C343" s="47">
        <f>IF(_calc!$E$345="","",IF(LEN(INDEX('Checks'!$B$4:$B$503,_calc!$E$345))=0,"",INDEX('Checks'!$B$4:$B$503,_calc!$E$345)))</f>
        <v/>
      </c>
      <c r="D343" s="47">
        <f>IF(_calc!$E$345="","",IF(ISNUMBER(INDEX('Checks'!$C$4:$C$503,_calc!$E$345)),TEXT(INDEX('Checks'!$C$4:$C$503,_calc!$E$345),"yyyy-mm-dd"),""))</f>
        <v/>
      </c>
      <c r="E343" s="47">
        <f>IF(_calc!$E$345="","",IF(LEN(INDEX('Checks'!$L$4:$L$503,_calc!$E$345))=0,"",INDEX('Checks'!$L$4:$L$503,_calc!$E$345)))</f>
        <v/>
      </c>
      <c r="F343" s="47">
        <f>IF(_calc!$E$345="","",TRIM(IF(LEN(IF(LEN(INDEX('Checks'!$I$4:$I$503,_calc!$E$345))=0,"",INDEX('Checks'!$I$4:$I$503,_calc!$E$345)))=0,"","Contractor: "&amp;IF(LEN(INDEX('Checks'!$I$4:$I$503,_calc!$E$345))=0,"",INDEX('Checks'!$I$4:$I$503,_calc!$E$345))&amp;". ")&amp;IF(LEN(IF(LEN(INDEX('Checks'!$J$4:$J$503,_calc!$E$345))=0,"",INDEX('Checks'!$J$4:$J$503,_calc!$E$345)))=0,"","Ref: "&amp;IF(LEN(INDEX('Checks'!$J$4:$J$503,_calc!$E$345))=0,"",INDEX('Checks'!$J$4:$J$503,_calc!$E$345))&amp;". ")&amp;IF(LEN(IF(ISNUMBER(INDEX('Checks'!$K$4:$K$503,_calc!$E$345)),TEXT(INDEX('Checks'!$K$4:$K$503,_calc!$E$345),"yyyy-mm-dd"),""))=0,"","Copy to tenant: "&amp;IF(ISNUMBER(INDEX('Checks'!$K$4:$K$503,_calc!$E$345)),TEXT(INDEX('Checks'!$K$4:$K$503,_calc!$E$345),"yyyy-mm-dd"),"")&amp;". ")&amp;IF(LEN(IF(LEN(INDEX('Checks'!$P$4:$P$503,_calc!$E$345))=0,"",INDEX('Checks'!$P$4:$P$503,_calc!$E$345)))=0,"",IF(LEN(INDEX('Checks'!$P$4:$P$503,_calc!$E$345))=0,"",INDEX('Checks'!$P$4:$P$503,_calc!$E$345)))))</f>
        <v/>
      </c>
      <c r="G343" s="47">
        <f>IF(_calc!$E$345="","",IF(LEN(INDEX('Checks'!$N$4:$N$503,_calc!$E$345))=0,"",INDEX('Checks'!$N$4:$N$503,_calc!$E$345)))</f>
        <v/>
      </c>
      <c r="K343" s="47">
        <f>IF(_calc!$E$345="","",IF(LEN(INDEX('Checks'!$M$4:$M$503,_calc!$E$345))=0,"",INDEX('Checks'!$M$4:$M$503,_calc!$E$345)))</f>
        <v/>
      </c>
    </row>
    <row r="344">
      <c r="A344" s="47">
        <f>IF(_calc!$E$346="","",IF(LEN(INDEX('Checks'!$B$4:$B$503,_calc!$E$346))=0,"",INDEX('Checks'!$B$4:$B$503,_calc!$E$346))&amp;" – "&amp;IF(LEN(INDEX('Checks'!$A$4:$A$503,_calc!$E$346))=0,"",INDEX('Checks'!$A$4:$A$503,_calc!$E$346)))</f>
        <v/>
      </c>
      <c r="B344" s="47">
        <f>IF(_calc!$E$346="","",IF(ISNUMBER(INDEX('Checks'!$D$4:$D$503,_calc!$E$346)),TEXT(INDEX('Checks'!$D$4:$D$503,_calc!$E$346),"yyyy-mm-dd"),""))</f>
        <v/>
      </c>
      <c r="C344" s="47">
        <f>IF(_calc!$E$346="","",IF(LEN(INDEX('Checks'!$B$4:$B$503,_calc!$E$346))=0,"",INDEX('Checks'!$B$4:$B$503,_calc!$E$346)))</f>
        <v/>
      </c>
      <c r="D344" s="47">
        <f>IF(_calc!$E$346="","",IF(ISNUMBER(INDEX('Checks'!$C$4:$C$503,_calc!$E$346)),TEXT(INDEX('Checks'!$C$4:$C$503,_calc!$E$346),"yyyy-mm-dd"),""))</f>
        <v/>
      </c>
      <c r="E344" s="47">
        <f>IF(_calc!$E$346="","",IF(LEN(INDEX('Checks'!$L$4:$L$503,_calc!$E$346))=0,"",INDEX('Checks'!$L$4:$L$503,_calc!$E$346)))</f>
        <v/>
      </c>
      <c r="F344" s="47">
        <f>IF(_calc!$E$346="","",TRIM(IF(LEN(IF(LEN(INDEX('Checks'!$I$4:$I$503,_calc!$E$346))=0,"",INDEX('Checks'!$I$4:$I$503,_calc!$E$346)))=0,"","Contractor: "&amp;IF(LEN(INDEX('Checks'!$I$4:$I$503,_calc!$E$346))=0,"",INDEX('Checks'!$I$4:$I$503,_calc!$E$346))&amp;". ")&amp;IF(LEN(IF(LEN(INDEX('Checks'!$J$4:$J$503,_calc!$E$346))=0,"",INDEX('Checks'!$J$4:$J$503,_calc!$E$346)))=0,"","Ref: "&amp;IF(LEN(INDEX('Checks'!$J$4:$J$503,_calc!$E$346))=0,"",INDEX('Checks'!$J$4:$J$503,_calc!$E$346))&amp;". ")&amp;IF(LEN(IF(ISNUMBER(INDEX('Checks'!$K$4:$K$503,_calc!$E$346)),TEXT(INDEX('Checks'!$K$4:$K$503,_calc!$E$346),"yyyy-mm-dd"),""))=0,"","Copy to tenant: "&amp;IF(ISNUMBER(INDEX('Checks'!$K$4:$K$503,_calc!$E$346)),TEXT(INDEX('Checks'!$K$4:$K$503,_calc!$E$346),"yyyy-mm-dd"),"")&amp;". ")&amp;IF(LEN(IF(LEN(INDEX('Checks'!$P$4:$P$503,_calc!$E$346))=0,"",INDEX('Checks'!$P$4:$P$503,_calc!$E$346)))=0,"",IF(LEN(INDEX('Checks'!$P$4:$P$503,_calc!$E$346))=0,"",INDEX('Checks'!$P$4:$P$503,_calc!$E$346)))))</f>
        <v/>
      </c>
      <c r="G344" s="47">
        <f>IF(_calc!$E$346="","",IF(LEN(INDEX('Checks'!$N$4:$N$503,_calc!$E$346))=0,"",INDEX('Checks'!$N$4:$N$503,_calc!$E$346)))</f>
        <v/>
      </c>
      <c r="K344" s="47">
        <f>IF(_calc!$E$346="","",IF(LEN(INDEX('Checks'!$M$4:$M$503,_calc!$E$346))=0,"",INDEX('Checks'!$M$4:$M$503,_calc!$E$346)))</f>
        <v/>
      </c>
    </row>
    <row r="345">
      <c r="A345" s="47">
        <f>IF(_calc!$E$347="","",IF(LEN(INDEX('Checks'!$B$4:$B$503,_calc!$E$347))=0,"",INDEX('Checks'!$B$4:$B$503,_calc!$E$347))&amp;" – "&amp;IF(LEN(INDEX('Checks'!$A$4:$A$503,_calc!$E$347))=0,"",INDEX('Checks'!$A$4:$A$503,_calc!$E$347)))</f>
        <v/>
      </c>
      <c r="B345" s="47">
        <f>IF(_calc!$E$347="","",IF(ISNUMBER(INDEX('Checks'!$D$4:$D$503,_calc!$E$347)),TEXT(INDEX('Checks'!$D$4:$D$503,_calc!$E$347),"yyyy-mm-dd"),""))</f>
        <v/>
      </c>
      <c r="C345" s="47">
        <f>IF(_calc!$E$347="","",IF(LEN(INDEX('Checks'!$B$4:$B$503,_calc!$E$347))=0,"",INDEX('Checks'!$B$4:$B$503,_calc!$E$347)))</f>
        <v/>
      </c>
      <c r="D345" s="47">
        <f>IF(_calc!$E$347="","",IF(ISNUMBER(INDEX('Checks'!$C$4:$C$503,_calc!$E$347)),TEXT(INDEX('Checks'!$C$4:$C$503,_calc!$E$347),"yyyy-mm-dd"),""))</f>
        <v/>
      </c>
      <c r="E345" s="47">
        <f>IF(_calc!$E$347="","",IF(LEN(INDEX('Checks'!$L$4:$L$503,_calc!$E$347))=0,"",INDEX('Checks'!$L$4:$L$503,_calc!$E$347)))</f>
        <v/>
      </c>
      <c r="F345" s="47">
        <f>IF(_calc!$E$347="","",TRIM(IF(LEN(IF(LEN(INDEX('Checks'!$I$4:$I$503,_calc!$E$347))=0,"",INDEX('Checks'!$I$4:$I$503,_calc!$E$347)))=0,"","Contractor: "&amp;IF(LEN(INDEX('Checks'!$I$4:$I$503,_calc!$E$347))=0,"",INDEX('Checks'!$I$4:$I$503,_calc!$E$347))&amp;". ")&amp;IF(LEN(IF(LEN(INDEX('Checks'!$J$4:$J$503,_calc!$E$347))=0,"",INDEX('Checks'!$J$4:$J$503,_calc!$E$347)))=0,"","Ref: "&amp;IF(LEN(INDEX('Checks'!$J$4:$J$503,_calc!$E$347))=0,"",INDEX('Checks'!$J$4:$J$503,_calc!$E$347))&amp;". ")&amp;IF(LEN(IF(ISNUMBER(INDEX('Checks'!$K$4:$K$503,_calc!$E$347)),TEXT(INDEX('Checks'!$K$4:$K$503,_calc!$E$347),"yyyy-mm-dd"),""))=0,"","Copy to tenant: "&amp;IF(ISNUMBER(INDEX('Checks'!$K$4:$K$503,_calc!$E$347)),TEXT(INDEX('Checks'!$K$4:$K$503,_calc!$E$347),"yyyy-mm-dd"),"")&amp;". ")&amp;IF(LEN(IF(LEN(INDEX('Checks'!$P$4:$P$503,_calc!$E$347))=0,"",INDEX('Checks'!$P$4:$P$503,_calc!$E$347)))=0,"",IF(LEN(INDEX('Checks'!$P$4:$P$503,_calc!$E$347))=0,"",INDEX('Checks'!$P$4:$P$503,_calc!$E$347)))))</f>
        <v/>
      </c>
      <c r="G345" s="47">
        <f>IF(_calc!$E$347="","",IF(LEN(INDEX('Checks'!$N$4:$N$503,_calc!$E$347))=0,"",INDEX('Checks'!$N$4:$N$503,_calc!$E$347)))</f>
        <v/>
      </c>
      <c r="K345" s="47">
        <f>IF(_calc!$E$347="","",IF(LEN(INDEX('Checks'!$M$4:$M$503,_calc!$E$347))=0,"",INDEX('Checks'!$M$4:$M$503,_calc!$E$347)))</f>
        <v/>
      </c>
    </row>
    <row r="346">
      <c r="A346" s="47">
        <f>IF(_calc!$E$348="","",IF(LEN(INDEX('Checks'!$B$4:$B$503,_calc!$E$348))=0,"",INDEX('Checks'!$B$4:$B$503,_calc!$E$348))&amp;" – "&amp;IF(LEN(INDEX('Checks'!$A$4:$A$503,_calc!$E$348))=0,"",INDEX('Checks'!$A$4:$A$503,_calc!$E$348)))</f>
        <v/>
      </c>
      <c r="B346" s="47">
        <f>IF(_calc!$E$348="","",IF(ISNUMBER(INDEX('Checks'!$D$4:$D$503,_calc!$E$348)),TEXT(INDEX('Checks'!$D$4:$D$503,_calc!$E$348),"yyyy-mm-dd"),""))</f>
        <v/>
      </c>
      <c r="C346" s="47">
        <f>IF(_calc!$E$348="","",IF(LEN(INDEX('Checks'!$B$4:$B$503,_calc!$E$348))=0,"",INDEX('Checks'!$B$4:$B$503,_calc!$E$348)))</f>
        <v/>
      </c>
      <c r="D346" s="47">
        <f>IF(_calc!$E$348="","",IF(ISNUMBER(INDEX('Checks'!$C$4:$C$503,_calc!$E$348)),TEXT(INDEX('Checks'!$C$4:$C$503,_calc!$E$348),"yyyy-mm-dd"),""))</f>
        <v/>
      </c>
      <c r="E346" s="47">
        <f>IF(_calc!$E$348="","",IF(LEN(INDEX('Checks'!$L$4:$L$503,_calc!$E$348))=0,"",INDEX('Checks'!$L$4:$L$503,_calc!$E$348)))</f>
        <v/>
      </c>
      <c r="F346" s="47">
        <f>IF(_calc!$E$348="","",TRIM(IF(LEN(IF(LEN(INDEX('Checks'!$I$4:$I$503,_calc!$E$348))=0,"",INDEX('Checks'!$I$4:$I$503,_calc!$E$348)))=0,"","Contractor: "&amp;IF(LEN(INDEX('Checks'!$I$4:$I$503,_calc!$E$348))=0,"",INDEX('Checks'!$I$4:$I$503,_calc!$E$348))&amp;". ")&amp;IF(LEN(IF(LEN(INDEX('Checks'!$J$4:$J$503,_calc!$E$348))=0,"",INDEX('Checks'!$J$4:$J$503,_calc!$E$348)))=0,"","Ref: "&amp;IF(LEN(INDEX('Checks'!$J$4:$J$503,_calc!$E$348))=0,"",INDEX('Checks'!$J$4:$J$503,_calc!$E$348))&amp;". ")&amp;IF(LEN(IF(ISNUMBER(INDEX('Checks'!$K$4:$K$503,_calc!$E$348)),TEXT(INDEX('Checks'!$K$4:$K$503,_calc!$E$348),"yyyy-mm-dd"),""))=0,"","Copy to tenant: "&amp;IF(ISNUMBER(INDEX('Checks'!$K$4:$K$503,_calc!$E$348)),TEXT(INDEX('Checks'!$K$4:$K$503,_calc!$E$348),"yyyy-mm-dd"),"")&amp;". ")&amp;IF(LEN(IF(LEN(INDEX('Checks'!$P$4:$P$503,_calc!$E$348))=0,"",INDEX('Checks'!$P$4:$P$503,_calc!$E$348)))=0,"",IF(LEN(INDEX('Checks'!$P$4:$P$503,_calc!$E$348))=0,"",INDEX('Checks'!$P$4:$P$503,_calc!$E$348)))))</f>
        <v/>
      </c>
      <c r="G346" s="47">
        <f>IF(_calc!$E$348="","",IF(LEN(INDEX('Checks'!$N$4:$N$503,_calc!$E$348))=0,"",INDEX('Checks'!$N$4:$N$503,_calc!$E$348)))</f>
        <v/>
      </c>
      <c r="K346" s="47">
        <f>IF(_calc!$E$348="","",IF(LEN(INDEX('Checks'!$M$4:$M$503,_calc!$E$348))=0,"",INDEX('Checks'!$M$4:$M$503,_calc!$E$348)))</f>
        <v/>
      </c>
    </row>
    <row r="347">
      <c r="A347" s="47">
        <f>IF(_calc!$E$349="","",IF(LEN(INDEX('Checks'!$B$4:$B$503,_calc!$E$349))=0,"",INDEX('Checks'!$B$4:$B$503,_calc!$E$349))&amp;" – "&amp;IF(LEN(INDEX('Checks'!$A$4:$A$503,_calc!$E$349))=0,"",INDEX('Checks'!$A$4:$A$503,_calc!$E$349)))</f>
        <v/>
      </c>
      <c r="B347" s="47">
        <f>IF(_calc!$E$349="","",IF(ISNUMBER(INDEX('Checks'!$D$4:$D$503,_calc!$E$349)),TEXT(INDEX('Checks'!$D$4:$D$503,_calc!$E$349),"yyyy-mm-dd"),""))</f>
        <v/>
      </c>
      <c r="C347" s="47">
        <f>IF(_calc!$E$349="","",IF(LEN(INDEX('Checks'!$B$4:$B$503,_calc!$E$349))=0,"",INDEX('Checks'!$B$4:$B$503,_calc!$E$349)))</f>
        <v/>
      </c>
      <c r="D347" s="47">
        <f>IF(_calc!$E$349="","",IF(ISNUMBER(INDEX('Checks'!$C$4:$C$503,_calc!$E$349)),TEXT(INDEX('Checks'!$C$4:$C$503,_calc!$E$349),"yyyy-mm-dd"),""))</f>
        <v/>
      </c>
      <c r="E347" s="47">
        <f>IF(_calc!$E$349="","",IF(LEN(INDEX('Checks'!$L$4:$L$503,_calc!$E$349))=0,"",INDEX('Checks'!$L$4:$L$503,_calc!$E$349)))</f>
        <v/>
      </c>
      <c r="F347" s="47">
        <f>IF(_calc!$E$349="","",TRIM(IF(LEN(IF(LEN(INDEX('Checks'!$I$4:$I$503,_calc!$E$349))=0,"",INDEX('Checks'!$I$4:$I$503,_calc!$E$349)))=0,"","Contractor: "&amp;IF(LEN(INDEX('Checks'!$I$4:$I$503,_calc!$E$349))=0,"",INDEX('Checks'!$I$4:$I$503,_calc!$E$349))&amp;". ")&amp;IF(LEN(IF(LEN(INDEX('Checks'!$J$4:$J$503,_calc!$E$349))=0,"",INDEX('Checks'!$J$4:$J$503,_calc!$E$349)))=0,"","Ref: "&amp;IF(LEN(INDEX('Checks'!$J$4:$J$503,_calc!$E$349))=0,"",INDEX('Checks'!$J$4:$J$503,_calc!$E$349))&amp;". ")&amp;IF(LEN(IF(ISNUMBER(INDEX('Checks'!$K$4:$K$503,_calc!$E$349)),TEXT(INDEX('Checks'!$K$4:$K$503,_calc!$E$349),"yyyy-mm-dd"),""))=0,"","Copy to tenant: "&amp;IF(ISNUMBER(INDEX('Checks'!$K$4:$K$503,_calc!$E$349)),TEXT(INDEX('Checks'!$K$4:$K$503,_calc!$E$349),"yyyy-mm-dd"),"")&amp;". ")&amp;IF(LEN(IF(LEN(INDEX('Checks'!$P$4:$P$503,_calc!$E$349))=0,"",INDEX('Checks'!$P$4:$P$503,_calc!$E$349)))=0,"",IF(LEN(INDEX('Checks'!$P$4:$P$503,_calc!$E$349))=0,"",INDEX('Checks'!$P$4:$P$503,_calc!$E$349)))))</f>
        <v/>
      </c>
      <c r="G347" s="47">
        <f>IF(_calc!$E$349="","",IF(LEN(INDEX('Checks'!$N$4:$N$503,_calc!$E$349))=0,"",INDEX('Checks'!$N$4:$N$503,_calc!$E$349)))</f>
        <v/>
      </c>
      <c r="K347" s="47">
        <f>IF(_calc!$E$349="","",IF(LEN(INDEX('Checks'!$M$4:$M$503,_calc!$E$349))=0,"",INDEX('Checks'!$M$4:$M$503,_calc!$E$349)))</f>
        <v/>
      </c>
    </row>
    <row r="348">
      <c r="A348" s="47">
        <f>IF(_calc!$E$350="","",IF(LEN(INDEX('Checks'!$B$4:$B$503,_calc!$E$350))=0,"",INDEX('Checks'!$B$4:$B$503,_calc!$E$350))&amp;" – "&amp;IF(LEN(INDEX('Checks'!$A$4:$A$503,_calc!$E$350))=0,"",INDEX('Checks'!$A$4:$A$503,_calc!$E$350)))</f>
        <v/>
      </c>
      <c r="B348" s="47">
        <f>IF(_calc!$E$350="","",IF(ISNUMBER(INDEX('Checks'!$D$4:$D$503,_calc!$E$350)),TEXT(INDEX('Checks'!$D$4:$D$503,_calc!$E$350),"yyyy-mm-dd"),""))</f>
        <v/>
      </c>
      <c r="C348" s="47">
        <f>IF(_calc!$E$350="","",IF(LEN(INDEX('Checks'!$B$4:$B$503,_calc!$E$350))=0,"",INDEX('Checks'!$B$4:$B$503,_calc!$E$350)))</f>
        <v/>
      </c>
      <c r="D348" s="47">
        <f>IF(_calc!$E$350="","",IF(ISNUMBER(INDEX('Checks'!$C$4:$C$503,_calc!$E$350)),TEXT(INDEX('Checks'!$C$4:$C$503,_calc!$E$350),"yyyy-mm-dd"),""))</f>
        <v/>
      </c>
      <c r="E348" s="47">
        <f>IF(_calc!$E$350="","",IF(LEN(INDEX('Checks'!$L$4:$L$503,_calc!$E$350))=0,"",INDEX('Checks'!$L$4:$L$503,_calc!$E$350)))</f>
        <v/>
      </c>
      <c r="F348" s="47">
        <f>IF(_calc!$E$350="","",TRIM(IF(LEN(IF(LEN(INDEX('Checks'!$I$4:$I$503,_calc!$E$350))=0,"",INDEX('Checks'!$I$4:$I$503,_calc!$E$350)))=0,"","Contractor: "&amp;IF(LEN(INDEX('Checks'!$I$4:$I$503,_calc!$E$350))=0,"",INDEX('Checks'!$I$4:$I$503,_calc!$E$350))&amp;". ")&amp;IF(LEN(IF(LEN(INDEX('Checks'!$J$4:$J$503,_calc!$E$350))=0,"",INDEX('Checks'!$J$4:$J$503,_calc!$E$350)))=0,"","Ref: "&amp;IF(LEN(INDEX('Checks'!$J$4:$J$503,_calc!$E$350))=0,"",INDEX('Checks'!$J$4:$J$503,_calc!$E$350))&amp;". ")&amp;IF(LEN(IF(ISNUMBER(INDEX('Checks'!$K$4:$K$503,_calc!$E$350)),TEXT(INDEX('Checks'!$K$4:$K$503,_calc!$E$350),"yyyy-mm-dd"),""))=0,"","Copy to tenant: "&amp;IF(ISNUMBER(INDEX('Checks'!$K$4:$K$503,_calc!$E$350)),TEXT(INDEX('Checks'!$K$4:$K$503,_calc!$E$350),"yyyy-mm-dd"),"")&amp;". ")&amp;IF(LEN(IF(LEN(INDEX('Checks'!$P$4:$P$503,_calc!$E$350))=0,"",INDEX('Checks'!$P$4:$P$503,_calc!$E$350)))=0,"",IF(LEN(INDEX('Checks'!$P$4:$P$503,_calc!$E$350))=0,"",INDEX('Checks'!$P$4:$P$503,_calc!$E$350)))))</f>
        <v/>
      </c>
      <c r="G348" s="47">
        <f>IF(_calc!$E$350="","",IF(LEN(INDEX('Checks'!$N$4:$N$503,_calc!$E$350))=0,"",INDEX('Checks'!$N$4:$N$503,_calc!$E$350)))</f>
        <v/>
      </c>
      <c r="K348" s="47">
        <f>IF(_calc!$E$350="","",IF(LEN(INDEX('Checks'!$M$4:$M$503,_calc!$E$350))=0,"",INDEX('Checks'!$M$4:$M$503,_calc!$E$350)))</f>
        <v/>
      </c>
    </row>
    <row r="349">
      <c r="A349" s="47">
        <f>IF(_calc!$E$351="","",IF(LEN(INDEX('Checks'!$B$4:$B$503,_calc!$E$351))=0,"",INDEX('Checks'!$B$4:$B$503,_calc!$E$351))&amp;" – "&amp;IF(LEN(INDEX('Checks'!$A$4:$A$503,_calc!$E$351))=0,"",INDEX('Checks'!$A$4:$A$503,_calc!$E$351)))</f>
        <v/>
      </c>
      <c r="B349" s="47">
        <f>IF(_calc!$E$351="","",IF(ISNUMBER(INDEX('Checks'!$D$4:$D$503,_calc!$E$351)),TEXT(INDEX('Checks'!$D$4:$D$503,_calc!$E$351),"yyyy-mm-dd"),""))</f>
        <v/>
      </c>
      <c r="C349" s="47">
        <f>IF(_calc!$E$351="","",IF(LEN(INDEX('Checks'!$B$4:$B$503,_calc!$E$351))=0,"",INDEX('Checks'!$B$4:$B$503,_calc!$E$351)))</f>
        <v/>
      </c>
      <c r="D349" s="47">
        <f>IF(_calc!$E$351="","",IF(ISNUMBER(INDEX('Checks'!$C$4:$C$503,_calc!$E$351)),TEXT(INDEX('Checks'!$C$4:$C$503,_calc!$E$351),"yyyy-mm-dd"),""))</f>
        <v/>
      </c>
      <c r="E349" s="47">
        <f>IF(_calc!$E$351="","",IF(LEN(INDEX('Checks'!$L$4:$L$503,_calc!$E$351))=0,"",INDEX('Checks'!$L$4:$L$503,_calc!$E$351)))</f>
        <v/>
      </c>
      <c r="F349" s="47">
        <f>IF(_calc!$E$351="","",TRIM(IF(LEN(IF(LEN(INDEX('Checks'!$I$4:$I$503,_calc!$E$351))=0,"",INDEX('Checks'!$I$4:$I$503,_calc!$E$351)))=0,"","Contractor: "&amp;IF(LEN(INDEX('Checks'!$I$4:$I$503,_calc!$E$351))=0,"",INDEX('Checks'!$I$4:$I$503,_calc!$E$351))&amp;". ")&amp;IF(LEN(IF(LEN(INDEX('Checks'!$J$4:$J$503,_calc!$E$351))=0,"",INDEX('Checks'!$J$4:$J$503,_calc!$E$351)))=0,"","Ref: "&amp;IF(LEN(INDEX('Checks'!$J$4:$J$503,_calc!$E$351))=0,"",INDEX('Checks'!$J$4:$J$503,_calc!$E$351))&amp;". ")&amp;IF(LEN(IF(ISNUMBER(INDEX('Checks'!$K$4:$K$503,_calc!$E$351)),TEXT(INDEX('Checks'!$K$4:$K$503,_calc!$E$351),"yyyy-mm-dd"),""))=0,"","Copy to tenant: "&amp;IF(ISNUMBER(INDEX('Checks'!$K$4:$K$503,_calc!$E$351)),TEXT(INDEX('Checks'!$K$4:$K$503,_calc!$E$351),"yyyy-mm-dd"),"")&amp;". ")&amp;IF(LEN(IF(LEN(INDEX('Checks'!$P$4:$P$503,_calc!$E$351))=0,"",INDEX('Checks'!$P$4:$P$503,_calc!$E$351)))=0,"",IF(LEN(INDEX('Checks'!$P$4:$P$503,_calc!$E$351))=0,"",INDEX('Checks'!$P$4:$P$503,_calc!$E$351)))))</f>
        <v/>
      </c>
      <c r="G349" s="47">
        <f>IF(_calc!$E$351="","",IF(LEN(INDEX('Checks'!$N$4:$N$503,_calc!$E$351))=0,"",INDEX('Checks'!$N$4:$N$503,_calc!$E$351)))</f>
        <v/>
      </c>
      <c r="K349" s="47">
        <f>IF(_calc!$E$351="","",IF(LEN(INDEX('Checks'!$M$4:$M$503,_calc!$E$351))=0,"",INDEX('Checks'!$M$4:$M$503,_calc!$E$351)))</f>
        <v/>
      </c>
    </row>
    <row r="350">
      <c r="A350" s="47">
        <f>IF(_calc!$E$352="","",IF(LEN(INDEX('Checks'!$B$4:$B$503,_calc!$E$352))=0,"",INDEX('Checks'!$B$4:$B$503,_calc!$E$352))&amp;" – "&amp;IF(LEN(INDEX('Checks'!$A$4:$A$503,_calc!$E$352))=0,"",INDEX('Checks'!$A$4:$A$503,_calc!$E$352)))</f>
        <v/>
      </c>
      <c r="B350" s="47">
        <f>IF(_calc!$E$352="","",IF(ISNUMBER(INDEX('Checks'!$D$4:$D$503,_calc!$E$352)),TEXT(INDEX('Checks'!$D$4:$D$503,_calc!$E$352),"yyyy-mm-dd"),""))</f>
        <v/>
      </c>
      <c r="C350" s="47">
        <f>IF(_calc!$E$352="","",IF(LEN(INDEX('Checks'!$B$4:$B$503,_calc!$E$352))=0,"",INDEX('Checks'!$B$4:$B$503,_calc!$E$352)))</f>
        <v/>
      </c>
      <c r="D350" s="47">
        <f>IF(_calc!$E$352="","",IF(ISNUMBER(INDEX('Checks'!$C$4:$C$503,_calc!$E$352)),TEXT(INDEX('Checks'!$C$4:$C$503,_calc!$E$352),"yyyy-mm-dd"),""))</f>
        <v/>
      </c>
      <c r="E350" s="47">
        <f>IF(_calc!$E$352="","",IF(LEN(INDEX('Checks'!$L$4:$L$503,_calc!$E$352))=0,"",INDEX('Checks'!$L$4:$L$503,_calc!$E$352)))</f>
        <v/>
      </c>
      <c r="F350" s="47">
        <f>IF(_calc!$E$352="","",TRIM(IF(LEN(IF(LEN(INDEX('Checks'!$I$4:$I$503,_calc!$E$352))=0,"",INDEX('Checks'!$I$4:$I$503,_calc!$E$352)))=0,"","Contractor: "&amp;IF(LEN(INDEX('Checks'!$I$4:$I$503,_calc!$E$352))=0,"",INDEX('Checks'!$I$4:$I$503,_calc!$E$352))&amp;". ")&amp;IF(LEN(IF(LEN(INDEX('Checks'!$J$4:$J$503,_calc!$E$352))=0,"",INDEX('Checks'!$J$4:$J$503,_calc!$E$352)))=0,"","Ref: "&amp;IF(LEN(INDEX('Checks'!$J$4:$J$503,_calc!$E$352))=0,"",INDEX('Checks'!$J$4:$J$503,_calc!$E$352))&amp;". ")&amp;IF(LEN(IF(ISNUMBER(INDEX('Checks'!$K$4:$K$503,_calc!$E$352)),TEXT(INDEX('Checks'!$K$4:$K$503,_calc!$E$352),"yyyy-mm-dd"),""))=0,"","Copy to tenant: "&amp;IF(ISNUMBER(INDEX('Checks'!$K$4:$K$503,_calc!$E$352)),TEXT(INDEX('Checks'!$K$4:$K$503,_calc!$E$352),"yyyy-mm-dd"),"")&amp;". ")&amp;IF(LEN(IF(LEN(INDEX('Checks'!$P$4:$P$503,_calc!$E$352))=0,"",INDEX('Checks'!$P$4:$P$503,_calc!$E$352)))=0,"",IF(LEN(INDEX('Checks'!$P$4:$P$503,_calc!$E$352))=0,"",INDEX('Checks'!$P$4:$P$503,_calc!$E$352)))))</f>
        <v/>
      </c>
      <c r="G350" s="47">
        <f>IF(_calc!$E$352="","",IF(LEN(INDEX('Checks'!$N$4:$N$503,_calc!$E$352))=0,"",INDEX('Checks'!$N$4:$N$503,_calc!$E$352)))</f>
        <v/>
      </c>
      <c r="K350" s="47">
        <f>IF(_calc!$E$352="","",IF(LEN(INDEX('Checks'!$M$4:$M$503,_calc!$E$352))=0,"",INDEX('Checks'!$M$4:$M$503,_calc!$E$352)))</f>
        <v/>
      </c>
    </row>
    <row r="351">
      <c r="A351" s="47">
        <f>IF(_calc!$E$353="","",IF(LEN(INDEX('Checks'!$B$4:$B$503,_calc!$E$353))=0,"",INDEX('Checks'!$B$4:$B$503,_calc!$E$353))&amp;" – "&amp;IF(LEN(INDEX('Checks'!$A$4:$A$503,_calc!$E$353))=0,"",INDEX('Checks'!$A$4:$A$503,_calc!$E$353)))</f>
        <v/>
      </c>
      <c r="B351" s="47">
        <f>IF(_calc!$E$353="","",IF(ISNUMBER(INDEX('Checks'!$D$4:$D$503,_calc!$E$353)),TEXT(INDEX('Checks'!$D$4:$D$503,_calc!$E$353),"yyyy-mm-dd"),""))</f>
        <v/>
      </c>
      <c r="C351" s="47">
        <f>IF(_calc!$E$353="","",IF(LEN(INDEX('Checks'!$B$4:$B$503,_calc!$E$353))=0,"",INDEX('Checks'!$B$4:$B$503,_calc!$E$353)))</f>
        <v/>
      </c>
      <c r="D351" s="47">
        <f>IF(_calc!$E$353="","",IF(ISNUMBER(INDEX('Checks'!$C$4:$C$503,_calc!$E$353)),TEXT(INDEX('Checks'!$C$4:$C$503,_calc!$E$353),"yyyy-mm-dd"),""))</f>
        <v/>
      </c>
      <c r="E351" s="47">
        <f>IF(_calc!$E$353="","",IF(LEN(INDEX('Checks'!$L$4:$L$503,_calc!$E$353))=0,"",INDEX('Checks'!$L$4:$L$503,_calc!$E$353)))</f>
        <v/>
      </c>
      <c r="F351" s="47">
        <f>IF(_calc!$E$353="","",TRIM(IF(LEN(IF(LEN(INDEX('Checks'!$I$4:$I$503,_calc!$E$353))=0,"",INDEX('Checks'!$I$4:$I$503,_calc!$E$353)))=0,"","Contractor: "&amp;IF(LEN(INDEX('Checks'!$I$4:$I$503,_calc!$E$353))=0,"",INDEX('Checks'!$I$4:$I$503,_calc!$E$353))&amp;". ")&amp;IF(LEN(IF(LEN(INDEX('Checks'!$J$4:$J$503,_calc!$E$353))=0,"",INDEX('Checks'!$J$4:$J$503,_calc!$E$353)))=0,"","Ref: "&amp;IF(LEN(INDEX('Checks'!$J$4:$J$503,_calc!$E$353))=0,"",INDEX('Checks'!$J$4:$J$503,_calc!$E$353))&amp;". ")&amp;IF(LEN(IF(ISNUMBER(INDEX('Checks'!$K$4:$K$503,_calc!$E$353)),TEXT(INDEX('Checks'!$K$4:$K$503,_calc!$E$353),"yyyy-mm-dd"),""))=0,"","Copy to tenant: "&amp;IF(ISNUMBER(INDEX('Checks'!$K$4:$K$503,_calc!$E$353)),TEXT(INDEX('Checks'!$K$4:$K$503,_calc!$E$353),"yyyy-mm-dd"),"")&amp;". ")&amp;IF(LEN(IF(LEN(INDEX('Checks'!$P$4:$P$503,_calc!$E$353))=0,"",INDEX('Checks'!$P$4:$P$503,_calc!$E$353)))=0,"",IF(LEN(INDEX('Checks'!$P$4:$P$503,_calc!$E$353))=0,"",INDEX('Checks'!$P$4:$P$503,_calc!$E$353)))))</f>
        <v/>
      </c>
      <c r="G351" s="47">
        <f>IF(_calc!$E$353="","",IF(LEN(INDEX('Checks'!$N$4:$N$503,_calc!$E$353))=0,"",INDEX('Checks'!$N$4:$N$503,_calc!$E$353)))</f>
        <v/>
      </c>
      <c r="K351" s="47">
        <f>IF(_calc!$E$353="","",IF(LEN(INDEX('Checks'!$M$4:$M$503,_calc!$E$353))=0,"",INDEX('Checks'!$M$4:$M$503,_calc!$E$353)))</f>
        <v/>
      </c>
    </row>
    <row r="352">
      <c r="A352" s="47">
        <f>IF(_calc!$E$354="","",IF(LEN(INDEX('Checks'!$B$4:$B$503,_calc!$E$354))=0,"",INDEX('Checks'!$B$4:$B$503,_calc!$E$354))&amp;" – "&amp;IF(LEN(INDEX('Checks'!$A$4:$A$503,_calc!$E$354))=0,"",INDEX('Checks'!$A$4:$A$503,_calc!$E$354)))</f>
        <v/>
      </c>
      <c r="B352" s="47">
        <f>IF(_calc!$E$354="","",IF(ISNUMBER(INDEX('Checks'!$D$4:$D$503,_calc!$E$354)),TEXT(INDEX('Checks'!$D$4:$D$503,_calc!$E$354),"yyyy-mm-dd"),""))</f>
        <v/>
      </c>
      <c r="C352" s="47">
        <f>IF(_calc!$E$354="","",IF(LEN(INDEX('Checks'!$B$4:$B$503,_calc!$E$354))=0,"",INDEX('Checks'!$B$4:$B$503,_calc!$E$354)))</f>
        <v/>
      </c>
      <c r="D352" s="47">
        <f>IF(_calc!$E$354="","",IF(ISNUMBER(INDEX('Checks'!$C$4:$C$503,_calc!$E$354)),TEXT(INDEX('Checks'!$C$4:$C$503,_calc!$E$354),"yyyy-mm-dd"),""))</f>
        <v/>
      </c>
      <c r="E352" s="47">
        <f>IF(_calc!$E$354="","",IF(LEN(INDEX('Checks'!$L$4:$L$503,_calc!$E$354))=0,"",INDEX('Checks'!$L$4:$L$503,_calc!$E$354)))</f>
        <v/>
      </c>
      <c r="F352" s="47">
        <f>IF(_calc!$E$354="","",TRIM(IF(LEN(IF(LEN(INDEX('Checks'!$I$4:$I$503,_calc!$E$354))=0,"",INDEX('Checks'!$I$4:$I$503,_calc!$E$354)))=0,"","Contractor: "&amp;IF(LEN(INDEX('Checks'!$I$4:$I$503,_calc!$E$354))=0,"",INDEX('Checks'!$I$4:$I$503,_calc!$E$354))&amp;". ")&amp;IF(LEN(IF(LEN(INDEX('Checks'!$J$4:$J$503,_calc!$E$354))=0,"",INDEX('Checks'!$J$4:$J$503,_calc!$E$354)))=0,"","Ref: "&amp;IF(LEN(INDEX('Checks'!$J$4:$J$503,_calc!$E$354))=0,"",INDEX('Checks'!$J$4:$J$503,_calc!$E$354))&amp;". ")&amp;IF(LEN(IF(ISNUMBER(INDEX('Checks'!$K$4:$K$503,_calc!$E$354)),TEXT(INDEX('Checks'!$K$4:$K$503,_calc!$E$354),"yyyy-mm-dd"),""))=0,"","Copy to tenant: "&amp;IF(ISNUMBER(INDEX('Checks'!$K$4:$K$503,_calc!$E$354)),TEXT(INDEX('Checks'!$K$4:$K$503,_calc!$E$354),"yyyy-mm-dd"),"")&amp;". ")&amp;IF(LEN(IF(LEN(INDEX('Checks'!$P$4:$P$503,_calc!$E$354))=0,"",INDEX('Checks'!$P$4:$P$503,_calc!$E$354)))=0,"",IF(LEN(INDEX('Checks'!$P$4:$P$503,_calc!$E$354))=0,"",INDEX('Checks'!$P$4:$P$503,_calc!$E$354)))))</f>
        <v/>
      </c>
      <c r="G352" s="47">
        <f>IF(_calc!$E$354="","",IF(LEN(INDEX('Checks'!$N$4:$N$503,_calc!$E$354))=0,"",INDEX('Checks'!$N$4:$N$503,_calc!$E$354)))</f>
        <v/>
      </c>
      <c r="K352" s="47">
        <f>IF(_calc!$E$354="","",IF(LEN(INDEX('Checks'!$M$4:$M$503,_calc!$E$354))=0,"",INDEX('Checks'!$M$4:$M$503,_calc!$E$354)))</f>
        <v/>
      </c>
    </row>
    <row r="353">
      <c r="A353" s="47">
        <f>IF(_calc!$E$355="","",IF(LEN(INDEX('Checks'!$B$4:$B$503,_calc!$E$355))=0,"",INDEX('Checks'!$B$4:$B$503,_calc!$E$355))&amp;" – "&amp;IF(LEN(INDEX('Checks'!$A$4:$A$503,_calc!$E$355))=0,"",INDEX('Checks'!$A$4:$A$503,_calc!$E$355)))</f>
        <v/>
      </c>
      <c r="B353" s="47">
        <f>IF(_calc!$E$355="","",IF(ISNUMBER(INDEX('Checks'!$D$4:$D$503,_calc!$E$355)),TEXT(INDEX('Checks'!$D$4:$D$503,_calc!$E$355),"yyyy-mm-dd"),""))</f>
        <v/>
      </c>
      <c r="C353" s="47">
        <f>IF(_calc!$E$355="","",IF(LEN(INDEX('Checks'!$B$4:$B$503,_calc!$E$355))=0,"",INDEX('Checks'!$B$4:$B$503,_calc!$E$355)))</f>
        <v/>
      </c>
      <c r="D353" s="47">
        <f>IF(_calc!$E$355="","",IF(ISNUMBER(INDEX('Checks'!$C$4:$C$503,_calc!$E$355)),TEXT(INDEX('Checks'!$C$4:$C$503,_calc!$E$355),"yyyy-mm-dd"),""))</f>
        <v/>
      </c>
      <c r="E353" s="47">
        <f>IF(_calc!$E$355="","",IF(LEN(INDEX('Checks'!$L$4:$L$503,_calc!$E$355))=0,"",INDEX('Checks'!$L$4:$L$503,_calc!$E$355)))</f>
        <v/>
      </c>
      <c r="F353" s="47">
        <f>IF(_calc!$E$355="","",TRIM(IF(LEN(IF(LEN(INDEX('Checks'!$I$4:$I$503,_calc!$E$355))=0,"",INDEX('Checks'!$I$4:$I$503,_calc!$E$355)))=0,"","Contractor: "&amp;IF(LEN(INDEX('Checks'!$I$4:$I$503,_calc!$E$355))=0,"",INDEX('Checks'!$I$4:$I$503,_calc!$E$355))&amp;". ")&amp;IF(LEN(IF(LEN(INDEX('Checks'!$J$4:$J$503,_calc!$E$355))=0,"",INDEX('Checks'!$J$4:$J$503,_calc!$E$355)))=0,"","Ref: "&amp;IF(LEN(INDEX('Checks'!$J$4:$J$503,_calc!$E$355))=0,"",INDEX('Checks'!$J$4:$J$503,_calc!$E$355))&amp;". ")&amp;IF(LEN(IF(ISNUMBER(INDEX('Checks'!$K$4:$K$503,_calc!$E$355)),TEXT(INDEX('Checks'!$K$4:$K$503,_calc!$E$355),"yyyy-mm-dd"),""))=0,"","Copy to tenant: "&amp;IF(ISNUMBER(INDEX('Checks'!$K$4:$K$503,_calc!$E$355)),TEXT(INDEX('Checks'!$K$4:$K$503,_calc!$E$355),"yyyy-mm-dd"),"")&amp;". ")&amp;IF(LEN(IF(LEN(INDEX('Checks'!$P$4:$P$503,_calc!$E$355))=0,"",INDEX('Checks'!$P$4:$P$503,_calc!$E$355)))=0,"",IF(LEN(INDEX('Checks'!$P$4:$P$503,_calc!$E$355))=0,"",INDEX('Checks'!$P$4:$P$503,_calc!$E$355)))))</f>
        <v/>
      </c>
      <c r="G353" s="47">
        <f>IF(_calc!$E$355="","",IF(LEN(INDEX('Checks'!$N$4:$N$503,_calc!$E$355))=0,"",INDEX('Checks'!$N$4:$N$503,_calc!$E$355)))</f>
        <v/>
      </c>
      <c r="K353" s="47">
        <f>IF(_calc!$E$355="","",IF(LEN(INDEX('Checks'!$M$4:$M$503,_calc!$E$355))=0,"",INDEX('Checks'!$M$4:$M$503,_calc!$E$355)))</f>
        <v/>
      </c>
    </row>
    <row r="354">
      <c r="A354" s="47">
        <f>IF(_calc!$E$356="","",IF(LEN(INDEX('Checks'!$B$4:$B$503,_calc!$E$356))=0,"",INDEX('Checks'!$B$4:$B$503,_calc!$E$356))&amp;" – "&amp;IF(LEN(INDEX('Checks'!$A$4:$A$503,_calc!$E$356))=0,"",INDEX('Checks'!$A$4:$A$503,_calc!$E$356)))</f>
        <v/>
      </c>
      <c r="B354" s="47">
        <f>IF(_calc!$E$356="","",IF(ISNUMBER(INDEX('Checks'!$D$4:$D$503,_calc!$E$356)),TEXT(INDEX('Checks'!$D$4:$D$503,_calc!$E$356),"yyyy-mm-dd"),""))</f>
        <v/>
      </c>
      <c r="C354" s="47">
        <f>IF(_calc!$E$356="","",IF(LEN(INDEX('Checks'!$B$4:$B$503,_calc!$E$356))=0,"",INDEX('Checks'!$B$4:$B$503,_calc!$E$356)))</f>
        <v/>
      </c>
      <c r="D354" s="47">
        <f>IF(_calc!$E$356="","",IF(ISNUMBER(INDEX('Checks'!$C$4:$C$503,_calc!$E$356)),TEXT(INDEX('Checks'!$C$4:$C$503,_calc!$E$356),"yyyy-mm-dd"),""))</f>
        <v/>
      </c>
      <c r="E354" s="47">
        <f>IF(_calc!$E$356="","",IF(LEN(INDEX('Checks'!$L$4:$L$503,_calc!$E$356))=0,"",INDEX('Checks'!$L$4:$L$503,_calc!$E$356)))</f>
        <v/>
      </c>
      <c r="F354" s="47">
        <f>IF(_calc!$E$356="","",TRIM(IF(LEN(IF(LEN(INDEX('Checks'!$I$4:$I$503,_calc!$E$356))=0,"",INDEX('Checks'!$I$4:$I$503,_calc!$E$356)))=0,"","Contractor: "&amp;IF(LEN(INDEX('Checks'!$I$4:$I$503,_calc!$E$356))=0,"",INDEX('Checks'!$I$4:$I$503,_calc!$E$356))&amp;". ")&amp;IF(LEN(IF(LEN(INDEX('Checks'!$J$4:$J$503,_calc!$E$356))=0,"",INDEX('Checks'!$J$4:$J$503,_calc!$E$356)))=0,"","Ref: "&amp;IF(LEN(INDEX('Checks'!$J$4:$J$503,_calc!$E$356))=0,"",INDEX('Checks'!$J$4:$J$503,_calc!$E$356))&amp;". ")&amp;IF(LEN(IF(ISNUMBER(INDEX('Checks'!$K$4:$K$503,_calc!$E$356)),TEXT(INDEX('Checks'!$K$4:$K$503,_calc!$E$356),"yyyy-mm-dd"),""))=0,"","Copy to tenant: "&amp;IF(ISNUMBER(INDEX('Checks'!$K$4:$K$503,_calc!$E$356)),TEXT(INDEX('Checks'!$K$4:$K$503,_calc!$E$356),"yyyy-mm-dd"),"")&amp;". ")&amp;IF(LEN(IF(LEN(INDEX('Checks'!$P$4:$P$503,_calc!$E$356))=0,"",INDEX('Checks'!$P$4:$P$503,_calc!$E$356)))=0,"",IF(LEN(INDEX('Checks'!$P$4:$P$503,_calc!$E$356))=0,"",INDEX('Checks'!$P$4:$P$503,_calc!$E$356)))))</f>
        <v/>
      </c>
      <c r="G354" s="47">
        <f>IF(_calc!$E$356="","",IF(LEN(INDEX('Checks'!$N$4:$N$503,_calc!$E$356))=0,"",INDEX('Checks'!$N$4:$N$503,_calc!$E$356)))</f>
        <v/>
      </c>
      <c r="K354" s="47">
        <f>IF(_calc!$E$356="","",IF(LEN(INDEX('Checks'!$M$4:$M$503,_calc!$E$356))=0,"",INDEX('Checks'!$M$4:$M$503,_calc!$E$356)))</f>
        <v/>
      </c>
    </row>
    <row r="355">
      <c r="A355" s="47">
        <f>IF(_calc!$E$357="","",IF(LEN(INDEX('Checks'!$B$4:$B$503,_calc!$E$357))=0,"",INDEX('Checks'!$B$4:$B$503,_calc!$E$357))&amp;" – "&amp;IF(LEN(INDEX('Checks'!$A$4:$A$503,_calc!$E$357))=0,"",INDEX('Checks'!$A$4:$A$503,_calc!$E$357)))</f>
        <v/>
      </c>
      <c r="B355" s="47">
        <f>IF(_calc!$E$357="","",IF(ISNUMBER(INDEX('Checks'!$D$4:$D$503,_calc!$E$357)),TEXT(INDEX('Checks'!$D$4:$D$503,_calc!$E$357),"yyyy-mm-dd"),""))</f>
        <v/>
      </c>
      <c r="C355" s="47">
        <f>IF(_calc!$E$357="","",IF(LEN(INDEX('Checks'!$B$4:$B$503,_calc!$E$357))=0,"",INDEX('Checks'!$B$4:$B$503,_calc!$E$357)))</f>
        <v/>
      </c>
      <c r="D355" s="47">
        <f>IF(_calc!$E$357="","",IF(ISNUMBER(INDEX('Checks'!$C$4:$C$503,_calc!$E$357)),TEXT(INDEX('Checks'!$C$4:$C$503,_calc!$E$357),"yyyy-mm-dd"),""))</f>
        <v/>
      </c>
      <c r="E355" s="47">
        <f>IF(_calc!$E$357="","",IF(LEN(INDEX('Checks'!$L$4:$L$503,_calc!$E$357))=0,"",INDEX('Checks'!$L$4:$L$503,_calc!$E$357)))</f>
        <v/>
      </c>
      <c r="F355" s="47">
        <f>IF(_calc!$E$357="","",TRIM(IF(LEN(IF(LEN(INDEX('Checks'!$I$4:$I$503,_calc!$E$357))=0,"",INDEX('Checks'!$I$4:$I$503,_calc!$E$357)))=0,"","Contractor: "&amp;IF(LEN(INDEX('Checks'!$I$4:$I$503,_calc!$E$357))=0,"",INDEX('Checks'!$I$4:$I$503,_calc!$E$357))&amp;". ")&amp;IF(LEN(IF(LEN(INDEX('Checks'!$J$4:$J$503,_calc!$E$357))=0,"",INDEX('Checks'!$J$4:$J$503,_calc!$E$357)))=0,"","Ref: "&amp;IF(LEN(INDEX('Checks'!$J$4:$J$503,_calc!$E$357))=0,"",INDEX('Checks'!$J$4:$J$503,_calc!$E$357))&amp;". ")&amp;IF(LEN(IF(ISNUMBER(INDEX('Checks'!$K$4:$K$503,_calc!$E$357)),TEXT(INDEX('Checks'!$K$4:$K$503,_calc!$E$357),"yyyy-mm-dd"),""))=0,"","Copy to tenant: "&amp;IF(ISNUMBER(INDEX('Checks'!$K$4:$K$503,_calc!$E$357)),TEXT(INDEX('Checks'!$K$4:$K$503,_calc!$E$357),"yyyy-mm-dd"),"")&amp;". ")&amp;IF(LEN(IF(LEN(INDEX('Checks'!$P$4:$P$503,_calc!$E$357))=0,"",INDEX('Checks'!$P$4:$P$503,_calc!$E$357)))=0,"",IF(LEN(INDEX('Checks'!$P$4:$P$503,_calc!$E$357))=0,"",INDEX('Checks'!$P$4:$P$503,_calc!$E$357)))))</f>
        <v/>
      </c>
      <c r="G355" s="47">
        <f>IF(_calc!$E$357="","",IF(LEN(INDEX('Checks'!$N$4:$N$503,_calc!$E$357))=0,"",INDEX('Checks'!$N$4:$N$503,_calc!$E$357)))</f>
        <v/>
      </c>
      <c r="K355" s="47">
        <f>IF(_calc!$E$357="","",IF(LEN(INDEX('Checks'!$M$4:$M$503,_calc!$E$357))=0,"",INDEX('Checks'!$M$4:$M$503,_calc!$E$357)))</f>
        <v/>
      </c>
    </row>
    <row r="356">
      <c r="A356" s="47">
        <f>IF(_calc!$E$358="","",IF(LEN(INDEX('Checks'!$B$4:$B$503,_calc!$E$358))=0,"",INDEX('Checks'!$B$4:$B$503,_calc!$E$358))&amp;" – "&amp;IF(LEN(INDEX('Checks'!$A$4:$A$503,_calc!$E$358))=0,"",INDEX('Checks'!$A$4:$A$503,_calc!$E$358)))</f>
        <v/>
      </c>
      <c r="B356" s="47">
        <f>IF(_calc!$E$358="","",IF(ISNUMBER(INDEX('Checks'!$D$4:$D$503,_calc!$E$358)),TEXT(INDEX('Checks'!$D$4:$D$503,_calc!$E$358),"yyyy-mm-dd"),""))</f>
        <v/>
      </c>
      <c r="C356" s="47">
        <f>IF(_calc!$E$358="","",IF(LEN(INDEX('Checks'!$B$4:$B$503,_calc!$E$358))=0,"",INDEX('Checks'!$B$4:$B$503,_calc!$E$358)))</f>
        <v/>
      </c>
      <c r="D356" s="47">
        <f>IF(_calc!$E$358="","",IF(ISNUMBER(INDEX('Checks'!$C$4:$C$503,_calc!$E$358)),TEXT(INDEX('Checks'!$C$4:$C$503,_calc!$E$358),"yyyy-mm-dd"),""))</f>
        <v/>
      </c>
      <c r="E356" s="47">
        <f>IF(_calc!$E$358="","",IF(LEN(INDEX('Checks'!$L$4:$L$503,_calc!$E$358))=0,"",INDEX('Checks'!$L$4:$L$503,_calc!$E$358)))</f>
        <v/>
      </c>
      <c r="F356" s="47">
        <f>IF(_calc!$E$358="","",TRIM(IF(LEN(IF(LEN(INDEX('Checks'!$I$4:$I$503,_calc!$E$358))=0,"",INDEX('Checks'!$I$4:$I$503,_calc!$E$358)))=0,"","Contractor: "&amp;IF(LEN(INDEX('Checks'!$I$4:$I$503,_calc!$E$358))=0,"",INDEX('Checks'!$I$4:$I$503,_calc!$E$358))&amp;". ")&amp;IF(LEN(IF(LEN(INDEX('Checks'!$J$4:$J$503,_calc!$E$358))=0,"",INDEX('Checks'!$J$4:$J$503,_calc!$E$358)))=0,"","Ref: "&amp;IF(LEN(INDEX('Checks'!$J$4:$J$503,_calc!$E$358))=0,"",INDEX('Checks'!$J$4:$J$503,_calc!$E$358))&amp;". ")&amp;IF(LEN(IF(ISNUMBER(INDEX('Checks'!$K$4:$K$503,_calc!$E$358)),TEXT(INDEX('Checks'!$K$4:$K$503,_calc!$E$358),"yyyy-mm-dd"),""))=0,"","Copy to tenant: "&amp;IF(ISNUMBER(INDEX('Checks'!$K$4:$K$503,_calc!$E$358)),TEXT(INDEX('Checks'!$K$4:$K$503,_calc!$E$358),"yyyy-mm-dd"),"")&amp;". ")&amp;IF(LEN(IF(LEN(INDEX('Checks'!$P$4:$P$503,_calc!$E$358))=0,"",INDEX('Checks'!$P$4:$P$503,_calc!$E$358)))=0,"",IF(LEN(INDEX('Checks'!$P$4:$P$503,_calc!$E$358))=0,"",INDEX('Checks'!$P$4:$P$503,_calc!$E$358)))))</f>
        <v/>
      </c>
      <c r="G356" s="47">
        <f>IF(_calc!$E$358="","",IF(LEN(INDEX('Checks'!$N$4:$N$503,_calc!$E$358))=0,"",INDEX('Checks'!$N$4:$N$503,_calc!$E$358)))</f>
        <v/>
      </c>
      <c r="K356" s="47">
        <f>IF(_calc!$E$358="","",IF(LEN(INDEX('Checks'!$M$4:$M$503,_calc!$E$358))=0,"",INDEX('Checks'!$M$4:$M$503,_calc!$E$358)))</f>
        <v/>
      </c>
    </row>
    <row r="357">
      <c r="A357" s="47">
        <f>IF(_calc!$E$359="","",IF(LEN(INDEX('Checks'!$B$4:$B$503,_calc!$E$359))=0,"",INDEX('Checks'!$B$4:$B$503,_calc!$E$359))&amp;" – "&amp;IF(LEN(INDEX('Checks'!$A$4:$A$503,_calc!$E$359))=0,"",INDEX('Checks'!$A$4:$A$503,_calc!$E$359)))</f>
        <v/>
      </c>
      <c r="B357" s="47">
        <f>IF(_calc!$E$359="","",IF(ISNUMBER(INDEX('Checks'!$D$4:$D$503,_calc!$E$359)),TEXT(INDEX('Checks'!$D$4:$D$503,_calc!$E$359),"yyyy-mm-dd"),""))</f>
        <v/>
      </c>
      <c r="C357" s="47">
        <f>IF(_calc!$E$359="","",IF(LEN(INDEX('Checks'!$B$4:$B$503,_calc!$E$359))=0,"",INDEX('Checks'!$B$4:$B$503,_calc!$E$359)))</f>
        <v/>
      </c>
      <c r="D357" s="47">
        <f>IF(_calc!$E$359="","",IF(ISNUMBER(INDEX('Checks'!$C$4:$C$503,_calc!$E$359)),TEXT(INDEX('Checks'!$C$4:$C$503,_calc!$E$359),"yyyy-mm-dd"),""))</f>
        <v/>
      </c>
      <c r="E357" s="47">
        <f>IF(_calc!$E$359="","",IF(LEN(INDEX('Checks'!$L$4:$L$503,_calc!$E$359))=0,"",INDEX('Checks'!$L$4:$L$503,_calc!$E$359)))</f>
        <v/>
      </c>
      <c r="F357" s="47">
        <f>IF(_calc!$E$359="","",TRIM(IF(LEN(IF(LEN(INDEX('Checks'!$I$4:$I$503,_calc!$E$359))=0,"",INDEX('Checks'!$I$4:$I$503,_calc!$E$359)))=0,"","Contractor: "&amp;IF(LEN(INDEX('Checks'!$I$4:$I$503,_calc!$E$359))=0,"",INDEX('Checks'!$I$4:$I$503,_calc!$E$359))&amp;". ")&amp;IF(LEN(IF(LEN(INDEX('Checks'!$J$4:$J$503,_calc!$E$359))=0,"",INDEX('Checks'!$J$4:$J$503,_calc!$E$359)))=0,"","Ref: "&amp;IF(LEN(INDEX('Checks'!$J$4:$J$503,_calc!$E$359))=0,"",INDEX('Checks'!$J$4:$J$503,_calc!$E$359))&amp;". ")&amp;IF(LEN(IF(ISNUMBER(INDEX('Checks'!$K$4:$K$503,_calc!$E$359)),TEXT(INDEX('Checks'!$K$4:$K$503,_calc!$E$359),"yyyy-mm-dd"),""))=0,"","Copy to tenant: "&amp;IF(ISNUMBER(INDEX('Checks'!$K$4:$K$503,_calc!$E$359)),TEXT(INDEX('Checks'!$K$4:$K$503,_calc!$E$359),"yyyy-mm-dd"),"")&amp;". ")&amp;IF(LEN(IF(LEN(INDEX('Checks'!$P$4:$P$503,_calc!$E$359))=0,"",INDEX('Checks'!$P$4:$P$503,_calc!$E$359)))=0,"",IF(LEN(INDEX('Checks'!$P$4:$P$503,_calc!$E$359))=0,"",INDEX('Checks'!$P$4:$P$503,_calc!$E$359)))))</f>
        <v/>
      </c>
      <c r="G357" s="47">
        <f>IF(_calc!$E$359="","",IF(LEN(INDEX('Checks'!$N$4:$N$503,_calc!$E$359))=0,"",INDEX('Checks'!$N$4:$N$503,_calc!$E$359)))</f>
        <v/>
      </c>
      <c r="K357" s="47">
        <f>IF(_calc!$E$359="","",IF(LEN(INDEX('Checks'!$M$4:$M$503,_calc!$E$359))=0,"",INDEX('Checks'!$M$4:$M$503,_calc!$E$359)))</f>
        <v/>
      </c>
    </row>
    <row r="358">
      <c r="A358" s="47">
        <f>IF(_calc!$E$360="","",IF(LEN(INDEX('Checks'!$B$4:$B$503,_calc!$E$360))=0,"",INDEX('Checks'!$B$4:$B$503,_calc!$E$360))&amp;" – "&amp;IF(LEN(INDEX('Checks'!$A$4:$A$503,_calc!$E$360))=0,"",INDEX('Checks'!$A$4:$A$503,_calc!$E$360)))</f>
        <v/>
      </c>
      <c r="B358" s="47">
        <f>IF(_calc!$E$360="","",IF(ISNUMBER(INDEX('Checks'!$D$4:$D$503,_calc!$E$360)),TEXT(INDEX('Checks'!$D$4:$D$503,_calc!$E$360),"yyyy-mm-dd"),""))</f>
        <v/>
      </c>
      <c r="C358" s="47">
        <f>IF(_calc!$E$360="","",IF(LEN(INDEX('Checks'!$B$4:$B$503,_calc!$E$360))=0,"",INDEX('Checks'!$B$4:$B$503,_calc!$E$360)))</f>
        <v/>
      </c>
      <c r="D358" s="47">
        <f>IF(_calc!$E$360="","",IF(ISNUMBER(INDEX('Checks'!$C$4:$C$503,_calc!$E$360)),TEXT(INDEX('Checks'!$C$4:$C$503,_calc!$E$360),"yyyy-mm-dd"),""))</f>
        <v/>
      </c>
      <c r="E358" s="47">
        <f>IF(_calc!$E$360="","",IF(LEN(INDEX('Checks'!$L$4:$L$503,_calc!$E$360))=0,"",INDEX('Checks'!$L$4:$L$503,_calc!$E$360)))</f>
        <v/>
      </c>
      <c r="F358" s="47">
        <f>IF(_calc!$E$360="","",TRIM(IF(LEN(IF(LEN(INDEX('Checks'!$I$4:$I$503,_calc!$E$360))=0,"",INDEX('Checks'!$I$4:$I$503,_calc!$E$360)))=0,"","Contractor: "&amp;IF(LEN(INDEX('Checks'!$I$4:$I$503,_calc!$E$360))=0,"",INDEX('Checks'!$I$4:$I$503,_calc!$E$360))&amp;". ")&amp;IF(LEN(IF(LEN(INDEX('Checks'!$J$4:$J$503,_calc!$E$360))=0,"",INDEX('Checks'!$J$4:$J$503,_calc!$E$360)))=0,"","Ref: "&amp;IF(LEN(INDEX('Checks'!$J$4:$J$503,_calc!$E$360))=0,"",INDEX('Checks'!$J$4:$J$503,_calc!$E$360))&amp;". ")&amp;IF(LEN(IF(ISNUMBER(INDEX('Checks'!$K$4:$K$503,_calc!$E$360)),TEXT(INDEX('Checks'!$K$4:$K$503,_calc!$E$360),"yyyy-mm-dd"),""))=0,"","Copy to tenant: "&amp;IF(ISNUMBER(INDEX('Checks'!$K$4:$K$503,_calc!$E$360)),TEXT(INDEX('Checks'!$K$4:$K$503,_calc!$E$360),"yyyy-mm-dd"),"")&amp;". ")&amp;IF(LEN(IF(LEN(INDEX('Checks'!$P$4:$P$503,_calc!$E$360))=0,"",INDEX('Checks'!$P$4:$P$503,_calc!$E$360)))=0,"",IF(LEN(INDEX('Checks'!$P$4:$P$503,_calc!$E$360))=0,"",INDEX('Checks'!$P$4:$P$503,_calc!$E$360)))))</f>
        <v/>
      </c>
      <c r="G358" s="47">
        <f>IF(_calc!$E$360="","",IF(LEN(INDEX('Checks'!$N$4:$N$503,_calc!$E$360))=0,"",INDEX('Checks'!$N$4:$N$503,_calc!$E$360)))</f>
        <v/>
      </c>
      <c r="K358" s="47">
        <f>IF(_calc!$E$360="","",IF(LEN(INDEX('Checks'!$M$4:$M$503,_calc!$E$360))=0,"",INDEX('Checks'!$M$4:$M$503,_calc!$E$360)))</f>
        <v/>
      </c>
    </row>
    <row r="359">
      <c r="A359" s="47">
        <f>IF(_calc!$E$361="","",IF(LEN(INDEX('Checks'!$B$4:$B$503,_calc!$E$361))=0,"",INDEX('Checks'!$B$4:$B$503,_calc!$E$361))&amp;" – "&amp;IF(LEN(INDEX('Checks'!$A$4:$A$503,_calc!$E$361))=0,"",INDEX('Checks'!$A$4:$A$503,_calc!$E$361)))</f>
        <v/>
      </c>
      <c r="B359" s="47">
        <f>IF(_calc!$E$361="","",IF(ISNUMBER(INDEX('Checks'!$D$4:$D$503,_calc!$E$361)),TEXT(INDEX('Checks'!$D$4:$D$503,_calc!$E$361),"yyyy-mm-dd"),""))</f>
        <v/>
      </c>
      <c r="C359" s="47">
        <f>IF(_calc!$E$361="","",IF(LEN(INDEX('Checks'!$B$4:$B$503,_calc!$E$361))=0,"",INDEX('Checks'!$B$4:$B$503,_calc!$E$361)))</f>
        <v/>
      </c>
      <c r="D359" s="47">
        <f>IF(_calc!$E$361="","",IF(ISNUMBER(INDEX('Checks'!$C$4:$C$503,_calc!$E$361)),TEXT(INDEX('Checks'!$C$4:$C$503,_calc!$E$361),"yyyy-mm-dd"),""))</f>
        <v/>
      </c>
      <c r="E359" s="47">
        <f>IF(_calc!$E$361="","",IF(LEN(INDEX('Checks'!$L$4:$L$503,_calc!$E$361))=0,"",INDEX('Checks'!$L$4:$L$503,_calc!$E$361)))</f>
        <v/>
      </c>
      <c r="F359" s="47">
        <f>IF(_calc!$E$361="","",TRIM(IF(LEN(IF(LEN(INDEX('Checks'!$I$4:$I$503,_calc!$E$361))=0,"",INDEX('Checks'!$I$4:$I$503,_calc!$E$361)))=0,"","Contractor: "&amp;IF(LEN(INDEX('Checks'!$I$4:$I$503,_calc!$E$361))=0,"",INDEX('Checks'!$I$4:$I$503,_calc!$E$361))&amp;". ")&amp;IF(LEN(IF(LEN(INDEX('Checks'!$J$4:$J$503,_calc!$E$361))=0,"",INDEX('Checks'!$J$4:$J$503,_calc!$E$361)))=0,"","Ref: "&amp;IF(LEN(INDEX('Checks'!$J$4:$J$503,_calc!$E$361))=0,"",INDEX('Checks'!$J$4:$J$503,_calc!$E$361))&amp;". ")&amp;IF(LEN(IF(ISNUMBER(INDEX('Checks'!$K$4:$K$503,_calc!$E$361)),TEXT(INDEX('Checks'!$K$4:$K$503,_calc!$E$361),"yyyy-mm-dd"),""))=0,"","Copy to tenant: "&amp;IF(ISNUMBER(INDEX('Checks'!$K$4:$K$503,_calc!$E$361)),TEXT(INDEX('Checks'!$K$4:$K$503,_calc!$E$361),"yyyy-mm-dd"),"")&amp;". ")&amp;IF(LEN(IF(LEN(INDEX('Checks'!$P$4:$P$503,_calc!$E$361))=0,"",INDEX('Checks'!$P$4:$P$503,_calc!$E$361)))=0,"",IF(LEN(INDEX('Checks'!$P$4:$P$503,_calc!$E$361))=0,"",INDEX('Checks'!$P$4:$P$503,_calc!$E$361)))))</f>
        <v/>
      </c>
      <c r="G359" s="47">
        <f>IF(_calc!$E$361="","",IF(LEN(INDEX('Checks'!$N$4:$N$503,_calc!$E$361))=0,"",INDEX('Checks'!$N$4:$N$503,_calc!$E$361)))</f>
        <v/>
      </c>
      <c r="K359" s="47">
        <f>IF(_calc!$E$361="","",IF(LEN(INDEX('Checks'!$M$4:$M$503,_calc!$E$361))=0,"",INDEX('Checks'!$M$4:$M$503,_calc!$E$361)))</f>
        <v/>
      </c>
    </row>
    <row r="360">
      <c r="A360" s="47">
        <f>IF(_calc!$E$362="","",IF(LEN(INDEX('Checks'!$B$4:$B$503,_calc!$E$362))=0,"",INDEX('Checks'!$B$4:$B$503,_calc!$E$362))&amp;" – "&amp;IF(LEN(INDEX('Checks'!$A$4:$A$503,_calc!$E$362))=0,"",INDEX('Checks'!$A$4:$A$503,_calc!$E$362)))</f>
        <v/>
      </c>
      <c r="B360" s="47">
        <f>IF(_calc!$E$362="","",IF(ISNUMBER(INDEX('Checks'!$D$4:$D$503,_calc!$E$362)),TEXT(INDEX('Checks'!$D$4:$D$503,_calc!$E$362),"yyyy-mm-dd"),""))</f>
        <v/>
      </c>
      <c r="C360" s="47">
        <f>IF(_calc!$E$362="","",IF(LEN(INDEX('Checks'!$B$4:$B$503,_calc!$E$362))=0,"",INDEX('Checks'!$B$4:$B$503,_calc!$E$362)))</f>
        <v/>
      </c>
      <c r="D360" s="47">
        <f>IF(_calc!$E$362="","",IF(ISNUMBER(INDEX('Checks'!$C$4:$C$503,_calc!$E$362)),TEXT(INDEX('Checks'!$C$4:$C$503,_calc!$E$362),"yyyy-mm-dd"),""))</f>
        <v/>
      </c>
      <c r="E360" s="47">
        <f>IF(_calc!$E$362="","",IF(LEN(INDEX('Checks'!$L$4:$L$503,_calc!$E$362))=0,"",INDEX('Checks'!$L$4:$L$503,_calc!$E$362)))</f>
        <v/>
      </c>
      <c r="F360" s="47">
        <f>IF(_calc!$E$362="","",TRIM(IF(LEN(IF(LEN(INDEX('Checks'!$I$4:$I$503,_calc!$E$362))=0,"",INDEX('Checks'!$I$4:$I$503,_calc!$E$362)))=0,"","Contractor: "&amp;IF(LEN(INDEX('Checks'!$I$4:$I$503,_calc!$E$362))=0,"",INDEX('Checks'!$I$4:$I$503,_calc!$E$362))&amp;". ")&amp;IF(LEN(IF(LEN(INDEX('Checks'!$J$4:$J$503,_calc!$E$362))=0,"",INDEX('Checks'!$J$4:$J$503,_calc!$E$362)))=0,"","Ref: "&amp;IF(LEN(INDEX('Checks'!$J$4:$J$503,_calc!$E$362))=0,"",INDEX('Checks'!$J$4:$J$503,_calc!$E$362))&amp;". ")&amp;IF(LEN(IF(ISNUMBER(INDEX('Checks'!$K$4:$K$503,_calc!$E$362)),TEXT(INDEX('Checks'!$K$4:$K$503,_calc!$E$362),"yyyy-mm-dd"),""))=0,"","Copy to tenant: "&amp;IF(ISNUMBER(INDEX('Checks'!$K$4:$K$503,_calc!$E$362)),TEXT(INDEX('Checks'!$K$4:$K$503,_calc!$E$362),"yyyy-mm-dd"),"")&amp;". ")&amp;IF(LEN(IF(LEN(INDEX('Checks'!$P$4:$P$503,_calc!$E$362))=0,"",INDEX('Checks'!$P$4:$P$503,_calc!$E$362)))=0,"",IF(LEN(INDEX('Checks'!$P$4:$P$503,_calc!$E$362))=0,"",INDEX('Checks'!$P$4:$P$503,_calc!$E$362)))))</f>
        <v/>
      </c>
      <c r="G360" s="47">
        <f>IF(_calc!$E$362="","",IF(LEN(INDEX('Checks'!$N$4:$N$503,_calc!$E$362))=0,"",INDEX('Checks'!$N$4:$N$503,_calc!$E$362)))</f>
        <v/>
      </c>
      <c r="K360" s="47">
        <f>IF(_calc!$E$362="","",IF(LEN(INDEX('Checks'!$M$4:$M$503,_calc!$E$362))=0,"",INDEX('Checks'!$M$4:$M$503,_calc!$E$362)))</f>
        <v/>
      </c>
    </row>
    <row r="361">
      <c r="A361" s="47">
        <f>IF(_calc!$E$363="","",IF(LEN(INDEX('Checks'!$B$4:$B$503,_calc!$E$363))=0,"",INDEX('Checks'!$B$4:$B$503,_calc!$E$363))&amp;" – "&amp;IF(LEN(INDEX('Checks'!$A$4:$A$503,_calc!$E$363))=0,"",INDEX('Checks'!$A$4:$A$503,_calc!$E$363)))</f>
        <v/>
      </c>
      <c r="B361" s="47">
        <f>IF(_calc!$E$363="","",IF(ISNUMBER(INDEX('Checks'!$D$4:$D$503,_calc!$E$363)),TEXT(INDEX('Checks'!$D$4:$D$503,_calc!$E$363),"yyyy-mm-dd"),""))</f>
        <v/>
      </c>
      <c r="C361" s="47">
        <f>IF(_calc!$E$363="","",IF(LEN(INDEX('Checks'!$B$4:$B$503,_calc!$E$363))=0,"",INDEX('Checks'!$B$4:$B$503,_calc!$E$363)))</f>
        <v/>
      </c>
      <c r="D361" s="47">
        <f>IF(_calc!$E$363="","",IF(ISNUMBER(INDEX('Checks'!$C$4:$C$503,_calc!$E$363)),TEXT(INDEX('Checks'!$C$4:$C$503,_calc!$E$363),"yyyy-mm-dd"),""))</f>
        <v/>
      </c>
      <c r="E361" s="47">
        <f>IF(_calc!$E$363="","",IF(LEN(INDEX('Checks'!$L$4:$L$503,_calc!$E$363))=0,"",INDEX('Checks'!$L$4:$L$503,_calc!$E$363)))</f>
        <v/>
      </c>
      <c r="F361" s="47">
        <f>IF(_calc!$E$363="","",TRIM(IF(LEN(IF(LEN(INDEX('Checks'!$I$4:$I$503,_calc!$E$363))=0,"",INDEX('Checks'!$I$4:$I$503,_calc!$E$363)))=0,"","Contractor: "&amp;IF(LEN(INDEX('Checks'!$I$4:$I$503,_calc!$E$363))=0,"",INDEX('Checks'!$I$4:$I$503,_calc!$E$363))&amp;". ")&amp;IF(LEN(IF(LEN(INDEX('Checks'!$J$4:$J$503,_calc!$E$363))=0,"",INDEX('Checks'!$J$4:$J$503,_calc!$E$363)))=0,"","Ref: "&amp;IF(LEN(INDEX('Checks'!$J$4:$J$503,_calc!$E$363))=0,"",INDEX('Checks'!$J$4:$J$503,_calc!$E$363))&amp;". ")&amp;IF(LEN(IF(ISNUMBER(INDEX('Checks'!$K$4:$K$503,_calc!$E$363)),TEXT(INDEX('Checks'!$K$4:$K$503,_calc!$E$363),"yyyy-mm-dd"),""))=0,"","Copy to tenant: "&amp;IF(ISNUMBER(INDEX('Checks'!$K$4:$K$503,_calc!$E$363)),TEXT(INDEX('Checks'!$K$4:$K$503,_calc!$E$363),"yyyy-mm-dd"),"")&amp;". ")&amp;IF(LEN(IF(LEN(INDEX('Checks'!$P$4:$P$503,_calc!$E$363))=0,"",INDEX('Checks'!$P$4:$P$503,_calc!$E$363)))=0,"",IF(LEN(INDEX('Checks'!$P$4:$P$503,_calc!$E$363))=0,"",INDEX('Checks'!$P$4:$P$503,_calc!$E$363)))))</f>
        <v/>
      </c>
      <c r="G361" s="47">
        <f>IF(_calc!$E$363="","",IF(LEN(INDEX('Checks'!$N$4:$N$503,_calc!$E$363))=0,"",INDEX('Checks'!$N$4:$N$503,_calc!$E$363)))</f>
        <v/>
      </c>
      <c r="K361" s="47">
        <f>IF(_calc!$E$363="","",IF(LEN(INDEX('Checks'!$M$4:$M$503,_calc!$E$363))=0,"",INDEX('Checks'!$M$4:$M$503,_calc!$E$363)))</f>
        <v/>
      </c>
    </row>
    <row r="362">
      <c r="A362" s="47">
        <f>IF(_calc!$E$364="","",IF(LEN(INDEX('Checks'!$B$4:$B$503,_calc!$E$364))=0,"",INDEX('Checks'!$B$4:$B$503,_calc!$E$364))&amp;" – "&amp;IF(LEN(INDEX('Checks'!$A$4:$A$503,_calc!$E$364))=0,"",INDEX('Checks'!$A$4:$A$503,_calc!$E$364)))</f>
        <v/>
      </c>
      <c r="B362" s="47">
        <f>IF(_calc!$E$364="","",IF(ISNUMBER(INDEX('Checks'!$D$4:$D$503,_calc!$E$364)),TEXT(INDEX('Checks'!$D$4:$D$503,_calc!$E$364),"yyyy-mm-dd"),""))</f>
        <v/>
      </c>
      <c r="C362" s="47">
        <f>IF(_calc!$E$364="","",IF(LEN(INDEX('Checks'!$B$4:$B$503,_calc!$E$364))=0,"",INDEX('Checks'!$B$4:$B$503,_calc!$E$364)))</f>
        <v/>
      </c>
      <c r="D362" s="47">
        <f>IF(_calc!$E$364="","",IF(ISNUMBER(INDEX('Checks'!$C$4:$C$503,_calc!$E$364)),TEXT(INDEX('Checks'!$C$4:$C$503,_calc!$E$364),"yyyy-mm-dd"),""))</f>
        <v/>
      </c>
      <c r="E362" s="47">
        <f>IF(_calc!$E$364="","",IF(LEN(INDEX('Checks'!$L$4:$L$503,_calc!$E$364))=0,"",INDEX('Checks'!$L$4:$L$503,_calc!$E$364)))</f>
        <v/>
      </c>
      <c r="F362" s="47">
        <f>IF(_calc!$E$364="","",TRIM(IF(LEN(IF(LEN(INDEX('Checks'!$I$4:$I$503,_calc!$E$364))=0,"",INDEX('Checks'!$I$4:$I$503,_calc!$E$364)))=0,"","Contractor: "&amp;IF(LEN(INDEX('Checks'!$I$4:$I$503,_calc!$E$364))=0,"",INDEX('Checks'!$I$4:$I$503,_calc!$E$364))&amp;". ")&amp;IF(LEN(IF(LEN(INDEX('Checks'!$J$4:$J$503,_calc!$E$364))=0,"",INDEX('Checks'!$J$4:$J$503,_calc!$E$364)))=0,"","Ref: "&amp;IF(LEN(INDEX('Checks'!$J$4:$J$503,_calc!$E$364))=0,"",INDEX('Checks'!$J$4:$J$503,_calc!$E$364))&amp;". ")&amp;IF(LEN(IF(ISNUMBER(INDEX('Checks'!$K$4:$K$503,_calc!$E$364)),TEXT(INDEX('Checks'!$K$4:$K$503,_calc!$E$364),"yyyy-mm-dd"),""))=0,"","Copy to tenant: "&amp;IF(ISNUMBER(INDEX('Checks'!$K$4:$K$503,_calc!$E$364)),TEXT(INDEX('Checks'!$K$4:$K$503,_calc!$E$364),"yyyy-mm-dd"),"")&amp;". ")&amp;IF(LEN(IF(LEN(INDEX('Checks'!$P$4:$P$503,_calc!$E$364))=0,"",INDEX('Checks'!$P$4:$P$503,_calc!$E$364)))=0,"",IF(LEN(INDEX('Checks'!$P$4:$P$503,_calc!$E$364))=0,"",INDEX('Checks'!$P$4:$P$503,_calc!$E$364)))))</f>
        <v/>
      </c>
      <c r="G362" s="47">
        <f>IF(_calc!$E$364="","",IF(LEN(INDEX('Checks'!$N$4:$N$503,_calc!$E$364))=0,"",INDEX('Checks'!$N$4:$N$503,_calc!$E$364)))</f>
        <v/>
      </c>
      <c r="K362" s="47">
        <f>IF(_calc!$E$364="","",IF(LEN(INDEX('Checks'!$M$4:$M$503,_calc!$E$364))=0,"",INDEX('Checks'!$M$4:$M$503,_calc!$E$364)))</f>
        <v/>
      </c>
    </row>
    <row r="363">
      <c r="A363" s="47">
        <f>IF(_calc!$E$365="","",IF(LEN(INDEX('Checks'!$B$4:$B$503,_calc!$E$365))=0,"",INDEX('Checks'!$B$4:$B$503,_calc!$E$365))&amp;" – "&amp;IF(LEN(INDEX('Checks'!$A$4:$A$503,_calc!$E$365))=0,"",INDEX('Checks'!$A$4:$A$503,_calc!$E$365)))</f>
        <v/>
      </c>
      <c r="B363" s="47">
        <f>IF(_calc!$E$365="","",IF(ISNUMBER(INDEX('Checks'!$D$4:$D$503,_calc!$E$365)),TEXT(INDEX('Checks'!$D$4:$D$503,_calc!$E$365),"yyyy-mm-dd"),""))</f>
        <v/>
      </c>
      <c r="C363" s="47">
        <f>IF(_calc!$E$365="","",IF(LEN(INDEX('Checks'!$B$4:$B$503,_calc!$E$365))=0,"",INDEX('Checks'!$B$4:$B$503,_calc!$E$365)))</f>
        <v/>
      </c>
      <c r="D363" s="47">
        <f>IF(_calc!$E$365="","",IF(ISNUMBER(INDEX('Checks'!$C$4:$C$503,_calc!$E$365)),TEXT(INDEX('Checks'!$C$4:$C$503,_calc!$E$365),"yyyy-mm-dd"),""))</f>
        <v/>
      </c>
      <c r="E363" s="47">
        <f>IF(_calc!$E$365="","",IF(LEN(INDEX('Checks'!$L$4:$L$503,_calc!$E$365))=0,"",INDEX('Checks'!$L$4:$L$503,_calc!$E$365)))</f>
        <v/>
      </c>
      <c r="F363" s="47">
        <f>IF(_calc!$E$365="","",TRIM(IF(LEN(IF(LEN(INDEX('Checks'!$I$4:$I$503,_calc!$E$365))=0,"",INDEX('Checks'!$I$4:$I$503,_calc!$E$365)))=0,"","Contractor: "&amp;IF(LEN(INDEX('Checks'!$I$4:$I$503,_calc!$E$365))=0,"",INDEX('Checks'!$I$4:$I$503,_calc!$E$365))&amp;". ")&amp;IF(LEN(IF(LEN(INDEX('Checks'!$J$4:$J$503,_calc!$E$365))=0,"",INDEX('Checks'!$J$4:$J$503,_calc!$E$365)))=0,"","Ref: "&amp;IF(LEN(INDEX('Checks'!$J$4:$J$503,_calc!$E$365))=0,"",INDEX('Checks'!$J$4:$J$503,_calc!$E$365))&amp;". ")&amp;IF(LEN(IF(ISNUMBER(INDEX('Checks'!$K$4:$K$503,_calc!$E$365)),TEXT(INDEX('Checks'!$K$4:$K$503,_calc!$E$365),"yyyy-mm-dd"),""))=0,"","Copy to tenant: "&amp;IF(ISNUMBER(INDEX('Checks'!$K$4:$K$503,_calc!$E$365)),TEXT(INDEX('Checks'!$K$4:$K$503,_calc!$E$365),"yyyy-mm-dd"),"")&amp;". ")&amp;IF(LEN(IF(LEN(INDEX('Checks'!$P$4:$P$503,_calc!$E$365))=0,"",INDEX('Checks'!$P$4:$P$503,_calc!$E$365)))=0,"",IF(LEN(INDEX('Checks'!$P$4:$P$503,_calc!$E$365))=0,"",INDEX('Checks'!$P$4:$P$503,_calc!$E$365)))))</f>
        <v/>
      </c>
      <c r="G363" s="47">
        <f>IF(_calc!$E$365="","",IF(LEN(INDEX('Checks'!$N$4:$N$503,_calc!$E$365))=0,"",INDEX('Checks'!$N$4:$N$503,_calc!$E$365)))</f>
        <v/>
      </c>
      <c r="K363" s="47">
        <f>IF(_calc!$E$365="","",IF(LEN(INDEX('Checks'!$M$4:$M$503,_calc!$E$365))=0,"",INDEX('Checks'!$M$4:$M$503,_calc!$E$365)))</f>
        <v/>
      </c>
    </row>
    <row r="364">
      <c r="A364" s="47">
        <f>IF(_calc!$E$366="","",IF(LEN(INDEX('Checks'!$B$4:$B$503,_calc!$E$366))=0,"",INDEX('Checks'!$B$4:$B$503,_calc!$E$366))&amp;" – "&amp;IF(LEN(INDEX('Checks'!$A$4:$A$503,_calc!$E$366))=0,"",INDEX('Checks'!$A$4:$A$503,_calc!$E$366)))</f>
        <v/>
      </c>
      <c r="B364" s="47">
        <f>IF(_calc!$E$366="","",IF(ISNUMBER(INDEX('Checks'!$D$4:$D$503,_calc!$E$366)),TEXT(INDEX('Checks'!$D$4:$D$503,_calc!$E$366),"yyyy-mm-dd"),""))</f>
        <v/>
      </c>
      <c r="C364" s="47">
        <f>IF(_calc!$E$366="","",IF(LEN(INDEX('Checks'!$B$4:$B$503,_calc!$E$366))=0,"",INDEX('Checks'!$B$4:$B$503,_calc!$E$366)))</f>
        <v/>
      </c>
      <c r="D364" s="47">
        <f>IF(_calc!$E$366="","",IF(ISNUMBER(INDEX('Checks'!$C$4:$C$503,_calc!$E$366)),TEXT(INDEX('Checks'!$C$4:$C$503,_calc!$E$366),"yyyy-mm-dd"),""))</f>
        <v/>
      </c>
      <c r="E364" s="47">
        <f>IF(_calc!$E$366="","",IF(LEN(INDEX('Checks'!$L$4:$L$503,_calc!$E$366))=0,"",INDEX('Checks'!$L$4:$L$503,_calc!$E$366)))</f>
        <v/>
      </c>
      <c r="F364" s="47">
        <f>IF(_calc!$E$366="","",TRIM(IF(LEN(IF(LEN(INDEX('Checks'!$I$4:$I$503,_calc!$E$366))=0,"",INDEX('Checks'!$I$4:$I$503,_calc!$E$366)))=0,"","Contractor: "&amp;IF(LEN(INDEX('Checks'!$I$4:$I$503,_calc!$E$366))=0,"",INDEX('Checks'!$I$4:$I$503,_calc!$E$366))&amp;". ")&amp;IF(LEN(IF(LEN(INDEX('Checks'!$J$4:$J$503,_calc!$E$366))=0,"",INDEX('Checks'!$J$4:$J$503,_calc!$E$366)))=0,"","Ref: "&amp;IF(LEN(INDEX('Checks'!$J$4:$J$503,_calc!$E$366))=0,"",INDEX('Checks'!$J$4:$J$503,_calc!$E$366))&amp;". ")&amp;IF(LEN(IF(ISNUMBER(INDEX('Checks'!$K$4:$K$503,_calc!$E$366)),TEXT(INDEX('Checks'!$K$4:$K$503,_calc!$E$366),"yyyy-mm-dd"),""))=0,"","Copy to tenant: "&amp;IF(ISNUMBER(INDEX('Checks'!$K$4:$K$503,_calc!$E$366)),TEXT(INDEX('Checks'!$K$4:$K$503,_calc!$E$366),"yyyy-mm-dd"),"")&amp;". ")&amp;IF(LEN(IF(LEN(INDEX('Checks'!$P$4:$P$503,_calc!$E$366))=0,"",INDEX('Checks'!$P$4:$P$503,_calc!$E$366)))=0,"",IF(LEN(INDEX('Checks'!$P$4:$P$503,_calc!$E$366))=0,"",INDEX('Checks'!$P$4:$P$503,_calc!$E$366)))))</f>
        <v/>
      </c>
      <c r="G364" s="47">
        <f>IF(_calc!$E$366="","",IF(LEN(INDEX('Checks'!$N$4:$N$503,_calc!$E$366))=0,"",INDEX('Checks'!$N$4:$N$503,_calc!$E$366)))</f>
        <v/>
      </c>
      <c r="K364" s="47">
        <f>IF(_calc!$E$366="","",IF(LEN(INDEX('Checks'!$M$4:$M$503,_calc!$E$366))=0,"",INDEX('Checks'!$M$4:$M$503,_calc!$E$366)))</f>
        <v/>
      </c>
    </row>
    <row r="365">
      <c r="A365" s="47">
        <f>IF(_calc!$E$367="","",IF(LEN(INDEX('Checks'!$B$4:$B$503,_calc!$E$367))=0,"",INDEX('Checks'!$B$4:$B$503,_calc!$E$367))&amp;" – "&amp;IF(LEN(INDEX('Checks'!$A$4:$A$503,_calc!$E$367))=0,"",INDEX('Checks'!$A$4:$A$503,_calc!$E$367)))</f>
        <v/>
      </c>
      <c r="B365" s="47">
        <f>IF(_calc!$E$367="","",IF(ISNUMBER(INDEX('Checks'!$D$4:$D$503,_calc!$E$367)),TEXT(INDEX('Checks'!$D$4:$D$503,_calc!$E$367),"yyyy-mm-dd"),""))</f>
        <v/>
      </c>
      <c r="C365" s="47">
        <f>IF(_calc!$E$367="","",IF(LEN(INDEX('Checks'!$B$4:$B$503,_calc!$E$367))=0,"",INDEX('Checks'!$B$4:$B$503,_calc!$E$367)))</f>
        <v/>
      </c>
      <c r="D365" s="47">
        <f>IF(_calc!$E$367="","",IF(ISNUMBER(INDEX('Checks'!$C$4:$C$503,_calc!$E$367)),TEXT(INDEX('Checks'!$C$4:$C$503,_calc!$E$367),"yyyy-mm-dd"),""))</f>
        <v/>
      </c>
      <c r="E365" s="47">
        <f>IF(_calc!$E$367="","",IF(LEN(INDEX('Checks'!$L$4:$L$503,_calc!$E$367))=0,"",INDEX('Checks'!$L$4:$L$503,_calc!$E$367)))</f>
        <v/>
      </c>
      <c r="F365" s="47">
        <f>IF(_calc!$E$367="","",TRIM(IF(LEN(IF(LEN(INDEX('Checks'!$I$4:$I$503,_calc!$E$367))=0,"",INDEX('Checks'!$I$4:$I$503,_calc!$E$367)))=0,"","Contractor: "&amp;IF(LEN(INDEX('Checks'!$I$4:$I$503,_calc!$E$367))=0,"",INDEX('Checks'!$I$4:$I$503,_calc!$E$367))&amp;". ")&amp;IF(LEN(IF(LEN(INDEX('Checks'!$J$4:$J$503,_calc!$E$367))=0,"",INDEX('Checks'!$J$4:$J$503,_calc!$E$367)))=0,"","Ref: "&amp;IF(LEN(INDEX('Checks'!$J$4:$J$503,_calc!$E$367))=0,"",INDEX('Checks'!$J$4:$J$503,_calc!$E$367))&amp;". ")&amp;IF(LEN(IF(ISNUMBER(INDEX('Checks'!$K$4:$K$503,_calc!$E$367)),TEXT(INDEX('Checks'!$K$4:$K$503,_calc!$E$367),"yyyy-mm-dd"),""))=0,"","Copy to tenant: "&amp;IF(ISNUMBER(INDEX('Checks'!$K$4:$K$503,_calc!$E$367)),TEXT(INDEX('Checks'!$K$4:$K$503,_calc!$E$367),"yyyy-mm-dd"),"")&amp;". ")&amp;IF(LEN(IF(LEN(INDEX('Checks'!$P$4:$P$503,_calc!$E$367))=0,"",INDEX('Checks'!$P$4:$P$503,_calc!$E$367)))=0,"",IF(LEN(INDEX('Checks'!$P$4:$P$503,_calc!$E$367))=0,"",INDEX('Checks'!$P$4:$P$503,_calc!$E$367)))))</f>
        <v/>
      </c>
      <c r="G365" s="47">
        <f>IF(_calc!$E$367="","",IF(LEN(INDEX('Checks'!$N$4:$N$503,_calc!$E$367))=0,"",INDEX('Checks'!$N$4:$N$503,_calc!$E$367)))</f>
        <v/>
      </c>
      <c r="K365" s="47">
        <f>IF(_calc!$E$367="","",IF(LEN(INDEX('Checks'!$M$4:$M$503,_calc!$E$367))=0,"",INDEX('Checks'!$M$4:$M$503,_calc!$E$367)))</f>
        <v/>
      </c>
    </row>
    <row r="366">
      <c r="A366" s="47">
        <f>IF(_calc!$E$368="","",IF(LEN(INDEX('Checks'!$B$4:$B$503,_calc!$E$368))=0,"",INDEX('Checks'!$B$4:$B$503,_calc!$E$368))&amp;" – "&amp;IF(LEN(INDEX('Checks'!$A$4:$A$503,_calc!$E$368))=0,"",INDEX('Checks'!$A$4:$A$503,_calc!$E$368)))</f>
        <v/>
      </c>
      <c r="B366" s="47">
        <f>IF(_calc!$E$368="","",IF(ISNUMBER(INDEX('Checks'!$D$4:$D$503,_calc!$E$368)),TEXT(INDEX('Checks'!$D$4:$D$503,_calc!$E$368),"yyyy-mm-dd"),""))</f>
        <v/>
      </c>
      <c r="C366" s="47">
        <f>IF(_calc!$E$368="","",IF(LEN(INDEX('Checks'!$B$4:$B$503,_calc!$E$368))=0,"",INDEX('Checks'!$B$4:$B$503,_calc!$E$368)))</f>
        <v/>
      </c>
      <c r="D366" s="47">
        <f>IF(_calc!$E$368="","",IF(ISNUMBER(INDEX('Checks'!$C$4:$C$503,_calc!$E$368)),TEXT(INDEX('Checks'!$C$4:$C$503,_calc!$E$368),"yyyy-mm-dd"),""))</f>
        <v/>
      </c>
      <c r="E366" s="47">
        <f>IF(_calc!$E$368="","",IF(LEN(INDEX('Checks'!$L$4:$L$503,_calc!$E$368))=0,"",INDEX('Checks'!$L$4:$L$503,_calc!$E$368)))</f>
        <v/>
      </c>
      <c r="F366" s="47">
        <f>IF(_calc!$E$368="","",TRIM(IF(LEN(IF(LEN(INDEX('Checks'!$I$4:$I$503,_calc!$E$368))=0,"",INDEX('Checks'!$I$4:$I$503,_calc!$E$368)))=0,"","Contractor: "&amp;IF(LEN(INDEX('Checks'!$I$4:$I$503,_calc!$E$368))=0,"",INDEX('Checks'!$I$4:$I$503,_calc!$E$368))&amp;". ")&amp;IF(LEN(IF(LEN(INDEX('Checks'!$J$4:$J$503,_calc!$E$368))=0,"",INDEX('Checks'!$J$4:$J$503,_calc!$E$368)))=0,"","Ref: "&amp;IF(LEN(INDEX('Checks'!$J$4:$J$503,_calc!$E$368))=0,"",INDEX('Checks'!$J$4:$J$503,_calc!$E$368))&amp;". ")&amp;IF(LEN(IF(ISNUMBER(INDEX('Checks'!$K$4:$K$503,_calc!$E$368)),TEXT(INDEX('Checks'!$K$4:$K$503,_calc!$E$368),"yyyy-mm-dd"),""))=0,"","Copy to tenant: "&amp;IF(ISNUMBER(INDEX('Checks'!$K$4:$K$503,_calc!$E$368)),TEXT(INDEX('Checks'!$K$4:$K$503,_calc!$E$368),"yyyy-mm-dd"),"")&amp;". ")&amp;IF(LEN(IF(LEN(INDEX('Checks'!$P$4:$P$503,_calc!$E$368))=0,"",INDEX('Checks'!$P$4:$P$503,_calc!$E$368)))=0,"",IF(LEN(INDEX('Checks'!$P$4:$P$503,_calc!$E$368))=0,"",INDEX('Checks'!$P$4:$P$503,_calc!$E$368)))))</f>
        <v/>
      </c>
      <c r="G366" s="47">
        <f>IF(_calc!$E$368="","",IF(LEN(INDEX('Checks'!$N$4:$N$503,_calc!$E$368))=0,"",INDEX('Checks'!$N$4:$N$503,_calc!$E$368)))</f>
        <v/>
      </c>
      <c r="K366" s="47">
        <f>IF(_calc!$E$368="","",IF(LEN(INDEX('Checks'!$M$4:$M$503,_calc!$E$368))=0,"",INDEX('Checks'!$M$4:$M$503,_calc!$E$368)))</f>
        <v/>
      </c>
    </row>
    <row r="367">
      <c r="A367" s="47">
        <f>IF(_calc!$E$369="","",IF(LEN(INDEX('Checks'!$B$4:$B$503,_calc!$E$369))=0,"",INDEX('Checks'!$B$4:$B$503,_calc!$E$369))&amp;" – "&amp;IF(LEN(INDEX('Checks'!$A$4:$A$503,_calc!$E$369))=0,"",INDEX('Checks'!$A$4:$A$503,_calc!$E$369)))</f>
        <v/>
      </c>
      <c r="B367" s="47">
        <f>IF(_calc!$E$369="","",IF(ISNUMBER(INDEX('Checks'!$D$4:$D$503,_calc!$E$369)),TEXT(INDEX('Checks'!$D$4:$D$503,_calc!$E$369),"yyyy-mm-dd"),""))</f>
        <v/>
      </c>
      <c r="C367" s="47">
        <f>IF(_calc!$E$369="","",IF(LEN(INDEX('Checks'!$B$4:$B$503,_calc!$E$369))=0,"",INDEX('Checks'!$B$4:$B$503,_calc!$E$369)))</f>
        <v/>
      </c>
      <c r="D367" s="47">
        <f>IF(_calc!$E$369="","",IF(ISNUMBER(INDEX('Checks'!$C$4:$C$503,_calc!$E$369)),TEXT(INDEX('Checks'!$C$4:$C$503,_calc!$E$369),"yyyy-mm-dd"),""))</f>
        <v/>
      </c>
      <c r="E367" s="47">
        <f>IF(_calc!$E$369="","",IF(LEN(INDEX('Checks'!$L$4:$L$503,_calc!$E$369))=0,"",INDEX('Checks'!$L$4:$L$503,_calc!$E$369)))</f>
        <v/>
      </c>
      <c r="F367" s="47">
        <f>IF(_calc!$E$369="","",TRIM(IF(LEN(IF(LEN(INDEX('Checks'!$I$4:$I$503,_calc!$E$369))=0,"",INDEX('Checks'!$I$4:$I$503,_calc!$E$369)))=0,"","Contractor: "&amp;IF(LEN(INDEX('Checks'!$I$4:$I$503,_calc!$E$369))=0,"",INDEX('Checks'!$I$4:$I$503,_calc!$E$369))&amp;". ")&amp;IF(LEN(IF(LEN(INDEX('Checks'!$J$4:$J$503,_calc!$E$369))=0,"",INDEX('Checks'!$J$4:$J$503,_calc!$E$369)))=0,"","Ref: "&amp;IF(LEN(INDEX('Checks'!$J$4:$J$503,_calc!$E$369))=0,"",INDEX('Checks'!$J$4:$J$503,_calc!$E$369))&amp;". ")&amp;IF(LEN(IF(ISNUMBER(INDEX('Checks'!$K$4:$K$503,_calc!$E$369)),TEXT(INDEX('Checks'!$K$4:$K$503,_calc!$E$369),"yyyy-mm-dd"),""))=0,"","Copy to tenant: "&amp;IF(ISNUMBER(INDEX('Checks'!$K$4:$K$503,_calc!$E$369)),TEXT(INDEX('Checks'!$K$4:$K$503,_calc!$E$369),"yyyy-mm-dd"),"")&amp;". ")&amp;IF(LEN(IF(LEN(INDEX('Checks'!$P$4:$P$503,_calc!$E$369))=0,"",INDEX('Checks'!$P$4:$P$503,_calc!$E$369)))=0,"",IF(LEN(INDEX('Checks'!$P$4:$P$503,_calc!$E$369))=0,"",INDEX('Checks'!$P$4:$P$503,_calc!$E$369)))))</f>
        <v/>
      </c>
      <c r="G367" s="47">
        <f>IF(_calc!$E$369="","",IF(LEN(INDEX('Checks'!$N$4:$N$503,_calc!$E$369))=0,"",INDEX('Checks'!$N$4:$N$503,_calc!$E$369)))</f>
        <v/>
      </c>
      <c r="K367" s="47">
        <f>IF(_calc!$E$369="","",IF(LEN(INDEX('Checks'!$M$4:$M$503,_calc!$E$369))=0,"",INDEX('Checks'!$M$4:$M$503,_calc!$E$369)))</f>
        <v/>
      </c>
    </row>
    <row r="368">
      <c r="A368" s="47">
        <f>IF(_calc!$E$370="","",IF(LEN(INDEX('Checks'!$B$4:$B$503,_calc!$E$370))=0,"",INDEX('Checks'!$B$4:$B$503,_calc!$E$370))&amp;" – "&amp;IF(LEN(INDEX('Checks'!$A$4:$A$503,_calc!$E$370))=0,"",INDEX('Checks'!$A$4:$A$503,_calc!$E$370)))</f>
        <v/>
      </c>
      <c r="B368" s="47">
        <f>IF(_calc!$E$370="","",IF(ISNUMBER(INDEX('Checks'!$D$4:$D$503,_calc!$E$370)),TEXT(INDEX('Checks'!$D$4:$D$503,_calc!$E$370),"yyyy-mm-dd"),""))</f>
        <v/>
      </c>
      <c r="C368" s="47">
        <f>IF(_calc!$E$370="","",IF(LEN(INDEX('Checks'!$B$4:$B$503,_calc!$E$370))=0,"",INDEX('Checks'!$B$4:$B$503,_calc!$E$370)))</f>
        <v/>
      </c>
      <c r="D368" s="47">
        <f>IF(_calc!$E$370="","",IF(ISNUMBER(INDEX('Checks'!$C$4:$C$503,_calc!$E$370)),TEXT(INDEX('Checks'!$C$4:$C$503,_calc!$E$370),"yyyy-mm-dd"),""))</f>
        <v/>
      </c>
      <c r="E368" s="47">
        <f>IF(_calc!$E$370="","",IF(LEN(INDEX('Checks'!$L$4:$L$503,_calc!$E$370))=0,"",INDEX('Checks'!$L$4:$L$503,_calc!$E$370)))</f>
        <v/>
      </c>
      <c r="F368" s="47">
        <f>IF(_calc!$E$370="","",TRIM(IF(LEN(IF(LEN(INDEX('Checks'!$I$4:$I$503,_calc!$E$370))=0,"",INDEX('Checks'!$I$4:$I$503,_calc!$E$370)))=0,"","Contractor: "&amp;IF(LEN(INDEX('Checks'!$I$4:$I$503,_calc!$E$370))=0,"",INDEX('Checks'!$I$4:$I$503,_calc!$E$370))&amp;". ")&amp;IF(LEN(IF(LEN(INDEX('Checks'!$J$4:$J$503,_calc!$E$370))=0,"",INDEX('Checks'!$J$4:$J$503,_calc!$E$370)))=0,"","Ref: "&amp;IF(LEN(INDEX('Checks'!$J$4:$J$503,_calc!$E$370))=0,"",INDEX('Checks'!$J$4:$J$503,_calc!$E$370))&amp;". ")&amp;IF(LEN(IF(ISNUMBER(INDEX('Checks'!$K$4:$K$503,_calc!$E$370)),TEXT(INDEX('Checks'!$K$4:$K$503,_calc!$E$370),"yyyy-mm-dd"),""))=0,"","Copy to tenant: "&amp;IF(ISNUMBER(INDEX('Checks'!$K$4:$K$503,_calc!$E$370)),TEXT(INDEX('Checks'!$K$4:$K$503,_calc!$E$370),"yyyy-mm-dd"),"")&amp;". ")&amp;IF(LEN(IF(LEN(INDEX('Checks'!$P$4:$P$503,_calc!$E$370))=0,"",INDEX('Checks'!$P$4:$P$503,_calc!$E$370)))=0,"",IF(LEN(INDEX('Checks'!$P$4:$P$503,_calc!$E$370))=0,"",INDEX('Checks'!$P$4:$P$503,_calc!$E$370)))))</f>
        <v/>
      </c>
      <c r="G368" s="47">
        <f>IF(_calc!$E$370="","",IF(LEN(INDEX('Checks'!$N$4:$N$503,_calc!$E$370))=0,"",INDEX('Checks'!$N$4:$N$503,_calc!$E$370)))</f>
        <v/>
      </c>
      <c r="K368" s="47">
        <f>IF(_calc!$E$370="","",IF(LEN(INDEX('Checks'!$M$4:$M$503,_calc!$E$370))=0,"",INDEX('Checks'!$M$4:$M$503,_calc!$E$370)))</f>
        <v/>
      </c>
    </row>
    <row r="369">
      <c r="A369" s="47">
        <f>IF(_calc!$E$371="","",IF(LEN(INDEX('Checks'!$B$4:$B$503,_calc!$E$371))=0,"",INDEX('Checks'!$B$4:$B$503,_calc!$E$371))&amp;" – "&amp;IF(LEN(INDEX('Checks'!$A$4:$A$503,_calc!$E$371))=0,"",INDEX('Checks'!$A$4:$A$503,_calc!$E$371)))</f>
        <v/>
      </c>
      <c r="B369" s="47">
        <f>IF(_calc!$E$371="","",IF(ISNUMBER(INDEX('Checks'!$D$4:$D$503,_calc!$E$371)),TEXT(INDEX('Checks'!$D$4:$D$503,_calc!$E$371),"yyyy-mm-dd"),""))</f>
        <v/>
      </c>
      <c r="C369" s="47">
        <f>IF(_calc!$E$371="","",IF(LEN(INDEX('Checks'!$B$4:$B$503,_calc!$E$371))=0,"",INDEX('Checks'!$B$4:$B$503,_calc!$E$371)))</f>
        <v/>
      </c>
      <c r="D369" s="47">
        <f>IF(_calc!$E$371="","",IF(ISNUMBER(INDEX('Checks'!$C$4:$C$503,_calc!$E$371)),TEXT(INDEX('Checks'!$C$4:$C$503,_calc!$E$371),"yyyy-mm-dd"),""))</f>
        <v/>
      </c>
      <c r="E369" s="47">
        <f>IF(_calc!$E$371="","",IF(LEN(INDEX('Checks'!$L$4:$L$503,_calc!$E$371))=0,"",INDEX('Checks'!$L$4:$L$503,_calc!$E$371)))</f>
        <v/>
      </c>
      <c r="F369" s="47">
        <f>IF(_calc!$E$371="","",TRIM(IF(LEN(IF(LEN(INDEX('Checks'!$I$4:$I$503,_calc!$E$371))=0,"",INDEX('Checks'!$I$4:$I$503,_calc!$E$371)))=0,"","Contractor: "&amp;IF(LEN(INDEX('Checks'!$I$4:$I$503,_calc!$E$371))=0,"",INDEX('Checks'!$I$4:$I$503,_calc!$E$371))&amp;". ")&amp;IF(LEN(IF(LEN(INDEX('Checks'!$J$4:$J$503,_calc!$E$371))=0,"",INDEX('Checks'!$J$4:$J$503,_calc!$E$371)))=0,"","Ref: "&amp;IF(LEN(INDEX('Checks'!$J$4:$J$503,_calc!$E$371))=0,"",INDEX('Checks'!$J$4:$J$503,_calc!$E$371))&amp;". ")&amp;IF(LEN(IF(ISNUMBER(INDEX('Checks'!$K$4:$K$503,_calc!$E$371)),TEXT(INDEX('Checks'!$K$4:$K$503,_calc!$E$371),"yyyy-mm-dd"),""))=0,"","Copy to tenant: "&amp;IF(ISNUMBER(INDEX('Checks'!$K$4:$K$503,_calc!$E$371)),TEXT(INDEX('Checks'!$K$4:$K$503,_calc!$E$371),"yyyy-mm-dd"),"")&amp;". ")&amp;IF(LEN(IF(LEN(INDEX('Checks'!$P$4:$P$503,_calc!$E$371))=0,"",INDEX('Checks'!$P$4:$P$503,_calc!$E$371)))=0,"",IF(LEN(INDEX('Checks'!$P$4:$P$503,_calc!$E$371))=0,"",INDEX('Checks'!$P$4:$P$503,_calc!$E$371)))))</f>
        <v/>
      </c>
      <c r="G369" s="47">
        <f>IF(_calc!$E$371="","",IF(LEN(INDEX('Checks'!$N$4:$N$503,_calc!$E$371))=0,"",INDEX('Checks'!$N$4:$N$503,_calc!$E$371)))</f>
        <v/>
      </c>
      <c r="K369" s="47">
        <f>IF(_calc!$E$371="","",IF(LEN(INDEX('Checks'!$M$4:$M$503,_calc!$E$371))=0,"",INDEX('Checks'!$M$4:$M$503,_calc!$E$371)))</f>
        <v/>
      </c>
    </row>
    <row r="370">
      <c r="A370" s="47">
        <f>IF(_calc!$E$372="","",IF(LEN(INDEX('Checks'!$B$4:$B$503,_calc!$E$372))=0,"",INDEX('Checks'!$B$4:$B$503,_calc!$E$372))&amp;" – "&amp;IF(LEN(INDEX('Checks'!$A$4:$A$503,_calc!$E$372))=0,"",INDEX('Checks'!$A$4:$A$503,_calc!$E$372)))</f>
        <v/>
      </c>
      <c r="B370" s="47">
        <f>IF(_calc!$E$372="","",IF(ISNUMBER(INDEX('Checks'!$D$4:$D$503,_calc!$E$372)),TEXT(INDEX('Checks'!$D$4:$D$503,_calc!$E$372),"yyyy-mm-dd"),""))</f>
        <v/>
      </c>
      <c r="C370" s="47">
        <f>IF(_calc!$E$372="","",IF(LEN(INDEX('Checks'!$B$4:$B$503,_calc!$E$372))=0,"",INDEX('Checks'!$B$4:$B$503,_calc!$E$372)))</f>
        <v/>
      </c>
      <c r="D370" s="47">
        <f>IF(_calc!$E$372="","",IF(ISNUMBER(INDEX('Checks'!$C$4:$C$503,_calc!$E$372)),TEXT(INDEX('Checks'!$C$4:$C$503,_calc!$E$372),"yyyy-mm-dd"),""))</f>
        <v/>
      </c>
      <c r="E370" s="47">
        <f>IF(_calc!$E$372="","",IF(LEN(INDEX('Checks'!$L$4:$L$503,_calc!$E$372))=0,"",INDEX('Checks'!$L$4:$L$503,_calc!$E$372)))</f>
        <v/>
      </c>
      <c r="F370" s="47">
        <f>IF(_calc!$E$372="","",TRIM(IF(LEN(IF(LEN(INDEX('Checks'!$I$4:$I$503,_calc!$E$372))=0,"",INDEX('Checks'!$I$4:$I$503,_calc!$E$372)))=0,"","Contractor: "&amp;IF(LEN(INDEX('Checks'!$I$4:$I$503,_calc!$E$372))=0,"",INDEX('Checks'!$I$4:$I$503,_calc!$E$372))&amp;". ")&amp;IF(LEN(IF(LEN(INDEX('Checks'!$J$4:$J$503,_calc!$E$372))=0,"",INDEX('Checks'!$J$4:$J$503,_calc!$E$372)))=0,"","Ref: "&amp;IF(LEN(INDEX('Checks'!$J$4:$J$503,_calc!$E$372))=0,"",INDEX('Checks'!$J$4:$J$503,_calc!$E$372))&amp;". ")&amp;IF(LEN(IF(ISNUMBER(INDEX('Checks'!$K$4:$K$503,_calc!$E$372)),TEXT(INDEX('Checks'!$K$4:$K$503,_calc!$E$372),"yyyy-mm-dd"),""))=0,"","Copy to tenant: "&amp;IF(ISNUMBER(INDEX('Checks'!$K$4:$K$503,_calc!$E$372)),TEXT(INDEX('Checks'!$K$4:$K$503,_calc!$E$372),"yyyy-mm-dd"),"")&amp;". ")&amp;IF(LEN(IF(LEN(INDEX('Checks'!$P$4:$P$503,_calc!$E$372))=0,"",INDEX('Checks'!$P$4:$P$503,_calc!$E$372)))=0,"",IF(LEN(INDEX('Checks'!$P$4:$P$503,_calc!$E$372))=0,"",INDEX('Checks'!$P$4:$P$503,_calc!$E$372)))))</f>
        <v/>
      </c>
      <c r="G370" s="47">
        <f>IF(_calc!$E$372="","",IF(LEN(INDEX('Checks'!$N$4:$N$503,_calc!$E$372))=0,"",INDEX('Checks'!$N$4:$N$503,_calc!$E$372)))</f>
        <v/>
      </c>
      <c r="K370" s="47">
        <f>IF(_calc!$E$372="","",IF(LEN(INDEX('Checks'!$M$4:$M$503,_calc!$E$372))=0,"",INDEX('Checks'!$M$4:$M$503,_calc!$E$372)))</f>
        <v/>
      </c>
    </row>
    <row r="371">
      <c r="A371" s="47">
        <f>IF(_calc!$E$373="","",IF(LEN(INDEX('Checks'!$B$4:$B$503,_calc!$E$373))=0,"",INDEX('Checks'!$B$4:$B$503,_calc!$E$373))&amp;" – "&amp;IF(LEN(INDEX('Checks'!$A$4:$A$503,_calc!$E$373))=0,"",INDEX('Checks'!$A$4:$A$503,_calc!$E$373)))</f>
        <v/>
      </c>
      <c r="B371" s="47">
        <f>IF(_calc!$E$373="","",IF(ISNUMBER(INDEX('Checks'!$D$4:$D$503,_calc!$E$373)),TEXT(INDEX('Checks'!$D$4:$D$503,_calc!$E$373),"yyyy-mm-dd"),""))</f>
        <v/>
      </c>
      <c r="C371" s="47">
        <f>IF(_calc!$E$373="","",IF(LEN(INDEX('Checks'!$B$4:$B$503,_calc!$E$373))=0,"",INDEX('Checks'!$B$4:$B$503,_calc!$E$373)))</f>
        <v/>
      </c>
      <c r="D371" s="47">
        <f>IF(_calc!$E$373="","",IF(ISNUMBER(INDEX('Checks'!$C$4:$C$503,_calc!$E$373)),TEXT(INDEX('Checks'!$C$4:$C$503,_calc!$E$373),"yyyy-mm-dd"),""))</f>
        <v/>
      </c>
      <c r="E371" s="47">
        <f>IF(_calc!$E$373="","",IF(LEN(INDEX('Checks'!$L$4:$L$503,_calc!$E$373))=0,"",INDEX('Checks'!$L$4:$L$503,_calc!$E$373)))</f>
        <v/>
      </c>
      <c r="F371" s="47">
        <f>IF(_calc!$E$373="","",TRIM(IF(LEN(IF(LEN(INDEX('Checks'!$I$4:$I$503,_calc!$E$373))=0,"",INDEX('Checks'!$I$4:$I$503,_calc!$E$373)))=0,"","Contractor: "&amp;IF(LEN(INDEX('Checks'!$I$4:$I$503,_calc!$E$373))=0,"",INDEX('Checks'!$I$4:$I$503,_calc!$E$373))&amp;". ")&amp;IF(LEN(IF(LEN(INDEX('Checks'!$J$4:$J$503,_calc!$E$373))=0,"",INDEX('Checks'!$J$4:$J$503,_calc!$E$373)))=0,"","Ref: "&amp;IF(LEN(INDEX('Checks'!$J$4:$J$503,_calc!$E$373))=0,"",INDEX('Checks'!$J$4:$J$503,_calc!$E$373))&amp;". ")&amp;IF(LEN(IF(ISNUMBER(INDEX('Checks'!$K$4:$K$503,_calc!$E$373)),TEXT(INDEX('Checks'!$K$4:$K$503,_calc!$E$373),"yyyy-mm-dd"),""))=0,"","Copy to tenant: "&amp;IF(ISNUMBER(INDEX('Checks'!$K$4:$K$503,_calc!$E$373)),TEXT(INDEX('Checks'!$K$4:$K$503,_calc!$E$373),"yyyy-mm-dd"),"")&amp;". ")&amp;IF(LEN(IF(LEN(INDEX('Checks'!$P$4:$P$503,_calc!$E$373))=0,"",INDEX('Checks'!$P$4:$P$503,_calc!$E$373)))=0,"",IF(LEN(INDEX('Checks'!$P$4:$P$503,_calc!$E$373))=0,"",INDEX('Checks'!$P$4:$P$503,_calc!$E$373)))))</f>
        <v/>
      </c>
      <c r="G371" s="47">
        <f>IF(_calc!$E$373="","",IF(LEN(INDEX('Checks'!$N$4:$N$503,_calc!$E$373))=0,"",INDEX('Checks'!$N$4:$N$503,_calc!$E$373)))</f>
        <v/>
      </c>
      <c r="K371" s="47">
        <f>IF(_calc!$E$373="","",IF(LEN(INDEX('Checks'!$M$4:$M$503,_calc!$E$373))=0,"",INDEX('Checks'!$M$4:$M$503,_calc!$E$373)))</f>
        <v/>
      </c>
    </row>
    <row r="372">
      <c r="A372" s="47">
        <f>IF(_calc!$E$374="","",IF(LEN(INDEX('Checks'!$B$4:$B$503,_calc!$E$374))=0,"",INDEX('Checks'!$B$4:$B$503,_calc!$E$374))&amp;" – "&amp;IF(LEN(INDEX('Checks'!$A$4:$A$503,_calc!$E$374))=0,"",INDEX('Checks'!$A$4:$A$503,_calc!$E$374)))</f>
        <v/>
      </c>
      <c r="B372" s="47">
        <f>IF(_calc!$E$374="","",IF(ISNUMBER(INDEX('Checks'!$D$4:$D$503,_calc!$E$374)),TEXT(INDEX('Checks'!$D$4:$D$503,_calc!$E$374),"yyyy-mm-dd"),""))</f>
        <v/>
      </c>
      <c r="C372" s="47">
        <f>IF(_calc!$E$374="","",IF(LEN(INDEX('Checks'!$B$4:$B$503,_calc!$E$374))=0,"",INDEX('Checks'!$B$4:$B$503,_calc!$E$374)))</f>
        <v/>
      </c>
      <c r="D372" s="47">
        <f>IF(_calc!$E$374="","",IF(ISNUMBER(INDEX('Checks'!$C$4:$C$503,_calc!$E$374)),TEXT(INDEX('Checks'!$C$4:$C$503,_calc!$E$374),"yyyy-mm-dd"),""))</f>
        <v/>
      </c>
      <c r="E372" s="47">
        <f>IF(_calc!$E$374="","",IF(LEN(INDEX('Checks'!$L$4:$L$503,_calc!$E$374))=0,"",INDEX('Checks'!$L$4:$L$503,_calc!$E$374)))</f>
        <v/>
      </c>
      <c r="F372" s="47">
        <f>IF(_calc!$E$374="","",TRIM(IF(LEN(IF(LEN(INDEX('Checks'!$I$4:$I$503,_calc!$E$374))=0,"",INDEX('Checks'!$I$4:$I$503,_calc!$E$374)))=0,"","Contractor: "&amp;IF(LEN(INDEX('Checks'!$I$4:$I$503,_calc!$E$374))=0,"",INDEX('Checks'!$I$4:$I$503,_calc!$E$374))&amp;". ")&amp;IF(LEN(IF(LEN(INDEX('Checks'!$J$4:$J$503,_calc!$E$374))=0,"",INDEX('Checks'!$J$4:$J$503,_calc!$E$374)))=0,"","Ref: "&amp;IF(LEN(INDEX('Checks'!$J$4:$J$503,_calc!$E$374))=0,"",INDEX('Checks'!$J$4:$J$503,_calc!$E$374))&amp;". ")&amp;IF(LEN(IF(ISNUMBER(INDEX('Checks'!$K$4:$K$503,_calc!$E$374)),TEXT(INDEX('Checks'!$K$4:$K$503,_calc!$E$374),"yyyy-mm-dd"),""))=0,"","Copy to tenant: "&amp;IF(ISNUMBER(INDEX('Checks'!$K$4:$K$503,_calc!$E$374)),TEXT(INDEX('Checks'!$K$4:$K$503,_calc!$E$374),"yyyy-mm-dd"),"")&amp;". ")&amp;IF(LEN(IF(LEN(INDEX('Checks'!$P$4:$P$503,_calc!$E$374))=0,"",INDEX('Checks'!$P$4:$P$503,_calc!$E$374)))=0,"",IF(LEN(INDEX('Checks'!$P$4:$P$503,_calc!$E$374))=0,"",INDEX('Checks'!$P$4:$P$503,_calc!$E$374)))))</f>
        <v/>
      </c>
      <c r="G372" s="47">
        <f>IF(_calc!$E$374="","",IF(LEN(INDEX('Checks'!$N$4:$N$503,_calc!$E$374))=0,"",INDEX('Checks'!$N$4:$N$503,_calc!$E$374)))</f>
        <v/>
      </c>
      <c r="K372" s="47">
        <f>IF(_calc!$E$374="","",IF(LEN(INDEX('Checks'!$M$4:$M$503,_calc!$E$374))=0,"",INDEX('Checks'!$M$4:$M$503,_calc!$E$374)))</f>
        <v/>
      </c>
    </row>
    <row r="373">
      <c r="A373" s="47">
        <f>IF(_calc!$E$375="","",IF(LEN(INDEX('Checks'!$B$4:$B$503,_calc!$E$375))=0,"",INDEX('Checks'!$B$4:$B$503,_calc!$E$375))&amp;" – "&amp;IF(LEN(INDEX('Checks'!$A$4:$A$503,_calc!$E$375))=0,"",INDEX('Checks'!$A$4:$A$503,_calc!$E$375)))</f>
        <v/>
      </c>
      <c r="B373" s="47">
        <f>IF(_calc!$E$375="","",IF(ISNUMBER(INDEX('Checks'!$D$4:$D$503,_calc!$E$375)),TEXT(INDEX('Checks'!$D$4:$D$503,_calc!$E$375),"yyyy-mm-dd"),""))</f>
        <v/>
      </c>
      <c r="C373" s="47">
        <f>IF(_calc!$E$375="","",IF(LEN(INDEX('Checks'!$B$4:$B$503,_calc!$E$375))=0,"",INDEX('Checks'!$B$4:$B$503,_calc!$E$375)))</f>
        <v/>
      </c>
      <c r="D373" s="47">
        <f>IF(_calc!$E$375="","",IF(ISNUMBER(INDEX('Checks'!$C$4:$C$503,_calc!$E$375)),TEXT(INDEX('Checks'!$C$4:$C$503,_calc!$E$375),"yyyy-mm-dd"),""))</f>
        <v/>
      </c>
      <c r="E373" s="47">
        <f>IF(_calc!$E$375="","",IF(LEN(INDEX('Checks'!$L$4:$L$503,_calc!$E$375))=0,"",INDEX('Checks'!$L$4:$L$503,_calc!$E$375)))</f>
        <v/>
      </c>
      <c r="F373" s="47">
        <f>IF(_calc!$E$375="","",TRIM(IF(LEN(IF(LEN(INDEX('Checks'!$I$4:$I$503,_calc!$E$375))=0,"",INDEX('Checks'!$I$4:$I$503,_calc!$E$375)))=0,"","Contractor: "&amp;IF(LEN(INDEX('Checks'!$I$4:$I$503,_calc!$E$375))=0,"",INDEX('Checks'!$I$4:$I$503,_calc!$E$375))&amp;". ")&amp;IF(LEN(IF(LEN(INDEX('Checks'!$J$4:$J$503,_calc!$E$375))=0,"",INDEX('Checks'!$J$4:$J$503,_calc!$E$375)))=0,"","Ref: "&amp;IF(LEN(INDEX('Checks'!$J$4:$J$503,_calc!$E$375))=0,"",INDEX('Checks'!$J$4:$J$503,_calc!$E$375))&amp;". ")&amp;IF(LEN(IF(ISNUMBER(INDEX('Checks'!$K$4:$K$503,_calc!$E$375)),TEXT(INDEX('Checks'!$K$4:$K$503,_calc!$E$375),"yyyy-mm-dd"),""))=0,"","Copy to tenant: "&amp;IF(ISNUMBER(INDEX('Checks'!$K$4:$K$503,_calc!$E$375)),TEXT(INDEX('Checks'!$K$4:$K$503,_calc!$E$375),"yyyy-mm-dd"),"")&amp;". ")&amp;IF(LEN(IF(LEN(INDEX('Checks'!$P$4:$P$503,_calc!$E$375))=0,"",INDEX('Checks'!$P$4:$P$503,_calc!$E$375)))=0,"",IF(LEN(INDEX('Checks'!$P$4:$P$503,_calc!$E$375))=0,"",INDEX('Checks'!$P$4:$P$503,_calc!$E$375)))))</f>
        <v/>
      </c>
      <c r="G373" s="47">
        <f>IF(_calc!$E$375="","",IF(LEN(INDEX('Checks'!$N$4:$N$503,_calc!$E$375))=0,"",INDEX('Checks'!$N$4:$N$503,_calc!$E$375)))</f>
        <v/>
      </c>
      <c r="K373" s="47">
        <f>IF(_calc!$E$375="","",IF(LEN(INDEX('Checks'!$M$4:$M$503,_calc!$E$375))=0,"",INDEX('Checks'!$M$4:$M$503,_calc!$E$375)))</f>
        <v/>
      </c>
    </row>
    <row r="374">
      <c r="A374" s="47">
        <f>IF(_calc!$E$376="","",IF(LEN(INDEX('Checks'!$B$4:$B$503,_calc!$E$376))=0,"",INDEX('Checks'!$B$4:$B$503,_calc!$E$376))&amp;" – "&amp;IF(LEN(INDEX('Checks'!$A$4:$A$503,_calc!$E$376))=0,"",INDEX('Checks'!$A$4:$A$503,_calc!$E$376)))</f>
        <v/>
      </c>
      <c r="B374" s="47">
        <f>IF(_calc!$E$376="","",IF(ISNUMBER(INDEX('Checks'!$D$4:$D$503,_calc!$E$376)),TEXT(INDEX('Checks'!$D$4:$D$503,_calc!$E$376),"yyyy-mm-dd"),""))</f>
        <v/>
      </c>
      <c r="C374" s="47">
        <f>IF(_calc!$E$376="","",IF(LEN(INDEX('Checks'!$B$4:$B$503,_calc!$E$376))=0,"",INDEX('Checks'!$B$4:$B$503,_calc!$E$376)))</f>
        <v/>
      </c>
      <c r="D374" s="47">
        <f>IF(_calc!$E$376="","",IF(ISNUMBER(INDEX('Checks'!$C$4:$C$503,_calc!$E$376)),TEXT(INDEX('Checks'!$C$4:$C$503,_calc!$E$376),"yyyy-mm-dd"),""))</f>
        <v/>
      </c>
      <c r="E374" s="47">
        <f>IF(_calc!$E$376="","",IF(LEN(INDEX('Checks'!$L$4:$L$503,_calc!$E$376))=0,"",INDEX('Checks'!$L$4:$L$503,_calc!$E$376)))</f>
        <v/>
      </c>
      <c r="F374" s="47">
        <f>IF(_calc!$E$376="","",TRIM(IF(LEN(IF(LEN(INDEX('Checks'!$I$4:$I$503,_calc!$E$376))=0,"",INDEX('Checks'!$I$4:$I$503,_calc!$E$376)))=0,"","Contractor: "&amp;IF(LEN(INDEX('Checks'!$I$4:$I$503,_calc!$E$376))=0,"",INDEX('Checks'!$I$4:$I$503,_calc!$E$376))&amp;". ")&amp;IF(LEN(IF(LEN(INDEX('Checks'!$J$4:$J$503,_calc!$E$376))=0,"",INDEX('Checks'!$J$4:$J$503,_calc!$E$376)))=0,"","Ref: "&amp;IF(LEN(INDEX('Checks'!$J$4:$J$503,_calc!$E$376))=0,"",INDEX('Checks'!$J$4:$J$503,_calc!$E$376))&amp;". ")&amp;IF(LEN(IF(ISNUMBER(INDEX('Checks'!$K$4:$K$503,_calc!$E$376)),TEXT(INDEX('Checks'!$K$4:$K$503,_calc!$E$376),"yyyy-mm-dd"),""))=0,"","Copy to tenant: "&amp;IF(ISNUMBER(INDEX('Checks'!$K$4:$K$503,_calc!$E$376)),TEXT(INDEX('Checks'!$K$4:$K$503,_calc!$E$376),"yyyy-mm-dd"),"")&amp;". ")&amp;IF(LEN(IF(LEN(INDEX('Checks'!$P$4:$P$503,_calc!$E$376))=0,"",INDEX('Checks'!$P$4:$P$503,_calc!$E$376)))=0,"",IF(LEN(INDEX('Checks'!$P$4:$P$503,_calc!$E$376))=0,"",INDEX('Checks'!$P$4:$P$503,_calc!$E$376)))))</f>
        <v/>
      </c>
      <c r="G374" s="47">
        <f>IF(_calc!$E$376="","",IF(LEN(INDEX('Checks'!$N$4:$N$503,_calc!$E$376))=0,"",INDEX('Checks'!$N$4:$N$503,_calc!$E$376)))</f>
        <v/>
      </c>
      <c r="K374" s="47">
        <f>IF(_calc!$E$376="","",IF(LEN(INDEX('Checks'!$M$4:$M$503,_calc!$E$376))=0,"",INDEX('Checks'!$M$4:$M$503,_calc!$E$376)))</f>
        <v/>
      </c>
    </row>
    <row r="375">
      <c r="A375" s="47">
        <f>IF(_calc!$E$377="","",IF(LEN(INDEX('Checks'!$B$4:$B$503,_calc!$E$377))=0,"",INDEX('Checks'!$B$4:$B$503,_calc!$E$377))&amp;" – "&amp;IF(LEN(INDEX('Checks'!$A$4:$A$503,_calc!$E$377))=0,"",INDEX('Checks'!$A$4:$A$503,_calc!$E$377)))</f>
        <v/>
      </c>
      <c r="B375" s="47">
        <f>IF(_calc!$E$377="","",IF(ISNUMBER(INDEX('Checks'!$D$4:$D$503,_calc!$E$377)),TEXT(INDEX('Checks'!$D$4:$D$503,_calc!$E$377),"yyyy-mm-dd"),""))</f>
        <v/>
      </c>
      <c r="C375" s="47">
        <f>IF(_calc!$E$377="","",IF(LEN(INDEX('Checks'!$B$4:$B$503,_calc!$E$377))=0,"",INDEX('Checks'!$B$4:$B$503,_calc!$E$377)))</f>
        <v/>
      </c>
      <c r="D375" s="47">
        <f>IF(_calc!$E$377="","",IF(ISNUMBER(INDEX('Checks'!$C$4:$C$503,_calc!$E$377)),TEXT(INDEX('Checks'!$C$4:$C$503,_calc!$E$377),"yyyy-mm-dd"),""))</f>
        <v/>
      </c>
      <c r="E375" s="47">
        <f>IF(_calc!$E$377="","",IF(LEN(INDEX('Checks'!$L$4:$L$503,_calc!$E$377))=0,"",INDEX('Checks'!$L$4:$L$503,_calc!$E$377)))</f>
        <v/>
      </c>
      <c r="F375" s="47">
        <f>IF(_calc!$E$377="","",TRIM(IF(LEN(IF(LEN(INDEX('Checks'!$I$4:$I$503,_calc!$E$377))=0,"",INDEX('Checks'!$I$4:$I$503,_calc!$E$377)))=0,"","Contractor: "&amp;IF(LEN(INDEX('Checks'!$I$4:$I$503,_calc!$E$377))=0,"",INDEX('Checks'!$I$4:$I$503,_calc!$E$377))&amp;". ")&amp;IF(LEN(IF(LEN(INDEX('Checks'!$J$4:$J$503,_calc!$E$377))=0,"",INDEX('Checks'!$J$4:$J$503,_calc!$E$377)))=0,"","Ref: "&amp;IF(LEN(INDEX('Checks'!$J$4:$J$503,_calc!$E$377))=0,"",INDEX('Checks'!$J$4:$J$503,_calc!$E$377))&amp;". ")&amp;IF(LEN(IF(ISNUMBER(INDEX('Checks'!$K$4:$K$503,_calc!$E$377)),TEXT(INDEX('Checks'!$K$4:$K$503,_calc!$E$377),"yyyy-mm-dd"),""))=0,"","Copy to tenant: "&amp;IF(ISNUMBER(INDEX('Checks'!$K$4:$K$503,_calc!$E$377)),TEXT(INDEX('Checks'!$K$4:$K$503,_calc!$E$377),"yyyy-mm-dd"),"")&amp;". ")&amp;IF(LEN(IF(LEN(INDEX('Checks'!$P$4:$P$503,_calc!$E$377))=0,"",INDEX('Checks'!$P$4:$P$503,_calc!$E$377)))=0,"",IF(LEN(INDEX('Checks'!$P$4:$P$503,_calc!$E$377))=0,"",INDEX('Checks'!$P$4:$P$503,_calc!$E$377)))))</f>
        <v/>
      </c>
      <c r="G375" s="47">
        <f>IF(_calc!$E$377="","",IF(LEN(INDEX('Checks'!$N$4:$N$503,_calc!$E$377))=0,"",INDEX('Checks'!$N$4:$N$503,_calc!$E$377)))</f>
        <v/>
      </c>
      <c r="K375" s="47">
        <f>IF(_calc!$E$377="","",IF(LEN(INDEX('Checks'!$M$4:$M$503,_calc!$E$377))=0,"",INDEX('Checks'!$M$4:$M$503,_calc!$E$377)))</f>
        <v/>
      </c>
    </row>
    <row r="376">
      <c r="A376" s="47">
        <f>IF(_calc!$E$378="","",IF(LEN(INDEX('Checks'!$B$4:$B$503,_calc!$E$378))=0,"",INDEX('Checks'!$B$4:$B$503,_calc!$E$378))&amp;" – "&amp;IF(LEN(INDEX('Checks'!$A$4:$A$503,_calc!$E$378))=0,"",INDEX('Checks'!$A$4:$A$503,_calc!$E$378)))</f>
        <v/>
      </c>
      <c r="B376" s="47">
        <f>IF(_calc!$E$378="","",IF(ISNUMBER(INDEX('Checks'!$D$4:$D$503,_calc!$E$378)),TEXT(INDEX('Checks'!$D$4:$D$503,_calc!$E$378),"yyyy-mm-dd"),""))</f>
        <v/>
      </c>
      <c r="C376" s="47">
        <f>IF(_calc!$E$378="","",IF(LEN(INDEX('Checks'!$B$4:$B$503,_calc!$E$378))=0,"",INDEX('Checks'!$B$4:$B$503,_calc!$E$378)))</f>
        <v/>
      </c>
      <c r="D376" s="47">
        <f>IF(_calc!$E$378="","",IF(ISNUMBER(INDEX('Checks'!$C$4:$C$503,_calc!$E$378)),TEXT(INDEX('Checks'!$C$4:$C$503,_calc!$E$378),"yyyy-mm-dd"),""))</f>
        <v/>
      </c>
      <c r="E376" s="47">
        <f>IF(_calc!$E$378="","",IF(LEN(INDEX('Checks'!$L$4:$L$503,_calc!$E$378))=0,"",INDEX('Checks'!$L$4:$L$503,_calc!$E$378)))</f>
        <v/>
      </c>
      <c r="F376" s="47">
        <f>IF(_calc!$E$378="","",TRIM(IF(LEN(IF(LEN(INDEX('Checks'!$I$4:$I$503,_calc!$E$378))=0,"",INDEX('Checks'!$I$4:$I$503,_calc!$E$378)))=0,"","Contractor: "&amp;IF(LEN(INDEX('Checks'!$I$4:$I$503,_calc!$E$378))=0,"",INDEX('Checks'!$I$4:$I$503,_calc!$E$378))&amp;". ")&amp;IF(LEN(IF(LEN(INDEX('Checks'!$J$4:$J$503,_calc!$E$378))=0,"",INDEX('Checks'!$J$4:$J$503,_calc!$E$378)))=0,"","Ref: "&amp;IF(LEN(INDEX('Checks'!$J$4:$J$503,_calc!$E$378))=0,"",INDEX('Checks'!$J$4:$J$503,_calc!$E$378))&amp;". ")&amp;IF(LEN(IF(ISNUMBER(INDEX('Checks'!$K$4:$K$503,_calc!$E$378)),TEXT(INDEX('Checks'!$K$4:$K$503,_calc!$E$378),"yyyy-mm-dd"),""))=0,"","Copy to tenant: "&amp;IF(ISNUMBER(INDEX('Checks'!$K$4:$K$503,_calc!$E$378)),TEXT(INDEX('Checks'!$K$4:$K$503,_calc!$E$378),"yyyy-mm-dd"),"")&amp;". ")&amp;IF(LEN(IF(LEN(INDEX('Checks'!$P$4:$P$503,_calc!$E$378))=0,"",INDEX('Checks'!$P$4:$P$503,_calc!$E$378)))=0,"",IF(LEN(INDEX('Checks'!$P$4:$P$503,_calc!$E$378))=0,"",INDEX('Checks'!$P$4:$P$503,_calc!$E$378)))))</f>
        <v/>
      </c>
      <c r="G376" s="47">
        <f>IF(_calc!$E$378="","",IF(LEN(INDEX('Checks'!$N$4:$N$503,_calc!$E$378))=0,"",INDEX('Checks'!$N$4:$N$503,_calc!$E$378)))</f>
        <v/>
      </c>
      <c r="K376" s="47">
        <f>IF(_calc!$E$378="","",IF(LEN(INDEX('Checks'!$M$4:$M$503,_calc!$E$378))=0,"",INDEX('Checks'!$M$4:$M$503,_calc!$E$378)))</f>
        <v/>
      </c>
    </row>
    <row r="377">
      <c r="A377" s="47">
        <f>IF(_calc!$E$379="","",IF(LEN(INDEX('Checks'!$B$4:$B$503,_calc!$E$379))=0,"",INDEX('Checks'!$B$4:$B$503,_calc!$E$379))&amp;" – "&amp;IF(LEN(INDEX('Checks'!$A$4:$A$503,_calc!$E$379))=0,"",INDEX('Checks'!$A$4:$A$503,_calc!$E$379)))</f>
        <v/>
      </c>
      <c r="B377" s="47">
        <f>IF(_calc!$E$379="","",IF(ISNUMBER(INDEX('Checks'!$D$4:$D$503,_calc!$E$379)),TEXT(INDEX('Checks'!$D$4:$D$503,_calc!$E$379),"yyyy-mm-dd"),""))</f>
        <v/>
      </c>
      <c r="C377" s="47">
        <f>IF(_calc!$E$379="","",IF(LEN(INDEX('Checks'!$B$4:$B$503,_calc!$E$379))=0,"",INDEX('Checks'!$B$4:$B$503,_calc!$E$379)))</f>
        <v/>
      </c>
      <c r="D377" s="47">
        <f>IF(_calc!$E$379="","",IF(ISNUMBER(INDEX('Checks'!$C$4:$C$503,_calc!$E$379)),TEXT(INDEX('Checks'!$C$4:$C$503,_calc!$E$379),"yyyy-mm-dd"),""))</f>
        <v/>
      </c>
      <c r="E377" s="47">
        <f>IF(_calc!$E$379="","",IF(LEN(INDEX('Checks'!$L$4:$L$503,_calc!$E$379))=0,"",INDEX('Checks'!$L$4:$L$503,_calc!$E$379)))</f>
        <v/>
      </c>
      <c r="F377" s="47">
        <f>IF(_calc!$E$379="","",TRIM(IF(LEN(IF(LEN(INDEX('Checks'!$I$4:$I$503,_calc!$E$379))=0,"",INDEX('Checks'!$I$4:$I$503,_calc!$E$379)))=0,"","Contractor: "&amp;IF(LEN(INDEX('Checks'!$I$4:$I$503,_calc!$E$379))=0,"",INDEX('Checks'!$I$4:$I$503,_calc!$E$379))&amp;". ")&amp;IF(LEN(IF(LEN(INDEX('Checks'!$J$4:$J$503,_calc!$E$379))=0,"",INDEX('Checks'!$J$4:$J$503,_calc!$E$379)))=0,"","Ref: "&amp;IF(LEN(INDEX('Checks'!$J$4:$J$503,_calc!$E$379))=0,"",INDEX('Checks'!$J$4:$J$503,_calc!$E$379))&amp;". ")&amp;IF(LEN(IF(ISNUMBER(INDEX('Checks'!$K$4:$K$503,_calc!$E$379)),TEXT(INDEX('Checks'!$K$4:$K$503,_calc!$E$379),"yyyy-mm-dd"),""))=0,"","Copy to tenant: "&amp;IF(ISNUMBER(INDEX('Checks'!$K$4:$K$503,_calc!$E$379)),TEXT(INDEX('Checks'!$K$4:$K$503,_calc!$E$379),"yyyy-mm-dd"),"")&amp;". ")&amp;IF(LEN(IF(LEN(INDEX('Checks'!$P$4:$P$503,_calc!$E$379))=0,"",INDEX('Checks'!$P$4:$P$503,_calc!$E$379)))=0,"",IF(LEN(INDEX('Checks'!$P$4:$P$503,_calc!$E$379))=0,"",INDEX('Checks'!$P$4:$P$503,_calc!$E$379)))))</f>
        <v/>
      </c>
      <c r="G377" s="47">
        <f>IF(_calc!$E$379="","",IF(LEN(INDEX('Checks'!$N$4:$N$503,_calc!$E$379))=0,"",INDEX('Checks'!$N$4:$N$503,_calc!$E$379)))</f>
        <v/>
      </c>
      <c r="K377" s="47">
        <f>IF(_calc!$E$379="","",IF(LEN(INDEX('Checks'!$M$4:$M$503,_calc!$E$379))=0,"",INDEX('Checks'!$M$4:$M$503,_calc!$E$379)))</f>
        <v/>
      </c>
    </row>
    <row r="378">
      <c r="A378" s="47">
        <f>IF(_calc!$E$380="","",IF(LEN(INDEX('Checks'!$B$4:$B$503,_calc!$E$380))=0,"",INDEX('Checks'!$B$4:$B$503,_calc!$E$380))&amp;" – "&amp;IF(LEN(INDEX('Checks'!$A$4:$A$503,_calc!$E$380))=0,"",INDEX('Checks'!$A$4:$A$503,_calc!$E$380)))</f>
        <v/>
      </c>
      <c r="B378" s="47">
        <f>IF(_calc!$E$380="","",IF(ISNUMBER(INDEX('Checks'!$D$4:$D$503,_calc!$E$380)),TEXT(INDEX('Checks'!$D$4:$D$503,_calc!$E$380),"yyyy-mm-dd"),""))</f>
        <v/>
      </c>
      <c r="C378" s="47">
        <f>IF(_calc!$E$380="","",IF(LEN(INDEX('Checks'!$B$4:$B$503,_calc!$E$380))=0,"",INDEX('Checks'!$B$4:$B$503,_calc!$E$380)))</f>
        <v/>
      </c>
      <c r="D378" s="47">
        <f>IF(_calc!$E$380="","",IF(ISNUMBER(INDEX('Checks'!$C$4:$C$503,_calc!$E$380)),TEXT(INDEX('Checks'!$C$4:$C$503,_calc!$E$380),"yyyy-mm-dd"),""))</f>
        <v/>
      </c>
      <c r="E378" s="47">
        <f>IF(_calc!$E$380="","",IF(LEN(INDEX('Checks'!$L$4:$L$503,_calc!$E$380))=0,"",INDEX('Checks'!$L$4:$L$503,_calc!$E$380)))</f>
        <v/>
      </c>
      <c r="F378" s="47">
        <f>IF(_calc!$E$380="","",TRIM(IF(LEN(IF(LEN(INDEX('Checks'!$I$4:$I$503,_calc!$E$380))=0,"",INDEX('Checks'!$I$4:$I$503,_calc!$E$380)))=0,"","Contractor: "&amp;IF(LEN(INDEX('Checks'!$I$4:$I$503,_calc!$E$380))=0,"",INDEX('Checks'!$I$4:$I$503,_calc!$E$380))&amp;". ")&amp;IF(LEN(IF(LEN(INDEX('Checks'!$J$4:$J$503,_calc!$E$380))=0,"",INDEX('Checks'!$J$4:$J$503,_calc!$E$380)))=0,"","Ref: "&amp;IF(LEN(INDEX('Checks'!$J$4:$J$503,_calc!$E$380))=0,"",INDEX('Checks'!$J$4:$J$503,_calc!$E$380))&amp;". ")&amp;IF(LEN(IF(ISNUMBER(INDEX('Checks'!$K$4:$K$503,_calc!$E$380)),TEXT(INDEX('Checks'!$K$4:$K$503,_calc!$E$380),"yyyy-mm-dd"),""))=0,"","Copy to tenant: "&amp;IF(ISNUMBER(INDEX('Checks'!$K$4:$K$503,_calc!$E$380)),TEXT(INDEX('Checks'!$K$4:$K$503,_calc!$E$380),"yyyy-mm-dd"),"")&amp;". ")&amp;IF(LEN(IF(LEN(INDEX('Checks'!$P$4:$P$503,_calc!$E$380))=0,"",INDEX('Checks'!$P$4:$P$503,_calc!$E$380)))=0,"",IF(LEN(INDEX('Checks'!$P$4:$P$503,_calc!$E$380))=0,"",INDEX('Checks'!$P$4:$P$503,_calc!$E$380)))))</f>
        <v/>
      </c>
      <c r="G378" s="47">
        <f>IF(_calc!$E$380="","",IF(LEN(INDEX('Checks'!$N$4:$N$503,_calc!$E$380))=0,"",INDEX('Checks'!$N$4:$N$503,_calc!$E$380)))</f>
        <v/>
      </c>
      <c r="K378" s="47">
        <f>IF(_calc!$E$380="","",IF(LEN(INDEX('Checks'!$M$4:$M$503,_calc!$E$380))=0,"",INDEX('Checks'!$M$4:$M$503,_calc!$E$380)))</f>
        <v/>
      </c>
    </row>
    <row r="379">
      <c r="A379" s="47">
        <f>IF(_calc!$E$381="","",IF(LEN(INDEX('Checks'!$B$4:$B$503,_calc!$E$381))=0,"",INDEX('Checks'!$B$4:$B$503,_calc!$E$381))&amp;" – "&amp;IF(LEN(INDEX('Checks'!$A$4:$A$503,_calc!$E$381))=0,"",INDEX('Checks'!$A$4:$A$503,_calc!$E$381)))</f>
        <v/>
      </c>
      <c r="B379" s="47">
        <f>IF(_calc!$E$381="","",IF(ISNUMBER(INDEX('Checks'!$D$4:$D$503,_calc!$E$381)),TEXT(INDEX('Checks'!$D$4:$D$503,_calc!$E$381),"yyyy-mm-dd"),""))</f>
        <v/>
      </c>
      <c r="C379" s="47">
        <f>IF(_calc!$E$381="","",IF(LEN(INDEX('Checks'!$B$4:$B$503,_calc!$E$381))=0,"",INDEX('Checks'!$B$4:$B$503,_calc!$E$381)))</f>
        <v/>
      </c>
      <c r="D379" s="47">
        <f>IF(_calc!$E$381="","",IF(ISNUMBER(INDEX('Checks'!$C$4:$C$503,_calc!$E$381)),TEXT(INDEX('Checks'!$C$4:$C$503,_calc!$E$381),"yyyy-mm-dd"),""))</f>
        <v/>
      </c>
      <c r="E379" s="47">
        <f>IF(_calc!$E$381="","",IF(LEN(INDEX('Checks'!$L$4:$L$503,_calc!$E$381))=0,"",INDEX('Checks'!$L$4:$L$503,_calc!$E$381)))</f>
        <v/>
      </c>
      <c r="F379" s="47">
        <f>IF(_calc!$E$381="","",TRIM(IF(LEN(IF(LEN(INDEX('Checks'!$I$4:$I$503,_calc!$E$381))=0,"",INDEX('Checks'!$I$4:$I$503,_calc!$E$381)))=0,"","Contractor: "&amp;IF(LEN(INDEX('Checks'!$I$4:$I$503,_calc!$E$381))=0,"",INDEX('Checks'!$I$4:$I$503,_calc!$E$381))&amp;". ")&amp;IF(LEN(IF(LEN(INDEX('Checks'!$J$4:$J$503,_calc!$E$381))=0,"",INDEX('Checks'!$J$4:$J$503,_calc!$E$381)))=0,"","Ref: "&amp;IF(LEN(INDEX('Checks'!$J$4:$J$503,_calc!$E$381))=0,"",INDEX('Checks'!$J$4:$J$503,_calc!$E$381))&amp;". ")&amp;IF(LEN(IF(ISNUMBER(INDEX('Checks'!$K$4:$K$503,_calc!$E$381)),TEXT(INDEX('Checks'!$K$4:$K$503,_calc!$E$381),"yyyy-mm-dd"),""))=0,"","Copy to tenant: "&amp;IF(ISNUMBER(INDEX('Checks'!$K$4:$K$503,_calc!$E$381)),TEXT(INDEX('Checks'!$K$4:$K$503,_calc!$E$381),"yyyy-mm-dd"),"")&amp;". ")&amp;IF(LEN(IF(LEN(INDEX('Checks'!$P$4:$P$503,_calc!$E$381))=0,"",INDEX('Checks'!$P$4:$P$503,_calc!$E$381)))=0,"",IF(LEN(INDEX('Checks'!$P$4:$P$503,_calc!$E$381))=0,"",INDEX('Checks'!$P$4:$P$503,_calc!$E$381)))))</f>
        <v/>
      </c>
      <c r="G379" s="47">
        <f>IF(_calc!$E$381="","",IF(LEN(INDEX('Checks'!$N$4:$N$503,_calc!$E$381))=0,"",INDEX('Checks'!$N$4:$N$503,_calc!$E$381)))</f>
        <v/>
      </c>
      <c r="K379" s="47">
        <f>IF(_calc!$E$381="","",IF(LEN(INDEX('Checks'!$M$4:$M$503,_calc!$E$381))=0,"",INDEX('Checks'!$M$4:$M$503,_calc!$E$381)))</f>
        <v/>
      </c>
    </row>
    <row r="380">
      <c r="A380" s="47">
        <f>IF(_calc!$E$382="","",IF(LEN(INDEX('Checks'!$B$4:$B$503,_calc!$E$382))=0,"",INDEX('Checks'!$B$4:$B$503,_calc!$E$382))&amp;" – "&amp;IF(LEN(INDEX('Checks'!$A$4:$A$503,_calc!$E$382))=0,"",INDEX('Checks'!$A$4:$A$503,_calc!$E$382)))</f>
        <v/>
      </c>
      <c r="B380" s="47">
        <f>IF(_calc!$E$382="","",IF(ISNUMBER(INDEX('Checks'!$D$4:$D$503,_calc!$E$382)),TEXT(INDEX('Checks'!$D$4:$D$503,_calc!$E$382),"yyyy-mm-dd"),""))</f>
        <v/>
      </c>
      <c r="C380" s="47">
        <f>IF(_calc!$E$382="","",IF(LEN(INDEX('Checks'!$B$4:$B$503,_calc!$E$382))=0,"",INDEX('Checks'!$B$4:$B$503,_calc!$E$382)))</f>
        <v/>
      </c>
      <c r="D380" s="47">
        <f>IF(_calc!$E$382="","",IF(ISNUMBER(INDEX('Checks'!$C$4:$C$503,_calc!$E$382)),TEXT(INDEX('Checks'!$C$4:$C$503,_calc!$E$382),"yyyy-mm-dd"),""))</f>
        <v/>
      </c>
      <c r="E380" s="47">
        <f>IF(_calc!$E$382="","",IF(LEN(INDEX('Checks'!$L$4:$L$503,_calc!$E$382))=0,"",INDEX('Checks'!$L$4:$L$503,_calc!$E$382)))</f>
        <v/>
      </c>
      <c r="F380" s="47">
        <f>IF(_calc!$E$382="","",TRIM(IF(LEN(IF(LEN(INDEX('Checks'!$I$4:$I$503,_calc!$E$382))=0,"",INDEX('Checks'!$I$4:$I$503,_calc!$E$382)))=0,"","Contractor: "&amp;IF(LEN(INDEX('Checks'!$I$4:$I$503,_calc!$E$382))=0,"",INDEX('Checks'!$I$4:$I$503,_calc!$E$382))&amp;". ")&amp;IF(LEN(IF(LEN(INDEX('Checks'!$J$4:$J$503,_calc!$E$382))=0,"",INDEX('Checks'!$J$4:$J$503,_calc!$E$382)))=0,"","Ref: "&amp;IF(LEN(INDEX('Checks'!$J$4:$J$503,_calc!$E$382))=0,"",INDEX('Checks'!$J$4:$J$503,_calc!$E$382))&amp;". ")&amp;IF(LEN(IF(ISNUMBER(INDEX('Checks'!$K$4:$K$503,_calc!$E$382)),TEXT(INDEX('Checks'!$K$4:$K$503,_calc!$E$382),"yyyy-mm-dd"),""))=0,"","Copy to tenant: "&amp;IF(ISNUMBER(INDEX('Checks'!$K$4:$K$503,_calc!$E$382)),TEXT(INDEX('Checks'!$K$4:$K$503,_calc!$E$382),"yyyy-mm-dd"),"")&amp;". ")&amp;IF(LEN(IF(LEN(INDEX('Checks'!$P$4:$P$503,_calc!$E$382))=0,"",INDEX('Checks'!$P$4:$P$503,_calc!$E$382)))=0,"",IF(LEN(INDEX('Checks'!$P$4:$P$503,_calc!$E$382))=0,"",INDEX('Checks'!$P$4:$P$503,_calc!$E$382)))))</f>
        <v/>
      </c>
      <c r="G380" s="47">
        <f>IF(_calc!$E$382="","",IF(LEN(INDEX('Checks'!$N$4:$N$503,_calc!$E$382))=0,"",INDEX('Checks'!$N$4:$N$503,_calc!$E$382)))</f>
        <v/>
      </c>
      <c r="K380" s="47">
        <f>IF(_calc!$E$382="","",IF(LEN(INDEX('Checks'!$M$4:$M$503,_calc!$E$382))=0,"",INDEX('Checks'!$M$4:$M$503,_calc!$E$382)))</f>
        <v/>
      </c>
    </row>
    <row r="381">
      <c r="A381" s="47">
        <f>IF(_calc!$E$383="","",IF(LEN(INDEX('Checks'!$B$4:$B$503,_calc!$E$383))=0,"",INDEX('Checks'!$B$4:$B$503,_calc!$E$383))&amp;" – "&amp;IF(LEN(INDEX('Checks'!$A$4:$A$503,_calc!$E$383))=0,"",INDEX('Checks'!$A$4:$A$503,_calc!$E$383)))</f>
        <v/>
      </c>
      <c r="B381" s="47">
        <f>IF(_calc!$E$383="","",IF(ISNUMBER(INDEX('Checks'!$D$4:$D$503,_calc!$E$383)),TEXT(INDEX('Checks'!$D$4:$D$503,_calc!$E$383),"yyyy-mm-dd"),""))</f>
        <v/>
      </c>
      <c r="C381" s="47">
        <f>IF(_calc!$E$383="","",IF(LEN(INDEX('Checks'!$B$4:$B$503,_calc!$E$383))=0,"",INDEX('Checks'!$B$4:$B$503,_calc!$E$383)))</f>
        <v/>
      </c>
      <c r="D381" s="47">
        <f>IF(_calc!$E$383="","",IF(ISNUMBER(INDEX('Checks'!$C$4:$C$503,_calc!$E$383)),TEXT(INDEX('Checks'!$C$4:$C$503,_calc!$E$383),"yyyy-mm-dd"),""))</f>
        <v/>
      </c>
      <c r="E381" s="47">
        <f>IF(_calc!$E$383="","",IF(LEN(INDEX('Checks'!$L$4:$L$503,_calc!$E$383))=0,"",INDEX('Checks'!$L$4:$L$503,_calc!$E$383)))</f>
        <v/>
      </c>
      <c r="F381" s="47">
        <f>IF(_calc!$E$383="","",TRIM(IF(LEN(IF(LEN(INDEX('Checks'!$I$4:$I$503,_calc!$E$383))=0,"",INDEX('Checks'!$I$4:$I$503,_calc!$E$383)))=0,"","Contractor: "&amp;IF(LEN(INDEX('Checks'!$I$4:$I$503,_calc!$E$383))=0,"",INDEX('Checks'!$I$4:$I$503,_calc!$E$383))&amp;". ")&amp;IF(LEN(IF(LEN(INDEX('Checks'!$J$4:$J$503,_calc!$E$383))=0,"",INDEX('Checks'!$J$4:$J$503,_calc!$E$383)))=0,"","Ref: "&amp;IF(LEN(INDEX('Checks'!$J$4:$J$503,_calc!$E$383))=0,"",INDEX('Checks'!$J$4:$J$503,_calc!$E$383))&amp;". ")&amp;IF(LEN(IF(ISNUMBER(INDEX('Checks'!$K$4:$K$503,_calc!$E$383)),TEXT(INDEX('Checks'!$K$4:$K$503,_calc!$E$383),"yyyy-mm-dd"),""))=0,"","Copy to tenant: "&amp;IF(ISNUMBER(INDEX('Checks'!$K$4:$K$503,_calc!$E$383)),TEXT(INDEX('Checks'!$K$4:$K$503,_calc!$E$383),"yyyy-mm-dd"),"")&amp;". ")&amp;IF(LEN(IF(LEN(INDEX('Checks'!$P$4:$P$503,_calc!$E$383))=0,"",INDEX('Checks'!$P$4:$P$503,_calc!$E$383)))=0,"",IF(LEN(INDEX('Checks'!$P$4:$P$503,_calc!$E$383))=0,"",INDEX('Checks'!$P$4:$P$503,_calc!$E$383)))))</f>
        <v/>
      </c>
      <c r="G381" s="47">
        <f>IF(_calc!$E$383="","",IF(LEN(INDEX('Checks'!$N$4:$N$503,_calc!$E$383))=0,"",INDEX('Checks'!$N$4:$N$503,_calc!$E$383)))</f>
        <v/>
      </c>
      <c r="K381" s="47">
        <f>IF(_calc!$E$383="","",IF(LEN(INDEX('Checks'!$M$4:$M$503,_calc!$E$383))=0,"",INDEX('Checks'!$M$4:$M$503,_calc!$E$383)))</f>
        <v/>
      </c>
    </row>
    <row r="382">
      <c r="A382" s="47">
        <f>IF(_calc!$E$384="","",IF(LEN(INDEX('Checks'!$B$4:$B$503,_calc!$E$384))=0,"",INDEX('Checks'!$B$4:$B$503,_calc!$E$384))&amp;" – "&amp;IF(LEN(INDEX('Checks'!$A$4:$A$503,_calc!$E$384))=0,"",INDEX('Checks'!$A$4:$A$503,_calc!$E$384)))</f>
        <v/>
      </c>
      <c r="B382" s="47">
        <f>IF(_calc!$E$384="","",IF(ISNUMBER(INDEX('Checks'!$D$4:$D$503,_calc!$E$384)),TEXT(INDEX('Checks'!$D$4:$D$503,_calc!$E$384),"yyyy-mm-dd"),""))</f>
        <v/>
      </c>
      <c r="C382" s="47">
        <f>IF(_calc!$E$384="","",IF(LEN(INDEX('Checks'!$B$4:$B$503,_calc!$E$384))=0,"",INDEX('Checks'!$B$4:$B$503,_calc!$E$384)))</f>
        <v/>
      </c>
      <c r="D382" s="47">
        <f>IF(_calc!$E$384="","",IF(ISNUMBER(INDEX('Checks'!$C$4:$C$503,_calc!$E$384)),TEXT(INDEX('Checks'!$C$4:$C$503,_calc!$E$384),"yyyy-mm-dd"),""))</f>
        <v/>
      </c>
      <c r="E382" s="47">
        <f>IF(_calc!$E$384="","",IF(LEN(INDEX('Checks'!$L$4:$L$503,_calc!$E$384))=0,"",INDEX('Checks'!$L$4:$L$503,_calc!$E$384)))</f>
        <v/>
      </c>
      <c r="F382" s="47">
        <f>IF(_calc!$E$384="","",TRIM(IF(LEN(IF(LEN(INDEX('Checks'!$I$4:$I$503,_calc!$E$384))=0,"",INDEX('Checks'!$I$4:$I$503,_calc!$E$384)))=0,"","Contractor: "&amp;IF(LEN(INDEX('Checks'!$I$4:$I$503,_calc!$E$384))=0,"",INDEX('Checks'!$I$4:$I$503,_calc!$E$384))&amp;". ")&amp;IF(LEN(IF(LEN(INDEX('Checks'!$J$4:$J$503,_calc!$E$384))=0,"",INDEX('Checks'!$J$4:$J$503,_calc!$E$384)))=0,"","Ref: "&amp;IF(LEN(INDEX('Checks'!$J$4:$J$503,_calc!$E$384))=0,"",INDEX('Checks'!$J$4:$J$503,_calc!$E$384))&amp;". ")&amp;IF(LEN(IF(ISNUMBER(INDEX('Checks'!$K$4:$K$503,_calc!$E$384)),TEXT(INDEX('Checks'!$K$4:$K$503,_calc!$E$384),"yyyy-mm-dd"),""))=0,"","Copy to tenant: "&amp;IF(ISNUMBER(INDEX('Checks'!$K$4:$K$503,_calc!$E$384)),TEXT(INDEX('Checks'!$K$4:$K$503,_calc!$E$384),"yyyy-mm-dd"),"")&amp;". ")&amp;IF(LEN(IF(LEN(INDEX('Checks'!$P$4:$P$503,_calc!$E$384))=0,"",INDEX('Checks'!$P$4:$P$503,_calc!$E$384)))=0,"",IF(LEN(INDEX('Checks'!$P$4:$P$503,_calc!$E$384))=0,"",INDEX('Checks'!$P$4:$P$503,_calc!$E$384)))))</f>
        <v/>
      </c>
      <c r="G382" s="47">
        <f>IF(_calc!$E$384="","",IF(LEN(INDEX('Checks'!$N$4:$N$503,_calc!$E$384))=0,"",INDEX('Checks'!$N$4:$N$503,_calc!$E$384)))</f>
        <v/>
      </c>
      <c r="K382" s="47">
        <f>IF(_calc!$E$384="","",IF(LEN(INDEX('Checks'!$M$4:$M$503,_calc!$E$384))=0,"",INDEX('Checks'!$M$4:$M$503,_calc!$E$384)))</f>
        <v/>
      </c>
    </row>
    <row r="383">
      <c r="A383" s="47">
        <f>IF(_calc!$E$385="","",IF(LEN(INDEX('Checks'!$B$4:$B$503,_calc!$E$385))=0,"",INDEX('Checks'!$B$4:$B$503,_calc!$E$385))&amp;" – "&amp;IF(LEN(INDEX('Checks'!$A$4:$A$503,_calc!$E$385))=0,"",INDEX('Checks'!$A$4:$A$503,_calc!$E$385)))</f>
        <v/>
      </c>
      <c r="B383" s="47">
        <f>IF(_calc!$E$385="","",IF(ISNUMBER(INDEX('Checks'!$D$4:$D$503,_calc!$E$385)),TEXT(INDEX('Checks'!$D$4:$D$503,_calc!$E$385),"yyyy-mm-dd"),""))</f>
        <v/>
      </c>
      <c r="C383" s="47">
        <f>IF(_calc!$E$385="","",IF(LEN(INDEX('Checks'!$B$4:$B$503,_calc!$E$385))=0,"",INDEX('Checks'!$B$4:$B$503,_calc!$E$385)))</f>
        <v/>
      </c>
      <c r="D383" s="47">
        <f>IF(_calc!$E$385="","",IF(ISNUMBER(INDEX('Checks'!$C$4:$C$503,_calc!$E$385)),TEXT(INDEX('Checks'!$C$4:$C$503,_calc!$E$385),"yyyy-mm-dd"),""))</f>
        <v/>
      </c>
      <c r="E383" s="47">
        <f>IF(_calc!$E$385="","",IF(LEN(INDEX('Checks'!$L$4:$L$503,_calc!$E$385))=0,"",INDEX('Checks'!$L$4:$L$503,_calc!$E$385)))</f>
        <v/>
      </c>
      <c r="F383" s="47">
        <f>IF(_calc!$E$385="","",TRIM(IF(LEN(IF(LEN(INDEX('Checks'!$I$4:$I$503,_calc!$E$385))=0,"",INDEX('Checks'!$I$4:$I$503,_calc!$E$385)))=0,"","Contractor: "&amp;IF(LEN(INDEX('Checks'!$I$4:$I$503,_calc!$E$385))=0,"",INDEX('Checks'!$I$4:$I$503,_calc!$E$385))&amp;". ")&amp;IF(LEN(IF(LEN(INDEX('Checks'!$J$4:$J$503,_calc!$E$385))=0,"",INDEX('Checks'!$J$4:$J$503,_calc!$E$385)))=0,"","Ref: "&amp;IF(LEN(INDEX('Checks'!$J$4:$J$503,_calc!$E$385))=0,"",INDEX('Checks'!$J$4:$J$503,_calc!$E$385))&amp;". ")&amp;IF(LEN(IF(ISNUMBER(INDEX('Checks'!$K$4:$K$503,_calc!$E$385)),TEXT(INDEX('Checks'!$K$4:$K$503,_calc!$E$385),"yyyy-mm-dd"),""))=0,"","Copy to tenant: "&amp;IF(ISNUMBER(INDEX('Checks'!$K$4:$K$503,_calc!$E$385)),TEXT(INDEX('Checks'!$K$4:$K$503,_calc!$E$385),"yyyy-mm-dd"),"")&amp;". ")&amp;IF(LEN(IF(LEN(INDEX('Checks'!$P$4:$P$503,_calc!$E$385))=0,"",INDEX('Checks'!$P$4:$P$503,_calc!$E$385)))=0,"",IF(LEN(INDEX('Checks'!$P$4:$P$503,_calc!$E$385))=0,"",INDEX('Checks'!$P$4:$P$503,_calc!$E$385)))))</f>
        <v/>
      </c>
      <c r="G383" s="47">
        <f>IF(_calc!$E$385="","",IF(LEN(INDEX('Checks'!$N$4:$N$503,_calc!$E$385))=0,"",INDEX('Checks'!$N$4:$N$503,_calc!$E$385)))</f>
        <v/>
      </c>
      <c r="K383" s="47">
        <f>IF(_calc!$E$385="","",IF(LEN(INDEX('Checks'!$M$4:$M$503,_calc!$E$385))=0,"",INDEX('Checks'!$M$4:$M$503,_calc!$E$385)))</f>
        <v/>
      </c>
    </row>
    <row r="384">
      <c r="A384" s="47">
        <f>IF(_calc!$E$386="","",IF(LEN(INDEX('Checks'!$B$4:$B$503,_calc!$E$386))=0,"",INDEX('Checks'!$B$4:$B$503,_calc!$E$386))&amp;" – "&amp;IF(LEN(INDEX('Checks'!$A$4:$A$503,_calc!$E$386))=0,"",INDEX('Checks'!$A$4:$A$503,_calc!$E$386)))</f>
        <v/>
      </c>
      <c r="B384" s="47">
        <f>IF(_calc!$E$386="","",IF(ISNUMBER(INDEX('Checks'!$D$4:$D$503,_calc!$E$386)),TEXT(INDEX('Checks'!$D$4:$D$503,_calc!$E$386),"yyyy-mm-dd"),""))</f>
        <v/>
      </c>
      <c r="C384" s="47">
        <f>IF(_calc!$E$386="","",IF(LEN(INDEX('Checks'!$B$4:$B$503,_calc!$E$386))=0,"",INDEX('Checks'!$B$4:$B$503,_calc!$E$386)))</f>
        <v/>
      </c>
      <c r="D384" s="47">
        <f>IF(_calc!$E$386="","",IF(ISNUMBER(INDEX('Checks'!$C$4:$C$503,_calc!$E$386)),TEXT(INDEX('Checks'!$C$4:$C$503,_calc!$E$386),"yyyy-mm-dd"),""))</f>
        <v/>
      </c>
      <c r="E384" s="47">
        <f>IF(_calc!$E$386="","",IF(LEN(INDEX('Checks'!$L$4:$L$503,_calc!$E$386))=0,"",INDEX('Checks'!$L$4:$L$503,_calc!$E$386)))</f>
        <v/>
      </c>
      <c r="F384" s="47">
        <f>IF(_calc!$E$386="","",TRIM(IF(LEN(IF(LEN(INDEX('Checks'!$I$4:$I$503,_calc!$E$386))=0,"",INDEX('Checks'!$I$4:$I$503,_calc!$E$386)))=0,"","Contractor: "&amp;IF(LEN(INDEX('Checks'!$I$4:$I$503,_calc!$E$386))=0,"",INDEX('Checks'!$I$4:$I$503,_calc!$E$386))&amp;". ")&amp;IF(LEN(IF(LEN(INDEX('Checks'!$J$4:$J$503,_calc!$E$386))=0,"",INDEX('Checks'!$J$4:$J$503,_calc!$E$386)))=0,"","Ref: "&amp;IF(LEN(INDEX('Checks'!$J$4:$J$503,_calc!$E$386))=0,"",INDEX('Checks'!$J$4:$J$503,_calc!$E$386))&amp;". ")&amp;IF(LEN(IF(ISNUMBER(INDEX('Checks'!$K$4:$K$503,_calc!$E$386)),TEXT(INDEX('Checks'!$K$4:$K$503,_calc!$E$386),"yyyy-mm-dd"),""))=0,"","Copy to tenant: "&amp;IF(ISNUMBER(INDEX('Checks'!$K$4:$K$503,_calc!$E$386)),TEXT(INDEX('Checks'!$K$4:$K$503,_calc!$E$386),"yyyy-mm-dd"),"")&amp;". ")&amp;IF(LEN(IF(LEN(INDEX('Checks'!$P$4:$P$503,_calc!$E$386))=0,"",INDEX('Checks'!$P$4:$P$503,_calc!$E$386)))=0,"",IF(LEN(INDEX('Checks'!$P$4:$P$503,_calc!$E$386))=0,"",INDEX('Checks'!$P$4:$P$503,_calc!$E$386)))))</f>
        <v/>
      </c>
      <c r="G384" s="47">
        <f>IF(_calc!$E$386="","",IF(LEN(INDEX('Checks'!$N$4:$N$503,_calc!$E$386))=0,"",INDEX('Checks'!$N$4:$N$503,_calc!$E$386)))</f>
        <v/>
      </c>
      <c r="K384" s="47">
        <f>IF(_calc!$E$386="","",IF(LEN(INDEX('Checks'!$M$4:$M$503,_calc!$E$386))=0,"",INDEX('Checks'!$M$4:$M$503,_calc!$E$386)))</f>
        <v/>
      </c>
    </row>
    <row r="385">
      <c r="A385" s="47">
        <f>IF(_calc!$E$387="","",IF(LEN(INDEX('Checks'!$B$4:$B$503,_calc!$E$387))=0,"",INDEX('Checks'!$B$4:$B$503,_calc!$E$387))&amp;" – "&amp;IF(LEN(INDEX('Checks'!$A$4:$A$503,_calc!$E$387))=0,"",INDEX('Checks'!$A$4:$A$503,_calc!$E$387)))</f>
        <v/>
      </c>
      <c r="B385" s="47">
        <f>IF(_calc!$E$387="","",IF(ISNUMBER(INDEX('Checks'!$D$4:$D$503,_calc!$E$387)),TEXT(INDEX('Checks'!$D$4:$D$503,_calc!$E$387),"yyyy-mm-dd"),""))</f>
        <v/>
      </c>
      <c r="C385" s="47">
        <f>IF(_calc!$E$387="","",IF(LEN(INDEX('Checks'!$B$4:$B$503,_calc!$E$387))=0,"",INDEX('Checks'!$B$4:$B$503,_calc!$E$387)))</f>
        <v/>
      </c>
      <c r="D385" s="47">
        <f>IF(_calc!$E$387="","",IF(ISNUMBER(INDEX('Checks'!$C$4:$C$503,_calc!$E$387)),TEXT(INDEX('Checks'!$C$4:$C$503,_calc!$E$387),"yyyy-mm-dd"),""))</f>
        <v/>
      </c>
      <c r="E385" s="47">
        <f>IF(_calc!$E$387="","",IF(LEN(INDEX('Checks'!$L$4:$L$503,_calc!$E$387))=0,"",INDEX('Checks'!$L$4:$L$503,_calc!$E$387)))</f>
        <v/>
      </c>
      <c r="F385" s="47">
        <f>IF(_calc!$E$387="","",TRIM(IF(LEN(IF(LEN(INDEX('Checks'!$I$4:$I$503,_calc!$E$387))=0,"",INDEX('Checks'!$I$4:$I$503,_calc!$E$387)))=0,"","Contractor: "&amp;IF(LEN(INDEX('Checks'!$I$4:$I$503,_calc!$E$387))=0,"",INDEX('Checks'!$I$4:$I$503,_calc!$E$387))&amp;". ")&amp;IF(LEN(IF(LEN(INDEX('Checks'!$J$4:$J$503,_calc!$E$387))=0,"",INDEX('Checks'!$J$4:$J$503,_calc!$E$387)))=0,"","Ref: "&amp;IF(LEN(INDEX('Checks'!$J$4:$J$503,_calc!$E$387))=0,"",INDEX('Checks'!$J$4:$J$503,_calc!$E$387))&amp;". ")&amp;IF(LEN(IF(ISNUMBER(INDEX('Checks'!$K$4:$K$503,_calc!$E$387)),TEXT(INDEX('Checks'!$K$4:$K$503,_calc!$E$387),"yyyy-mm-dd"),""))=0,"","Copy to tenant: "&amp;IF(ISNUMBER(INDEX('Checks'!$K$4:$K$503,_calc!$E$387)),TEXT(INDEX('Checks'!$K$4:$K$503,_calc!$E$387),"yyyy-mm-dd"),"")&amp;". ")&amp;IF(LEN(IF(LEN(INDEX('Checks'!$P$4:$P$503,_calc!$E$387))=0,"",INDEX('Checks'!$P$4:$P$503,_calc!$E$387)))=0,"",IF(LEN(INDEX('Checks'!$P$4:$P$503,_calc!$E$387))=0,"",INDEX('Checks'!$P$4:$P$503,_calc!$E$387)))))</f>
        <v/>
      </c>
      <c r="G385" s="47">
        <f>IF(_calc!$E$387="","",IF(LEN(INDEX('Checks'!$N$4:$N$503,_calc!$E$387))=0,"",INDEX('Checks'!$N$4:$N$503,_calc!$E$387)))</f>
        <v/>
      </c>
      <c r="K385" s="47">
        <f>IF(_calc!$E$387="","",IF(LEN(INDEX('Checks'!$M$4:$M$503,_calc!$E$387))=0,"",INDEX('Checks'!$M$4:$M$503,_calc!$E$387)))</f>
        <v/>
      </c>
    </row>
    <row r="386">
      <c r="A386" s="47">
        <f>IF(_calc!$E$388="","",IF(LEN(INDEX('Checks'!$B$4:$B$503,_calc!$E$388))=0,"",INDEX('Checks'!$B$4:$B$503,_calc!$E$388))&amp;" – "&amp;IF(LEN(INDEX('Checks'!$A$4:$A$503,_calc!$E$388))=0,"",INDEX('Checks'!$A$4:$A$503,_calc!$E$388)))</f>
        <v/>
      </c>
      <c r="B386" s="47">
        <f>IF(_calc!$E$388="","",IF(ISNUMBER(INDEX('Checks'!$D$4:$D$503,_calc!$E$388)),TEXT(INDEX('Checks'!$D$4:$D$503,_calc!$E$388),"yyyy-mm-dd"),""))</f>
        <v/>
      </c>
      <c r="C386" s="47">
        <f>IF(_calc!$E$388="","",IF(LEN(INDEX('Checks'!$B$4:$B$503,_calc!$E$388))=0,"",INDEX('Checks'!$B$4:$B$503,_calc!$E$388)))</f>
        <v/>
      </c>
      <c r="D386" s="47">
        <f>IF(_calc!$E$388="","",IF(ISNUMBER(INDEX('Checks'!$C$4:$C$503,_calc!$E$388)),TEXT(INDEX('Checks'!$C$4:$C$503,_calc!$E$388),"yyyy-mm-dd"),""))</f>
        <v/>
      </c>
      <c r="E386" s="47">
        <f>IF(_calc!$E$388="","",IF(LEN(INDEX('Checks'!$L$4:$L$503,_calc!$E$388))=0,"",INDEX('Checks'!$L$4:$L$503,_calc!$E$388)))</f>
        <v/>
      </c>
      <c r="F386" s="47">
        <f>IF(_calc!$E$388="","",TRIM(IF(LEN(IF(LEN(INDEX('Checks'!$I$4:$I$503,_calc!$E$388))=0,"",INDEX('Checks'!$I$4:$I$503,_calc!$E$388)))=0,"","Contractor: "&amp;IF(LEN(INDEX('Checks'!$I$4:$I$503,_calc!$E$388))=0,"",INDEX('Checks'!$I$4:$I$503,_calc!$E$388))&amp;". ")&amp;IF(LEN(IF(LEN(INDEX('Checks'!$J$4:$J$503,_calc!$E$388))=0,"",INDEX('Checks'!$J$4:$J$503,_calc!$E$388)))=0,"","Ref: "&amp;IF(LEN(INDEX('Checks'!$J$4:$J$503,_calc!$E$388))=0,"",INDEX('Checks'!$J$4:$J$503,_calc!$E$388))&amp;". ")&amp;IF(LEN(IF(ISNUMBER(INDEX('Checks'!$K$4:$K$503,_calc!$E$388)),TEXT(INDEX('Checks'!$K$4:$K$503,_calc!$E$388),"yyyy-mm-dd"),""))=0,"","Copy to tenant: "&amp;IF(ISNUMBER(INDEX('Checks'!$K$4:$K$503,_calc!$E$388)),TEXT(INDEX('Checks'!$K$4:$K$503,_calc!$E$388),"yyyy-mm-dd"),"")&amp;". ")&amp;IF(LEN(IF(LEN(INDEX('Checks'!$P$4:$P$503,_calc!$E$388))=0,"",INDEX('Checks'!$P$4:$P$503,_calc!$E$388)))=0,"",IF(LEN(INDEX('Checks'!$P$4:$P$503,_calc!$E$388))=0,"",INDEX('Checks'!$P$4:$P$503,_calc!$E$388)))))</f>
        <v/>
      </c>
      <c r="G386" s="47">
        <f>IF(_calc!$E$388="","",IF(LEN(INDEX('Checks'!$N$4:$N$503,_calc!$E$388))=0,"",INDEX('Checks'!$N$4:$N$503,_calc!$E$388)))</f>
        <v/>
      </c>
      <c r="K386" s="47">
        <f>IF(_calc!$E$388="","",IF(LEN(INDEX('Checks'!$M$4:$M$503,_calc!$E$388))=0,"",INDEX('Checks'!$M$4:$M$503,_calc!$E$388)))</f>
        <v/>
      </c>
    </row>
    <row r="387">
      <c r="A387" s="47">
        <f>IF(_calc!$E$389="","",IF(LEN(INDEX('Checks'!$B$4:$B$503,_calc!$E$389))=0,"",INDEX('Checks'!$B$4:$B$503,_calc!$E$389))&amp;" – "&amp;IF(LEN(INDEX('Checks'!$A$4:$A$503,_calc!$E$389))=0,"",INDEX('Checks'!$A$4:$A$503,_calc!$E$389)))</f>
        <v/>
      </c>
      <c r="B387" s="47">
        <f>IF(_calc!$E$389="","",IF(ISNUMBER(INDEX('Checks'!$D$4:$D$503,_calc!$E$389)),TEXT(INDEX('Checks'!$D$4:$D$503,_calc!$E$389),"yyyy-mm-dd"),""))</f>
        <v/>
      </c>
      <c r="C387" s="47">
        <f>IF(_calc!$E$389="","",IF(LEN(INDEX('Checks'!$B$4:$B$503,_calc!$E$389))=0,"",INDEX('Checks'!$B$4:$B$503,_calc!$E$389)))</f>
        <v/>
      </c>
      <c r="D387" s="47">
        <f>IF(_calc!$E$389="","",IF(ISNUMBER(INDEX('Checks'!$C$4:$C$503,_calc!$E$389)),TEXT(INDEX('Checks'!$C$4:$C$503,_calc!$E$389),"yyyy-mm-dd"),""))</f>
        <v/>
      </c>
      <c r="E387" s="47">
        <f>IF(_calc!$E$389="","",IF(LEN(INDEX('Checks'!$L$4:$L$503,_calc!$E$389))=0,"",INDEX('Checks'!$L$4:$L$503,_calc!$E$389)))</f>
        <v/>
      </c>
      <c r="F387" s="47">
        <f>IF(_calc!$E$389="","",TRIM(IF(LEN(IF(LEN(INDEX('Checks'!$I$4:$I$503,_calc!$E$389))=0,"",INDEX('Checks'!$I$4:$I$503,_calc!$E$389)))=0,"","Contractor: "&amp;IF(LEN(INDEX('Checks'!$I$4:$I$503,_calc!$E$389))=0,"",INDEX('Checks'!$I$4:$I$503,_calc!$E$389))&amp;". ")&amp;IF(LEN(IF(LEN(INDEX('Checks'!$J$4:$J$503,_calc!$E$389))=0,"",INDEX('Checks'!$J$4:$J$503,_calc!$E$389)))=0,"","Ref: "&amp;IF(LEN(INDEX('Checks'!$J$4:$J$503,_calc!$E$389))=0,"",INDEX('Checks'!$J$4:$J$503,_calc!$E$389))&amp;". ")&amp;IF(LEN(IF(ISNUMBER(INDEX('Checks'!$K$4:$K$503,_calc!$E$389)),TEXT(INDEX('Checks'!$K$4:$K$503,_calc!$E$389),"yyyy-mm-dd"),""))=0,"","Copy to tenant: "&amp;IF(ISNUMBER(INDEX('Checks'!$K$4:$K$503,_calc!$E$389)),TEXT(INDEX('Checks'!$K$4:$K$503,_calc!$E$389),"yyyy-mm-dd"),"")&amp;". ")&amp;IF(LEN(IF(LEN(INDEX('Checks'!$P$4:$P$503,_calc!$E$389))=0,"",INDEX('Checks'!$P$4:$P$503,_calc!$E$389)))=0,"",IF(LEN(INDEX('Checks'!$P$4:$P$503,_calc!$E$389))=0,"",INDEX('Checks'!$P$4:$P$503,_calc!$E$389)))))</f>
        <v/>
      </c>
      <c r="G387" s="47">
        <f>IF(_calc!$E$389="","",IF(LEN(INDEX('Checks'!$N$4:$N$503,_calc!$E$389))=0,"",INDEX('Checks'!$N$4:$N$503,_calc!$E$389)))</f>
        <v/>
      </c>
      <c r="K387" s="47">
        <f>IF(_calc!$E$389="","",IF(LEN(INDEX('Checks'!$M$4:$M$503,_calc!$E$389))=0,"",INDEX('Checks'!$M$4:$M$503,_calc!$E$389)))</f>
        <v/>
      </c>
    </row>
    <row r="388">
      <c r="A388" s="47">
        <f>IF(_calc!$E$390="","",IF(LEN(INDEX('Checks'!$B$4:$B$503,_calc!$E$390))=0,"",INDEX('Checks'!$B$4:$B$503,_calc!$E$390))&amp;" – "&amp;IF(LEN(INDEX('Checks'!$A$4:$A$503,_calc!$E$390))=0,"",INDEX('Checks'!$A$4:$A$503,_calc!$E$390)))</f>
        <v/>
      </c>
      <c r="B388" s="47">
        <f>IF(_calc!$E$390="","",IF(ISNUMBER(INDEX('Checks'!$D$4:$D$503,_calc!$E$390)),TEXT(INDEX('Checks'!$D$4:$D$503,_calc!$E$390),"yyyy-mm-dd"),""))</f>
        <v/>
      </c>
      <c r="C388" s="47">
        <f>IF(_calc!$E$390="","",IF(LEN(INDEX('Checks'!$B$4:$B$503,_calc!$E$390))=0,"",INDEX('Checks'!$B$4:$B$503,_calc!$E$390)))</f>
        <v/>
      </c>
      <c r="D388" s="47">
        <f>IF(_calc!$E$390="","",IF(ISNUMBER(INDEX('Checks'!$C$4:$C$503,_calc!$E$390)),TEXT(INDEX('Checks'!$C$4:$C$503,_calc!$E$390),"yyyy-mm-dd"),""))</f>
        <v/>
      </c>
      <c r="E388" s="47">
        <f>IF(_calc!$E$390="","",IF(LEN(INDEX('Checks'!$L$4:$L$503,_calc!$E$390))=0,"",INDEX('Checks'!$L$4:$L$503,_calc!$E$390)))</f>
        <v/>
      </c>
      <c r="F388" s="47">
        <f>IF(_calc!$E$390="","",TRIM(IF(LEN(IF(LEN(INDEX('Checks'!$I$4:$I$503,_calc!$E$390))=0,"",INDEX('Checks'!$I$4:$I$503,_calc!$E$390)))=0,"","Contractor: "&amp;IF(LEN(INDEX('Checks'!$I$4:$I$503,_calc!$E$390))=0,"",INDEX('Checks'!$I$4:$I$503,_calc!$E$390))&amp;". ")&amp;IF(LEN(IF(LEN(INDEX('Checks'!$J$4:$J$503,_calc!$E$390))=0,"",INDEX('Checks'!$J$4:$J$503,_calc!$E$390)))=0,"","Ref: "&amp;IF(LEN(INDEX('Checks'!$J$4:$J$503,_calc!$E$390))=0,"",INDEX('Checks'!$J$4:$J$503,_calc!$E$390))&amp;". ")&amp;IF(LEN(IF(ISNUMBER(INDEX('Checks'!$K$4:$K$503,_calc!$E$390)),TEXT(INDEX('Checks'!$K$4:$K$503,_calc!$E$390),"yyyy-mm-dd"),""))=0,"","Copy to tenant: "&amp;IF(ISNUMBER(INDEX('Checks'!$K$4:$K$503,_calc!$E$390)),TEXT(INDEX('Checks'!$K$4:$K$503,_calc!$E$390),"yyyy-mm-dd"),"")&amp;". ")&amp;IF(LEN(IF(LEN(INDEX('Checks'!$P$4:$P$503,_calc!$E$390))=0,"",INDEX('Checks'!$P$4:$P$503,_calc!$E$390)))=0,"",IF(LEN(INDEX('Checks'!$P$4:$P$503,_calc!$E$390))=0,"",INDEX('Checks'!$P$4:$P$503,_calc!$E$390)))))</f>
        <v/>
      </c>
      <c r="G388" s="47">
        <f>IF(_calc!$E$390="","",IF(LEN(INDEX('Checks'!$N$4:$N$503,_calc!$E$390))=0,"",INDEX('Checks'!$N$4:$N$503,_calc!$E$390)))</f>
        <v/>
      </c>
      <c r="K388" s="47">
        <f>IF(_calc!$E$390="","",IF(LEN(INDEX('Checks'!$M$4:$M$503,_calc!$E$390))=0,"",INDEX('Checks'!$M$4:$M$503,_calc!$E$390)))</f>
        <v/>
      </c>
    </row>
    <row r="389">
      <c r="A389" s="47">
        <f>IF(_calc!$E$391="","",IF(LEN(INDEX('Checks'!$B$4:$B$503,_calc!$E$391))=0,"",INDEX('Checks'!$B$4:$B$503,_calc!$E$391))&amp;" – "&amp;IF(LEN(INDEX('Checks'!$A$4:$A$503,_calc!$E$391))=0,"",INDEX('Checks'!$A$4:$A$503,_calc!$E$391)))</f>
        <v/>
      </c>
      <c r="B389" s="47">
        <f>IF(_calc!$E$391="","",IF(ISNUMBER(INDEX('Checks'!$D$4:$D$503,_calc!$E$391)),TEXT(INDEX('Checks'!$D$4:$D$503,_calc!$E$391),"yyyy-mm-dd"),""))</f>
        <v/>
      </c>
      <c r="C389" s="47">
        <f>IF(_calc!$E$391="","",IF(LEN(INDEX('Checks'!$B$4:$B$503,_calc!$E$391))=0,"",INDEX('Checks'!$B$4:$B$503,_calc!$E$391)))</f>
        <v/>
      </c>
      <c r="D389" s="47">
        <f>IF(_calc!$E$391="","",IF(ISNUMBER(INDEX('Checks'!$C$4:$C$503,_calc!$E$391)),TEXT(INDEX('Checks'!$C$4:$C$503,_calc!$E$391),"yyyy-mm-dd"),""))</f>
        <v/>
      </c>
      <c r="E389" s="47">
        <f>IF(_calc!$E$391="","",IF(LEN(INDEX('Checks'!$L$4:$L$503,_calc!$E$391))=0,"",INDEX('Checks'!$L$4:$L$503,_calc!$E$391)))</f>
        <v/>
      </c>
      <c r="F389" s="47">
        <f>IF(_calc!$E$391="","",TRIM(IF(LEN(IF(LEN(INDEX('Checks'!$I$4:$I$503,_calc!$E$391))=0,"",INDEX('Checks'!$I$4:$I$503,_calc!$E$391)))=0,"","Contractor: "&amp;IF(LEN(INDEX('Checks'!$I$4:$I$503,_calc!$E$391))=0,"",INDEX('Checks'!$I$4:$I$503,_calc!$E$391))&amp;". ")&amp;IF(LEN(IF(LEN(INDEX('Checks'!$J$4:$J$503,_calc!$E$391))=0,"",INDEX('Checks'!$J$4:$J$503,_calc!$E$391)))=0,"","Ref: "&amp;IF(LEN(INDEX('Checks'!$J$4:$J$503,_calc!$E$391))=0,"",INDEX('Checks'!$J$4:$J$503,_calc!$E$391))&amp;". ")&amp;IF(LEN(IF(ISNUMBER(INDEX('Checks'!$K$4:$K$503,_calc!$E$391)),TEXT(INDEX('Checks'!$K$4:$K$503,_calc!$E$391),"yyyy-mm-dd"),""))=0,"","Copy to tenant: "&amp;IF(ISNUMBER(INDEX('Checks'!$K$4:$K$503,_calc!$E$391)),TEXT(INDEX('Checks'!$K$4:$K$503,_calc!$E$391),"yyyy-mm-dd"),"")&amp;". ")&amp;IF(LEN(IF(LEN(INDEX('Checks'!$P$4:$P$503,_calc!$E$391))=0,"",INDEX('Checks'!$P$4:$P$503,_calc!$E$391)))=0,"",IF(LEN(INDEX('Checks'!$P$4:$P$503,_calc!$E$391))=0,"",INDEX('Checks'!$P$4:$P$503,_calc!$E$391)))))</f>
        <v/>
      </c>
      <c r="G389" s="47">
        <f>IF(_calc!$E$391="","",IF(LEN(INDEX('Checks'!$N$4:$N$503,_calc!$E$391))=0,"",INDEX('Checks'!$N$4:$N$503,_calc!$E$391)))</f>
        <v/>
      </c>
      <c r="K389" s="47">
        <f>IF(_calc!$E$391="","",IF(LEN(INDEX('Checks'!$M$4:$M$503,_calc!$E$391))=0,"",INDEX('Checks'!$M$4:$M$503,_calc!$E$391)))</f>
        <v/>
      </c>
    </row>
    <row r="390">
      <c r="A390" s="47">
        <f>IF(_calc!$E$392="","",IF(LEN(INDEX('Checks'!$B$4:$B$503,_calc!$E$392))=0,"",INDEX('Checks'!$B$4:$B$503,_calc!$E$392))&amp;" – "&amp;IF(LEN(INDEX('Checks'!$A$4:$A$503,_calc!$E$392))=0,"",INDEX('Checks'!$A$4:$A$503,_calc!$E$392)))</f>
        <v/>
      </c>
      <c r="B390" s="47">
        <f>IF(_calc!$E$392="","",IF(ISNUMBER(INDEX('Checks'!$D$4:$D$503,_calc!$E$392)),TEXT(INDEX('Checks'!$D$4:$D$503,_calc!$E$392),"yyyy-mm-dd"),""))</f>
        <v/>
      </c>
      <c r="C390" s="47">
        <f>IF(_calc!$E$392="","",IF(LEN(INDEX('Checks'!$B$4:$B$503,_calc!$E$392))=0,"",INDEX('Checks'!$B$4:$B$503,_calc!$E$392)))</f>
        <v/>
      </c>
      <c r="D390" s="47">
        <f>IF(_calc!$E$392="","",IF(ISNUMBER(INDEX('Checks'!$C$4:$C$503,_calc!$E$392)),TEXT(INDEX('Checks'!$C$4:$C$503,_calc!$E$392),"yyyy-mm-dd"),""))</f>
        <v/>
      </c>
      <c r="E390" s="47">
        <f>IF(_calc!$E$392="","",IF(LEN(INDEX('Checks'!$L$4:$L$503,_calc!$E$392))=0,"",INDEX('Checks'!$L$4:$L$503,_calc!$E$392)))</f>
        <v/>
      </c>
      <c r="F390" s="47">
        <f>IF(_calc!$E$392="","",TRIM(IF(LEN(IF(LEN(INDEX('Checks'!$I$4:$I$503,_calc!$E$392))=0,"",INDEX('Checks'!$I$4:$I$503,_calc!$E$392)))=0,"","Contractor: "&amp;IF(LEN(INDEX('Checks'!$I$4:$I$503,_calc!$E$392))=0,"",INDEX('Checks'!$I$4:$I$503,_calc!$E$392))&amp;". ")&amp;IF(LEN(IF(LEN(INDEX('Checks'!$J$4:$J$503,_calc!$E$392))=0,"",INDEX('Checks'!$J$4:$J$503,_calc!$E$392)))=0,"","Ref: "&amp;IF(LEN(INDEX('Checks'!$J$4:$J$503,_calc!$E$392))=0,"",INDEX('Checks'!$J$4:$J$503,_calc!$E$392))&amp;". ")&amp;IF(LEN(IF(ISNUMBER(INDEX('Checks'!$K$4:$K$503,_calc!$E$392)),TEXT(INDEX('Checks'!$K$4:$K$503,_calc!$E$392),"yyyy-mm-dd"),""))=0,"","Copy to tenant: "&amp;IF(ISNUMBER(INDEX('Checks'!$K$4:$K$503,_calc!$E$392)),TEXT(INDEX('Checks'!$K$4:$K$503,_calc!$E$392),"yyyy-mm-dd"),"")&amp;". ")&amp;IF(LEN(IF(LEN(INDEX('Checks'!$P$4:$P$503,_calc!$E$392))=0,"",INDEX('Checks'!$P$4:$P$503,_calc!$E$392)))=0,"",IF(LEN(INDEX('Checks'!$P$4:$P$503,_calc!$E$392))=0,"",INDEX('Checks'!$P$4:$P$503,_calc!$E$392)))))</f>
        <v/>
      </c>
      <c r="G390" s="47">
        <f>IF(_calc!$E$392="","",IF(LEN(INDEX('Checks'!$N$4:$N$503,_calc!$E$392))=0,"",INDEX('Checks'!$N$4:$N$503,_calc!$E$392)))</f>
        <v/>
      </c>
      <c r="K390" s="47">
        <f>IF(_calc!$E$392="","",IF(LEN(INDEX('Checks'!$M$4:$M$503,_calc!$E$392))=0,"",INDEX('Checks'!$M$4:$M$503,_calc!$E$392)))</f>
        <v/>
      </c>
    </row>
    <row r="391">
      <c r="A391" s="47">
        <f>IF(_calc!$E$393="","",IF(LEN(INDEX('Checks'!$B$4:$B$503,_calc!$E$393))=0,"",INDEX('Checks'!$B$4:$B$503,_calc!$E$393))&amp;" – "&amp;IF(LEN(INDEX('Checks'!$A$4:$A$503,_calc!$E$393))=0,"",INDEX('Checks'!$A$4:$A$503,_calc!$E$393)))</f>
        <v/>
      </c>
      <c r="B391" s="47">
        <f>IF(_calc!$E$393="","",IF(ISNUMBER(INDEX('Checks'!$D$4:$D$503,_calc!$E$393)),TEXT(INDEX('Checks'!$D$4:$D$503,_calc!$E$393),"yyyy-mm-dd"),""))</f>
        <v/>
      </c>
      <c r="C391" s="47">
        <f>IF(_calc!$E$393="","",IF(LEN(INDEX('Checks'!$B$4:$B$503,_calc!$E$393))=0,"",INDEX('Checks'!$B$4:$B$503,_calc!$E$393)))</f>
        <v/>
      </c>
      <c r="D391" s="47">
        <f>IF(_calc!$E$393="","",IF(ISNUMBER(INDEX('Checks'!$C$4:$C$503,_calc!$E$393)),TEXT(INDEX('Checks'!$C$4:$C$503,_calc!$E$393),"yyyy-mm-dd"),""))</f>
        <v/>
      </c>
      <c r="E391" s="47">
        <f>IF(_calc!$E$393="","",IF(LEN(INDEX('Checks'!$L$4:$L$503,_calc!$E$393))=0,"",INDEX('Checks'!$L$4:$L$503,_calc!$E$393)))</f>
        <v/>
      </c>
      <c r="F391" s="47">
        <f>IF(_calc!$E$393="","",TRIM(IF(LEN(IF(LEN(INDEX('Checks'!$I$4:$I$503,_calc!$E$393))=0,"",INDEX('Checks'!$I$4:$I$503,_calc!$E$393)))=0,"","Contractor: "&amp;IF(LEN(INDEX('Checks'!$I$4:$I$503,_calc!$E$393))=0,"",INDEX('Checks'!$I$4:$I$503,_calc!$E$393))&amp;". ")&amp;IF(LEN(IF(LEN(INDEX('Checks'!$J$4:$J$503,_calc!$E$393))=0,"",INDEX('Checks'!$J$4:$J$503,_calc!$E$393)))=0,"","Ref: "&amp;IF(LEN(INDEX('Checks'!$J$4:$J$503,_calc!$E$393))=0,"",INDEX('Checks'!$J$4:$J$503,_calc!$E$393))&amp;". ")&amp;IF(LEN(IF(ISNUMBER(INDEX('Checks'!$K$4:$K$503,_calc!$E$393)),TEXT(INDEX('Checks'!$K$4:$K$503,_calc!$E$393),"yyyy-mm-dd"),""))=0,"","Copy to tenant: "&amp;IF(ISNUMBER(INDEX('Checks'!$K$4:$K$503,_calc!$E$393)),TEXT(INDEX('Checks'!$K$4:$K$503,_calc!$E$393),"yyyy-mm-dd"),"")&amp;". ")&amp;IF(LEN(IF(LEN(INDEX('Checks'!$P$4:$P$503,_calc!$E$393))=0,"",INDEX('Checks'!$P$4:$P$503,_calc!$E$393)))=0,"",IF(LEN(INDEX('Checks'!$P$4:$P$503,_calc!$E$393))=0,"",INDEX('Checks'!$P$4:$P$503,_calc!$E$393)))))</f>
        <v/>
      </c>
      <c r="G391" s="47">
        <f>IF(_calc!$E$393="","",IF(LEN(INDEX('Checks'!$N$4:$N$503,_calc!$E$393))=0,"",INDEX('Checks'!$N$4:$N$503,_calc!$E$393)))</f>
        <v/>
      </c>
      <c r="K391" s="47">
        <f>IF(_calc!$E$393="","",IF(LEN(INDEX('Checks'!$M$4:$M$503,_calc!$E$393))=0,"",INDEX('Checks'!$M$4:$M$503,_calc!$E$393)))</f>
        <v/>
      </c>
    </row>
    <row r="392">
      <c r="A392" s="47">
        <f>IF(_calc!$E$394="","",IF(LEN(INDEX('Checks'!$B$4:$B$503,_calc!$E$394))=0,"",INDEX('Checks'!$B$4:$B$503,_calc!$E$394))&amp;" – "&amp;IF(LEN(INDEX('Checks'!$A$4:$A$503,_calc!$E$394))=0,"",INDEX('Checks'!$A$4:$A$503,_calc!$E$394)))</f>
        <v/>
      </c>
      <c r="B392" s="47">
        <f>IF(_calc!$E$394="","",IF(ISNUMBER(INDEX('Checks'!$D$4:$D$503,_calc!$E$394)),TEXT(INDEX('Checks'!$D$4:$D$503,_calc!$E$394),"yyyy-mm-dd"),""))</f>
        <v/>
      </c>
      <c r="C392" s="47">
        <f>IF(_calc!$E$394="","",IF(LEN(INDEX('Checks'!$B$4:$B$503,_calc!$E$394))=0,"",INDEX('Checks'!$B$4:$B$503,_calc!$E$394)))</f>
        <v/>
      </c>
      <c r="D392" s="47">
        <f>IF(_calc!$E$394="","",IF(ISNUMBER(INDEX('Checks'!$C$4:$C$503,_calc!$E$394)),TEXT(INDEX('Checks'!$C$4:$C$503,_calc!$E$394),"yyyy-mm-dd"),""))</f>
        <v/>
      </c>
      <c r="E392" s="47">
        <f>IF(_calc!$E$394="","",IF(LEN(INDEX('Checks'!$L$4:$L$503,_calc!$E$394))=0,"",INDEX('Checks'!$L$4:$L$503,_calc!$E$394)))</f>
        <v/>
      </c>
      <c r="F392" s="47">
        <f>IF(_calc!$E$394="","",TRIM(IF(LEN(IF(LEN(INDEX('Checks'!$I$4:$I$503,_calc!$E$394))=0,"",INDEX('Checks'!$I$4:$I$503,_calc!$E$394)))=0,"","Contractor: "&amp;IF(LEN(INDEX('Checks'!$I$4:$I$503,_calc!$E$394))=0,"",INDEX('Checks'!$I$4:$I$503,_calc!$E$394))&amp;". ")&amp;IF(LEN(IF(LEN(INDEX('Checks'!$J$4:$J$503,_calc!$E$394))=0,"",INDEX('Checks'!$J$4:$J$503,_calc!$E$394)))=0,"","Ref: "&amp;IF(LEN(INDEX('Checks'!$J$4:$J$503,_calc!$E$394))=0,"",INDEX('Checks'!$J$4:$J$503,_calc!$E$394))&amp;". ")&amp;IF(LEN(IF(ISNUMBER(INDEX('Checks'!$K$4:$K$503,_calc!$E$394)),TEXT(INDEX('Checks'!$K$4:$K$503,_calc!$E$394),"yyyy-mm-dd"),""))=0,"","Copy to tenant: "&amp;IF(ISNUMBER(INDEX('Checks'!$K$4:$K$503,_calc!$E$394)),TEXT(INDEX('Checks'!$K$4:$K$503,_calc!$E$394),"yyyy-mm-dd"),"")&amp;". ")&amp;IF(LEN(IF(LEN(INDEX('Checks'!$P$4:$P$503,_calc!$E$394))=0,"",INDEX('Checks'!$P$4:$P$503,_calc!$E$394)))=0,"",IF(LEN(INDEX('Checks'!$P$4:$P$503,_calc!$E$394))=0,"",INDEX('Checks'!$P$4:$P$503,_calc!$E$394)))))</f>
        <v/>
      </c>
      <c r="G392" s="47">
        <f>IF(_calc!$E$394="","",IF(LEN(INDEX('Checks'!$N$4:$N$503,_calc!$E$394))=0,"",INDEX('Checks'!$N$4:$N$503,_calc!$E$394)))</f>
        <v/>
      </c>
      <c r="K392" s="47">
        <f>IF(_calc!$E$394="","",IF(LEN(INDEX('Checks'!$M$4:$M$503,_calc!$E$394))=0,"",INDEX('Checks'!$M$4:$M$503,_calc!$E$394)))</f>
        <v/>
      </c>
    </row>
    <row r="393">
      <c r="A393" s="47">
        <f>IF(_calc!$E$395="","",IF(LEN(INDEX('Checks'!$B$4:$B$503,_calc!$E$395))=0,"",INDEX('Checks'!$B$4:$B$503,_calc!$E$395))&amp;" – "&amp;IF(LEN(INDEX('Checks'!$A$4:$A$503,_calc!$E$395))=0,"",INDEX('Checks'!$A$4:$A$503,_calc!$E$395)))</f>
        <v/>
      </c>
      <c r="B393" s="47">
        <f>IF(_calc!$E$395="","",IF(ISNUMBER(INDEX('Checks'!$D$4:$D$503,_calc!$E$395)),TEXT(INDEX('Checks'!$D$4:$D$503,_calc!$E$395),"yyyy-mm-dd"),""))</f>
        <v/>
      </c>
      <c r="C393" s="47">
        <f>IF(_calc!$E$395="","",IF(LEN(INDEX('Checks'!$B$4:$B$503,_calc!$E$395))=0,"",INDEX('Checks'!$B$4:$B$503,_calc!$E$395)))</f>
        <v/>
      </c>
      <c r="D393" s="47">
        <f>IF(_calc!$E$395="","",IF(ISNUMBER(INDEX('Checks'!$C$4:$C$503,_calc!$E$395)),TEXT(INDEX('Checks'!$C$4:$C$503,_calc!$E$395),"yyyy-mm-dd"),""))</f>
        <v/>
      </c>
      <c r="E393" s="47">
        <f>IF(_calc!$E$395="","",IF(LEN(INDEX('Checks'!$L$4:$L$503,_calc!$E$395))=0,"",INDEX('Checks'!$L$4:$L$503,_calc!$E$395)))</f>
        <v/>
      </c>
      <c r="F393" s="47">
        <f>IF(_calc!$E$395="","",TRIM(IF(LEN(IF(LEN(INDEX('Checks'!$I$4:$I$503,_calc!$E$395))=0,"",INDEX('Checks'!$I$4:$I$503,_calc!$E$395)))=0,"","Contractor: "&amp;IF(LEN(INDEX('Checks'!$I$4:$I$503,_calc!$E$395))=0,"",INDEX('Checks'!$I$4:$I$503,_calc!$E$395))&amp;". ")&amp;IF(LEN(IF(LEN(INDEX('Checks'!$J$4:$J$503,_calc!$E$395))=0,"",INDEX('Checks'!$J$4:$J$503,_calc!$E$395)))=0,"","Ref: "&amp;IF(LEN(INDEX('Checks'!$J$4:$J$503,_calc!$E$395))=0,"",INDEX('Checks'!$J$4:$J$503,_calc!$E$395))&amp;". ")&amp;IF(LEN(IF(ISNUMBER(INDEX('Checks'!$K$4:$K$503,_calc!$E$395)),TEXT(INDEX('Checks'!$K$4:$K$503,_calc!$E$395),"yyyy-mm-dd"),""))=0,"","Copy to tenant: "&amp;IF(ISNUMBER(INDEX('Checks'!$K$4:$K$503,_calc!$E$395)),TEXT(INDEX('Checks'!$K$4:$K$503,_calc!$E$395),"yyyy-mm-dd"),"")&amp;". ")&amp;IF(LEN(IF(LEN(INDEX('Checks'!$P$4:$P$503,_calc!$E$395))=0,"",INDEX('Checks'!$P$4:$P$503,_calc!$E$395)))=0,"",IF(LEN(INDEX('Checks'!$P$4:$P$503,_calc!$E$395))=0,"",INDEX('Checks'!$P$4:$P$503,_calc!$E$395)))))</f>
        <v/>
      </c>
      <c r="G393" s="47">
        <f>IF(_calc!$E$395="","",IF(LEN(INDEX('Checks'!$N$4:$N$503,_calc!$E$395))=0,"",INDEX('Checks'!$N$4:$N$503,_calc!$E$395)))</f>
        <v/>
      </c>
      <c r="K393" s="47">
        <f>IF(_calc!$E$395="","",IF(LEN(INDEX('Checks'!$M$4:$M$503,_calc!$E$395))=0,"",INDEX('Checks'!$M$4:$M$503,_calc!$E$395)))</f>
        <v/>
      </c>
    </row>
    <row r="394">
      <c r="A394" s="47">
        <f>IF(_calc!$E$396="","",IF(LEN(INDEX('Checks'!$B$4:$B$503,_calc!$E$396))=0,"",INDEX('Checks'!$B$4:$B$503,_calc!$E$396))&amp;" – "&amp;IF(LEN(INDEX('Checks'!$A$4:$A$503,_calc!$E$396))=0,"",INDEX('Checks'!$A$4:$A$503,_calc!$E$396)))</f>
        <v/>
      </c>
      <c r="B394" s="47">
        <f>IF(_calc!$E$396="","",IF(ISNUMBER(INDEX('Checks'!$D$4:$D$503,_calc!$E$396)),TEXT(INDEX('Checks'!$D$4:$D$503,_calc!$E$396),"yyyy-mm-dd"),""))</f>
        <v/>
      </c>
      <c r="C394" s="47">
        <f>IF(_calc!$E$396="","",IF(LEN(INDEX('Checks'!$B$4:$B$503,_calc!$E$396))=0,"",INDEX('Checks'!$B$4:$B$503,_calc!$E$396)))</f>
        <v/>
      </c>
      <c r="D394" s="47">
        <f>IF(_calc!$E$396="","",IF(ISNUMBER(INDEX('Checks'!$C$4:$C$503,_calc!$E$396)),TEXT(INDEX('Checks'!$C$4:$C$503,_calc!$E$396),"yyyy-mm-dd"),""))</f>
        <v/>
      </c>
      <c r="E394" s="47">
        <f>IF(_calc!$E$396="","",IF(LEN(INDEX('Checks'!$L$4:$L$503,_calc!$E$396))=0,"",INDEX('Checks'!$L$4:$L$503,_calc!$E$396)))</f>
        <v/>
      </c>
      <c r="F394" s="47">
        <f>IF(_calc!$E$396="","",TRIM(IF(LEN(IF(LEN(INDEX('Checks'!$I$4:$I$503,_calc!$E$396))=0,"",INDEX('Checks'!$I$4:$I$503,_calc!$E$396)))=0,"","Contractor: "&amp;IF(LEN(INDEX('Checks'!$I$4:$I$503,_calc!$E$396))=0,"",INDEX('Checks'!$I$4:$I$503,_calc!$E$396))&amp;". ")&amp;IF(LEN(IF(LEN(INDEX('Checks'!$J$4:$J$503,_calc!$E$396))=0,"",INDEX('Checks'!$J$4:$J$503,_calc!$E$396)))=0,"","Ref: "&amp;IF(LEN(INDEX('Checks'!$J$4:$J$503,_calc!$E$396))=0,"",INDEX('Checks'!$J$4:$J$503,_calc!$E$396))&amp;". ")&amp;IF(LEN(IF(ISNUMBER(INDEX('Checks'!$K$4:$K$503,_calc!$E$396)),TEXT(INDEX('Checks'!$K$4:$K$503,_calc!$E$396),"yyyy-mm-dd"),""))=0,"","Copy to tenant: "&amp;IF(ISNUMBER(INDEX('Checks'!$K$4:$K$503,_calc!$E$396)),TEXT(INDEX('Checks'!$K$4:$K$503,_calc!$E$396),"yyyy-mm-dd"),"")&amp;". ")&amp;IF(LEN(IF(LEN(INDEX('Checks'!$P$4:$P$503,_calc!$E$396))=0,"",INDEX('Checks'!$P$4:$P$503,_calc!$E$396)))=0,"",IF(LEN(INDEX('Checks'!$P$4:$P$503,_calc!$E$396))=0,"",INDEX('Checks'!$P$4:$P$503,_calc!$E$396)))))</f>
        <v/>
      </c>
      <c r="G394" s="47">
        <f>IF(_calc!$E$396="","",IF(LEN(INDEX('Checks'!$N$4:$N$503,_calc!$E$396))=0,"",INDEX('Checks'!$N$4:$N$503,_calc!$E$396)))</f>
        <v/>
      </c>
      <c r="K394" s="47">
        <f>IF(_calc!$E$396="","",IF(LEN(INDEX('Checks'!$M$4:$M$503,_calc!$E$396))=0,"",INDEX('Checks'!$M$4:$M$503,_calc!$E$396)))</f>
        <v/>
      </c>
    </row>
    <row r="395">
      <c r="A395" s="47">
        <f>IF(_calc!$E$397="","",IF(LEN(INDEX('Checks'!$B$4:$B$503,_calc!$E$397))=0,"",INDEX('Checks'!$B$4:$B$503,_calc!$E$397))&amp;" – "&amp;IF(LEN(INDEX('Checks'!$A$4:$A$503,_calc!$E$397))=0,"",INDEX('Checks'!$A$4:$A$503,_calc!$E$397)))</f>
        <v/>
      </c>
      <c r="B395" s="47">
        <f>IF(_calc!$E$397="","",IF(ISNUMBER(INDEX('Checks'!$D$4:$D$503,_calc!$E$397)),TEXT(INDEX('Checks'!$D$4:$D$503,_calc!$E$397),"yyyy-mm-dd"),""))</f>
        <v/>
      </c>
      <c r="C395" s="47">
        <f>IF(_calc!$E$397="","",IF(LEN(INDEX('Checks'!$B$4:$B$503,_calc!$E$397))=0,"",INDEX('Checks'!$B$4:$B$503,_calc!$E$397)))</f>
        <v/>
      </c>
      <c r="D395" s="47">
        <f>IF(_calc!$E$397="","",IF(ISNUMBER(INDEX('Checks'!$C$4:$C$503,_calc!$E$397)),TEXT(INDEX('Checks'!$C$4:$C$503,_calc!$E$397),"yyyy-mm-dd"),""))</f>
        <v/>
      </c>
      <c r="E395" s="47">
        <f>IF(_calc!$E$397="","",IF(LEN(INDEX('Checks'!$L$4:$L$503,_calc!$E$397))=0,"",INDEX('Checks'!$L$4:$L$503,_calc!$E$397)))</f>
        <v/>
      </c>
      <c r="F395" s="47">
        <f>IF(_calc!$E$397="","",TRIM(IF(LEN(IF(LEN(INDEX('Checks'!$I$4:$I$503,_calc!$E$397))=0,"",INDEX('Checks'!$I$4:$I$503,_calc!$E$397)))=0,"","Contractor: "&amp;IF(LEN(INDEX('Checks'!$I$4:$I$503,_calc!$E$397))=0,"",INDEX('Checks'!$I$4:$I$503,_calc!$E$397))&amp;". ")&amp;IF(LEN(IF(LEN(INDEX('Checks'!$J$4:$J$503,_calc!$E$397))=0,"",INDEX('Checks'!$J$4:$J$503,_calc!$E$397)))=0,"","Ref: "&amp;IF(LEN(INDEX('Checks'!$J$4:$J$503,_calc!$E$397))=0,"",INDEX('Checks'!$J$4:$J$503,_calc!$E$397))&amp;". ")&amp;IF(LEN(IF(ISNUMBER(INDEX('Checks'!$K$4:$K$503,_calc!$E$397)),TEXT(INDEX('Checks'!$K$4:$K$503,_calc!$E$397),"yyyy-mm-dd"),""))=0,"","Copy to tenant: "&amp;IF(ISNUMBER(INDEX('Checks'!$K$4:$K$503,_calc!$E$397)),TEXT(INDEX('Checks'!$K$4:$K$503,_calc!$E$397),"yyyy-mm-dd"),"")&amp;". ")&amp;IF(LEN(IF(LEN(INDEX('Checks'!$P$4:$P$503,_calc!$E$397))=0,"",INDEX('Checks'!$P$4:$P$503,_calc!$E$397)))=0,"",IF(LEN(INDEX('Checks'!$P$4:$P$503,_calc!$E$397))=0,"",INDEX('Checks'!$P$4:$P$503,_calc!$E$397)))))</f>
        <v/>
      </c>
      <c r="G395" s="47">
        <f>IF(_calc!$E$397="","",IF(LEN(INDEX('Checks'!$N$4:$N$503,_calc!$E$397))=0,"",INDEX('Checks'!$N$4:$N$503,_calc!$E$397)))</f>
        <v/>
      </c>
      <c r="K395" s="47">
        <f>IF(_calc!$E$397="","",IF(LEN(INDEX('Checks'!$M$4:$M$503,_calc!$E$397))=0,"",INDEX('Checks'!$M$4:$M$503,_calc!$E$397)))</f>
        <v/>
      </c>
    </row>
    <row r="396">
      <c r="A396" s="47">
        <f>IF(_calc!$E$398="","",IF(LEN(INDEX('Checks'!$B$4:$B$503,_calc!$E$398))=0,"",INDEX('Checks'!$B$4:$B$503,_calc!$E$398))&amp;" – "&amp;IF(LEN(INDEX('Checks'!$A$4:$A$503,_calc!$E$398))=0,"",INDEX('Checks'!$A$4:$A$503,_calc!$E$398)))</f>
        <v/>
      </c>
      <c r="B396" s="47">
        <f>IF(_calc!$E$398="","",IF(ISNUMBER(INDEX('Checks'!$D$4:$D$503,_calc!$E$398)),TEXT(INDEX('Checks'!$D$4:$D$503,_calc!$E$398),"yyyy-mm-dd"),""))</f>
        <v/>
      </c>
      <c r="C396" s="47">
        <f>IF(_calc!$E$398="","",IF(LEN(INDEX('Checks'!$B$4:$B$503,_calc!$E$398))=0,"",INDEX('Checks'!$B$4:$B$503,_calc!$E$398)))</f>
        <v/>
      </c>
      <c r="D396" s="47">
        <f>IF(_calc!$E$398="","",IF(ISNUMBER(INDEX('Checks'!$C$4:$C$503,_calc!$E$398)),TEXT(INDEX('Checks'!$C$4:$C$503,_calc!$E$398),"yyyy-mm-dd"),""))</f>
        <v/>
      </c>
      <c r="E396" s="47">
        <f>IF(_calc!$E$398="","",IF(LEN(INDEX('Checks'!$L$4:$L$503,_calc!$E$398))=0,"",INDEX('Checks'!$L$4:$L$503,_calc!$E$398)))</f>
        <v/>
      </c>
      <c r="F396" s="47">
        <f>IF(_calc!$E$398="","",TRIM(IF(LEN(IF(LEN(INDEX('Checks'!$I$4:$I$503,_calc!$E$398))=0,"",INDEX('Checks'!$I$4:$I$503,_calc!$E$398)))=0,"","Contractor: "&amp;IF(LEN(INDEX('Checks'!$I$4:$I$503,_calc!$E$398))=0,"",INDEX('Checks'!$I$4:$I$503,_calc!$E$398))&amp;". ")&amp;IF(LEN(IF(LEN(INDEX('Checks'!$J$4:$J$503,_calc!$E$398))=0,"",INDEX('Checks'!$J$4:$J$503,_calc!$E$398)))=0,"","Ref: "&amp;IF(LEN(INDEX('Checks'!$J$4:$J$503,_calc!$E$398))=0,"",INDEX('Checks'!$J$4:$J$503,_calc!$E$398))&amp;". ")&amp;IF(LEN(IF(ISNUMBER(INDEX('Checks'!$K$4:$K$503,_calc!$E$398)),TEXT(INDEX('Checks'!$K$4:$K$503,_calc!$E$398),"yyyy-mm-dd"),""))=0,"","Copy to tenant: "&amp;IF(ISNUMBER(INDEX('Checks'!$K$4:$K$503,_calc!$E$398)),TEXT(INDEX('Checks'!$K$4:$K$503,_calc!$E$398),"yyyy-mm-dd"),"")&amp;". ")&amp;IF(LEN(IF(LEN(INDEX('Checks'!$P$4:$P$503,_calc!$E$398))=0,"",INDEX('Checks'!$P$4:$P$503,_calc!$E$398)))=0,"",IF(LEN(INDEX('Checks'!$P$4:$P$503,_calc!$E$398))=0,"",INDEX('Checks'!$P$4:$P$503,_calc!$E$398)))))</f>
        <v/>
      </c>
      <c r="G396" s="47">
        <f>IF(_calc!$E$398="","",IF(LEN(INDEX('Checks'!$N$4:$N$503,_calc!$E$398))=0,"",INDEX('Checks'!$N$4:$N$503,_calc!$E$398)))</f>
        <v/>
      </c>
      <c r="K396" s="47">
        <f>IF(_calc!$E$398="","",IF(LEN(INDEX('Checks'!$M$4:$M$503,_calc!$E$398))=0,"",INDEX('Checks'!$M$4:$M$503,_calc!$E$398)))</f>
        <v/>
      </c>
    </row>
    <row r="397">
      <c r="A397" s="47">
        <f>IF(_calc!$E$399="","",IF(LEN(INDEX('Checks'!$B$4:$B$503,_calc!$E$399))=0,"",INDEX('Checks'!$B$4:$B$503,_calc!$E$399))&amp;" – "&amp;IF(LEN(INDEX('Checks'!$A$4:$A$503,_calc!$E$399))=0,"",INDEX('Checks'!$A$4:$A$503,_calc!$E$399)))</f>
        <v/>
      </c>
      <c r="B397" s="47">
        <f>IF(_calc!$E$399="","",IF(ISNUMBER(INDEX('Checks'!$D$4:$D$503,_calc!$E$399)),TEXT(INDEX('Checks'!$D$4:$D$503,_calc!$E$399),"yyyy-mm-dd"),""))</f>
        <v/>
      </c>
      <c r="C397" s="47">
        <f>IF(_calc!$E$399="","",IF(LEN(INDEX('Checks'!$B$4:$B$503,_calc!$E$399))=0,"",INDEX('Checks'!$B$4:$B$503,_calc!$E$399)))</f>
        <v/>
      </c>
      <c r="D397" s="47">
        <f>IF(_calc!$E$399="","",IF(ISNUMBER(INDEX('Checks'!$C$4:$C$503,_calc!$E$399)),TEXT(INDEX('Checks'!$C$4:$C$503,_calc!$E$399),"yyyy-mm-dd"),""))</f>
        <v/>
      </c>
      <c r="E397" s="47">
        <f>IF(_calc!$E$399="","",IF(LEN(INDEX('Checks'!$L$4:$L$503,_calc!$E$399))=0,"",INDEX('Checks'!$L$4:$L$503,_calc!$E$399)))</f>
        <v/>
      </c>
      <c r="F397" s="47">
        <f>IF(_calc!$E$399="","",TRIM(IF(LEN(IF(LEN(INDEX('Checks'!$I$4:$I$503,_calc!$E$399))=0,"",INDEX('Checks'!$I$4:$I$503,_calc!$E$399)))=0,"","Contractor: "&amp;IF(LEN(INDEX('Checks'!$I$4:$I$503,_calc!$E$399))=0,"",INDEX('Checks'!$I$4:$I$503,_calc!$E$399))&amp;". ")&amp;IF(LEN(IF(LEN(INDEX('Checks'!$J$4:$J$503,_calc!$E$399))=0,"",INDEX('Checks'!$J$4:$J$503,_calc!$E$399)))=0,"","Ref: "&amp;IF(LEN(INDEX('Checks'!$J$4:$J$503,_calc!$E$399))=0,"",INDEX('Checks'!$J$4:$J$503,_calc!$E$399))&amp;". ")&amp;IF(LEN(IF(ISNUMBER(INDEX('Checks'!$K$4:$K$503,_calc!$E$399)),TEXT(INDEX('Checks'!$K$4:$K$503,_calc!$E$399),"yyyy-mm-dd"),""))=0,"","Copy to tenant: "&amp;IF(ISNUMBER(INDEX('Checks'!$K$4:$K$503,_calc!$E$399)),TEXT(INDEX('Checks'!$K$4:$K$503,_calc!$E$399),"yyyy-mm-dd"),"")&amp;". ")&amp;IF(LEN(IF(LEN(INDEX('Checks'!$P$4:$P$503,_calc!$E$399))=0,"",INDEX('Checks'!$P$4:$P$503,_calc!$E$399)))=0,"",IF(LEN(INDEX('Checks'!$P$4:$P$503,_calc!$E$399))=0,"",INDEX('Checks'!$P$4:$P$503,_calc!$E$399)))))</f>
        <v/>
      </c>
      <c r="G397" s="47">
        <f>IF(_calc!$E$399="","",IF(LEN(INDEX('Checks'!$N$4:$N$503,_calc!$E$399))=0,"",INDEX('Checks'!$N$4:$N$503,_calc!$E$399)))</f>
        <v/>
      </c>
      <c r="K397" s="47">
        <f>IF(_calc!$E$399="","",IF(LEN(INDEX('Checks'!$M$4:$M$503,_calc!$E$399))=0,"",INDEX('Checks'!$M$4:$M$503,_calc!$E$399)))</f>
        <v/>
      </c>
    </row>
    <row r="398">
      <c r="A398" s="47">
        <f>IF(_calc!$E$400="","",IF(LEN(INDEX('Checks'!$B$4:$B$503,_calc!$E$400))=0,"",INDEX('Checks'!$B$4:$B$503,_calc!$E$400))&amp;" – "&amp;IF(LEN(INDEX('Checks'!$A$4:$A$503,_calc!$E$400))=0,"",INDEX('Checks'!$A$4:$A$503,_calc!$E$400)))</f>
        <v/>
      </c>
      <c r="B398" s="47">
        <f>IF(_calc!$E$400="","",IF(ISNUMBER(INDEX('Checks'!$D$4:$D$503,_calc!$E$400)),TEXT(INDEX('Checks'!$D$4:$D$503,_calc!$E$400),"yyyy-mm-dd"),""))</f>
        <v/>
      </c>
      <c r="C398" s="47">
        <f>IF(_calc!$E$400="","",IF(LEN(INDEX('Checks'!$B$4:$B$503,_calc!$E$400))=0,"",INDEX('Checks'!$B$4:$B$503,_calc!$E$400)))</f>
        <v/>
      </c>
      <c r="D398" s="47">
        <f>IF(_calc!$E$400="","",IF(ISNUMBER(INDEX('Checks'!$C$4:$C$503,_calc!$E$400)),TEXT(INDEX('Checks'!$C$4:$C$503,_calc!$E$400),"yyyy-mm-dd"),""))</f>
        <v/>
      </c>
      <c r="E398" s="47">
        <f>IF(_calc!$E$400="","",IF(LEN(INDEX('Checks'!$L$4:$L$503,_calc!$E$400))=0,"",INDEX('Checks'!$L$4:$L$503,_calc!$E$400)))</f>
        <v/>
      </c>
      <c r="F398" s="47">
        <f>IF(_calc!$E$400="","",TRIM(IF(LEN(IF(LEN(INDEX('Checks'!$I$4:$I$503,_calc!$E$400))=0,"",INDEX('Checks'!$I$4:$I$503,_calc!$E$400)))=0,"","Contractor: "&amp;IF(LEN(INDEX('Checks'!$I$4:$I$503,_calc!$E$400))=0,"",INDEX('Checks'!$I$4:$I$503,_calc!$E$400))&amp;". ")&amp;IF(LEN(IF(LEN(INDEX('Checks'!$J$4:$J$503,_calc!$E$400))=0,"",INDEX('Checks'!$J$4:$J$503,_calc!$E$400)))=0,"","Ref: "&amp;IF(LEN(INDEX('Checks'!$J$4:$J$503,_calc!$E$400))=0,"",INDEX('Checks'!$J$4:$J$503,_calc!$E$400))&amp;". ")&amp;IF(LEN(IF(ISNUMBER(INDEX('Checks'!$K$4:$K$503,_calc!$E$400)),TEXT(INDEX('Checks'!$K$4:$K$503,_calc!$E$400),"yyyy-mm-dd"),""))=0,"","Copy to tenant: "&amp;IF(ISNUMBER(INDEX('Checks'!$K$4:$K$503,_calc!$E$400)),TEXT(INDEX('Checks'!$K$4:$K$503,_calc!$E$400),"yyyy-mm-dd"),"")&amp;". ")&amp;IF(LEN(IF(LEN(INDEX('Checks'!$P$4:$P$503,_calc!$E$400))=0,"",INDEX('Checks'!$P$4:$P$503,_calc!$E$400)))=0,"",IF(LEN(INDEX('Checks'!$P$4:$P$503,_calc!$E$400))=0,"",INDEX('Checks'!$P$4:$P$503,_calc!$E$400)))))</f>
        <v/>
      </c>
      <c r="G398" s="47">
        <f>IF(_calc!$E$400="","",IF(LEN(INDEX('Checks'!$N$4:$N$503,_calc!$E$400))=0,"",INDEX('Checks'!$N$4:$N$503,_calc!$E$400)))</f>
        <v/>
      </c>
      <c r="K398" s="47">
        <f>IF(_calc!$E$400="","",IF(LEN(INDEX('Checks'!$M$4:$M$503,_calc!$E$400))=0,"",INDEX('Checks'!$M$4:$M$503,_calc!$E$400)))</f>
        <v/>
      </c>
    </row>
    <row r="399">
      <c r="A399" s="47">
        <f>IF(_calc!$E$401="","",IF(LEN(INDEX('Checks'!$B$4:$B$503,_calc!$E$401))=0,"",INDEX('Checks'!$B$4:$B$503,_calc!$E$401))&amp;" – "&amp;IF(LEN(INDEX('Checks'!$A$4:$A$503,_calc!$E$401))=0,"",INDEX('Checks'!$A$4:$A$503,_calc!$E$401)))</f>
        <v/>
      </c>
      <c r="B399" s="47">
        <f>IF(_calc!$E$401="","",IF(ISNUMBER(INDEX('Checks'!$D$4:$D$503,_calc!$E$401)),TEXT(INDEX('Checks'!$D$4:$D$503,_calc!$E$401),"yyyy-mm-dd"),""))</f>
        <v/>
      </c>
      <c r="C399" s="47">
        <f>IF(_calc!$E$401="","",IF(LEN(INDEX('Checks'!$B$4:$B$503,_calc!$E$401))=0,"",INDEX('Checks'!$B$4:$B$503,_calc!$E$401)))</f>
        <v/>
      </c>
      <c r="D399" s="47">
        <f>IF(_calc!$E$401="","",IF(ISNUMBER(INDEX('Checks'!$C$4:$C$503,_calc!$E$401)),TEXT(INDEX('Checks'!$C$4:$C$503,_calc!$E$401),"yyyy-mm-dd"),""))</f>
        <v/>
      </c>
      <c r="E399" s="47">
        <f>IF(_calc!$E$401="","",IF(LEN(INDEX('Checks'!$L$4:$L$503,_calc!$E$401))=0,"",INDEX('Checks'!$L$4:$L$503,_calc!$E$401)))</f>
        <v/>
      </c>
      <c r="F399" s="47">
        <f>IF(_calc!$E$401="","",TRIM(IF(LEN(IF(LEN(INDEX('Checks'!$I$4:$I$503,_calc!$E$401))=0,"",INDEX('Checks'!$I$4:$I$503,_calc!$E$401)))=0,"","Contractor: "&amp;IF(LEN(INDEX('Checks'!$I$4:$I$503,_calc!$E$401))=0,"",INDEX('Checks'!$I$4:$I$503,_calc!$E$401))&amp;". ")&amp;IF(LEN(IF(LEN(INDEX('Checks'!$J$4:$J$503,_calc!$E$401))=0,"",INDEX('Checks'!$J$4:$J$503,_calc!$E$401)))=0,"","Ref: "&amp;IF(LEN(INDEX('Checks'!$J$4:$J$503,_calc!$E$401))=0,"",INDEX('Checks'!$J$4:$J$503,_calc!$E$401))&amp;". ")&amp;IF(LEN(IF(ISNUMBER(INDEX('Checks'!$K$4:$K$503,_calc!$E$401)),TEXT(INDEX('Checks'!$K$4:$K$503,_calc!$E$401),"yyyy-mm-dd"),""))=0,"","Copy to tenant: "&amp;IF(ISNUMBER(INDEX('Checks'!$K$4:$K$503,_calc!$E$401)),TEXT(INDEX('Checks'!$K$4:$K$503,_calc!$E$401),"yyyy-mm-dd"),"")&amp;". ")&amp;IF(LEN(IF(LEN(INDEX('Checks'!$P$4:$P$503,_calc!$E$401))=0,"",INDEX('Checks'!$P$4:$P$503,_calc!$E$401)))=0,"",IF(LEN(INDEX('Checks'!$P$4:$P$503,_calc!$E$401))=0,"",INDEX('Checks'!$P$4:$P$503,_calc!$E$401)))))</f>
        <v/>
      </c>
      <c r="G399" s="47">
        <f>IF(_calc!$E$401="","",IF(LEN(INDEX('Checks'!$N$4:$N$503,_calc!$E$401))=0,"",INDEX('Checks'!$N$4:$N$503,_calc!$E$401)))</f>
        <v/>
      </c>
      <c r="K399" s="47">
        <f>IF(_calc!$E$401="","",IF(LEN(INDEX('Checks'!$M$4:$M$503,_calc!$E$401))=0,"",INDEX('Checks'!$M$4:$M$503,_calc!$E$401)))</f>
        <v/>
      </c>
    </row>
    <row r="400">
      <c r="A400" s="47">
        <f>IF(_calc!$E$402="","",IF(LEN(INDEX('Checks'!$B$4:$B$503,_calc!$E$402))=0,"",INDEX('Checks'!$B$4:$B$503,_calc!$E$402))&amp;" – "&amp;IF(LEN(INDEX('Checks'!$A$4:$A$503,_calc!$E$402))=0,"",INDEX('Checks'!$A$4:$A$503,_calc!$E$402)))</f>
        <v/>
      </c>
      <c r="B400" s="47">
        <f>IF(_calc!$E$402="","",IF(ISNUMBER(INDEX('Checks'!$D$4:$D$503,_calc!$E$402)),TEXT(INDEX('Checks'!$D$4:$D$503,_calc!$E$402),"yyyy-mm-dd"),""))</f>
        <v/>
      </c>
      <c r="C400" s="47">
        <f>IF(_calc!$E$402="","",IF(LEN(INDEX('Checks'!$B$4:$B$503,_calc!$E$402))=0,"",INDEX('Checks'!$B$4:$B$503,_calc!$E$402)))</f>
        <v/>
      </c>
      <c r="D400" s="47">
        <f>IF(_calc!$E$402="","",IF(ISNUMBER(INDEX('Checks'!$C$4:$C$503,_calc!$E$402)),TEXT(INDEX('Checks'!$C$4:$C$503,_calc!$E$402),"yyyy-mm-dd"),""))</f>
        <v/>
      </c>
      <c r="E400" s="47">
        <f>IF(_calc!$E$402="","",IF(LEN(INDEX('Checks'!$L$4:$L$503,_calc!$E$402))=0,"",INDEX('Checks'!$L$4:$L$503,_calc!$E$402)))</f>
        <v/>
      </c>
      <c r="F400" s="47">
        <f>IF(_calc!$E$402="","",TRIM(IF(LEN(IF(LEN(INDEX('Checks'!$I$4:$I$503,_calc!$E$402))=0,"",INDEX('Checks'!$I$4:$I$503,_calc!$E$402)))=0,"","Contractor: "&amp;IF(LEN(INDEX('Checks'!$I$4:$I$503,_calc!$E$402))=0,"",INDEX('Checks'!$I$4:$I$503,_calc!$E$402))&amp;". ")&amp;IF(LEN(IF(LEN(INDEX('Checks'!$J$4:$J$503,_calc!$E$402))=0,"",INDEX('Checks'!$J$4:$J$503,_calc!$E$402)))=0,"","Ref: "&amp;IF(LEN(INDEX('Checks'!$J$4:$J$503,_calc!$E$402))=0,"",INDEX('Checks'!$J$4:$J$503,_calc!$E$402))&amp;". ")&amp;IF(LEN(IF(ISNUMBER(INDEX('Checks'!$K$4:$K$503,_calc!$E$402)),TEXT(INDEX('Checks'!$K$4:$K$503,_calc!$E$402),"yyyy-mm-dd"),""))=0,"","Copy to tenant: "&amp;IF(ISNUMBER(INDEX('Checks'!$K$4:$K$503,_calc!$E$402)),TEXT(INDEX('Checks'!$K$4:$K$503,_calc!$E$402),"yyyy-mm-dd"),"")&amp;". ")&amp;IF(LEN(IF(LEN(INDEX('Checks'!$P$4:$P$503,_calc!$E$402))=0,"",INDEX('Checks'!$P$4:$P$503,_calc!$E$402)))=0,"",IF(LEN(INDEX('Checks'!$P$4:$P$503,_calc!$E$402))=0,"",INDEX('Checks'!$P$4:$P$503,_calc!$E$402)))))</f>
        <v/>
      </c>
      <c r="G400" s="47">
        <f>IF(_calc!$E$402="","",IF(LEN(INDEX('Checks'!$N$4:$N$503,_calc!$E$402))=0,"",INDEX('Checks'!$N$4:$N$503,_calc!$E$402)))</f>
        <v/>
      </c>
      <c r="K400" s="47">
        <f>IF(_calc!$E$402="","",IF(LEN(INDEX('Checks'!$M$4:$M$503,_calc!$E$402))=0,"",INDEX('Checks'!$M$4:$M$503,_calc!$E$402)))</f>
        <v/>
      </c>
    </row>
    <row r="401">
      <c r="A401" s="47">
        <f>IF(_calc!$E$403="","",IF(LEN(INDEX('Checks'!$B$4:$B$503,_calc!$E$403))=0,"",INDEX('Checks'!$B$4:$B$503,_calc!$E$403))&amp;" – "&amp;IF(LEN(INDEX('Checks'!$A$4:$A$503,_calc!$E$403))=0,"",INDEX('Checks'!$A$4:$A$503,_calc!$E$403)))</f>
        <v/>
      </c>
      <c r="B401" s="47">
        <f>IF(_calc!$E$403="","",IF(ISNUMBER(INDEX('Checks'!$D$4:$D$503,_calc!$E$403)),TEXT(INDEX('Checks'!$D$4:$D$503,_calc!$E$403),"yyyy-mm-dd"),""))</f>
        <v/>
      </c>
      <c r="C401" s="47">
        <f>IF(_calc!$E$403="","",IF(LEN(INDEX('Checks'!$B$4:$B$503,_calc!$E$403))=0,"",INDEX('Checks'!$B$4:$B$503,_calc!$E$403)))</f>
        <v/>
      </c>
      <c r="D401" s="47">
        <f>IF(_calc!$E$403="","",IF(ISNUMBER(INDEX('Checks'!$C$4:$C$503,_calc!$E$403)),TEXT(INDEX('Checks'!$C$4:$C$503,_calc!$E$403),"yyyy-mm-dd"),""))</f>
        <v/>
      </c>
      <c r="E401" s="47">
        <f>IF(_calc!$E$403="","",IF(LEN(INDEX('Checks'!$L$4:$L$503,_calc!$E$403))=0,"",INDEX('Checks'!$L$4:$L$503,_calc!$E$403)))</f>
        <v/>
      </c>
      <c r="F401" s="47">
        <f>IF(_calc!$E$403="","",TRIM(IF(LEN(IF(LEN(INDEX('Checks'!$I$4:$I$503,_calc!$E$403))=0,"",INDEX('Checks'!$I$4:$I$503,_calc!$E$403)))=0,"","Contractor: "&amp;IF(LEN(INDEX('Checks'!$I$4:$I$503,_calc!$E$403))=0,"",INDEX('Checks'!$I$4:$I$503,_calc!$E$403))&amp;". ")&amp;IF(LEN(IF(LEN(INDEX('Checks'!$J$4:$J$503,_calc!$E$403))=0,"",INDEX('Checks'!$J$4:$J$503,_calc!$E$403)))=0,"","Ref: "&amp;IF(LEN(INDEX('Checks'!$J$4:$J$503,_calc!$E$403))=0,"",INDEX('Checks'!$J$4:$J$503,_calc!$E$403))&amp;". ")&amp;IF(LEN(IF(ISNUMBER(INDEX('Checks'!$K$4:$K$503,_calc!$E$403)),TEXT(INDEX('Checks'!$K$4:$K$503,_calc!$E$403),"yyyy-mm-dd"),""))=0,"","Copy to tenant: "&amp;IF(ISNUMBER(INDEX('Checks'!$K$4:$K$503,_calc!$E$403)),TEXT(INDEX('Checks'!$K$4:$K$503,_calc!$E$403),"yyyy-mm-dd"),"")&amp;". ")&amp;IF(LEN(IF(LEN(INDEX('Checks'!$P$4:$P$503,_calc!$E$403))=0,"",INDEX('Checks'!$P$4:$P$503,_calc!$E$403)))=0,"",IF(LEN(INDEX('Checks'!$P$4:$P$503,_calc!$E$403))=0,"",INDEX('Checks'!$P$4:$P$503,_calc!$E$403)))))</f>
        <v/>
      </c>
      <c r="G401" s="47">
        <f>IF(_calc!$E$403="","",IF(LEN(INDEX('Checks'!$N$4:$N$503,_calc!$E$403))=0,"",INDEX('Checks'!$N$4:$N$503,_calc!$E$403)))</f>
        <v/>
      </c>
      <c r="K401" s="47">
        <f>IF(_calc!$E$403="","",IF(LEN(INDEX('Checks'!$M$4:$M$503,_calc!$E$403))=0,"",INDEX('Checks'!$M$4:$M$503,_calc!$E$403)))</f>
        <v/>
      </c>
    </row>
    <row r="402">
      <c r="A402" s="47">
        <f>IF(_calc!$E$404="","",IF(LEN(INDEX('Checks'!$B$4:$B$503,_calc!$E$404))=0,"",INDEX('Checks'!$B$4:$B$503,_calc!$E$404))&amp;" – "&amp;IF(LEN(INDEX('Checks'!$A$4:$A$503,_calc!$E$404))=0,"",INDEX('Checks'!$A$4:$A$503,_calc!$E$404)))</f>
        <v/>
      </c>
      <c r="B402" s="47">
        <f>IF(_calc!$E$404="","",IF(ISNUMBER(INDEX('Checks'!$D$4:$D$503,_calc!$E$404)),TEXT(INDEX('Checks'!$D$4:$D$503,_calc!$E$404),"yyyy-mm-dd"),""))</f>
        <v/>
      </c>
      <c r="C402" s="47">
        <f>IF(_calc!$E$404="","",IF(LEN(INDEX('Checks'!$B$4:$B$503,_calc!$E$404))=0,"",INDEX('Checks'!$B$4:$B$503,_calc!$E$404)))</f>
        <v/>
      </c>
      <c r="D402" s="47">
        <f>IF(_calc!$E$404="","",IF(ISNUMBER(INDEX('Checks'!$C$4:$C$503,_calc!$E$404)),TEXT(INDEX('Checks'!$C$4:$C$503,_calc!$E$404),"yyyy-mm-dd"),""))</f>
        <v/>
      </c>
      <c r="E402" s="47">
        <f>IF(_calc!$E$404="","",IF(LEN(INDEX('Checks'!$L$4:$L$503,_calc!$E$404))=0,"",INDEX('Checks'!$L$4:$L$503,_calc!$E$404)))</f>
        <v/>
      </c>
      <c r="F402" s="47">
        <f>IF(_calc!$E$404="","",TRIM(IF(LEN(IF(LEN(INDEX('Checks'!$I$4:$I$503,_calc!$E$404))=0,"",INDEX('Checks'!$I$4:$I$503,_calc!$E$404)))=0,"","Contractor: "&amp;IF(LEN(INDEX('Checks'!$I$4:$I$503,_calc!$E$404))=0,"",INDEX('Checks'!$I$4:$I$503,_calc!$E$404))&amp;". ")&amp;IF(LEN(IF(LEN(INDEX('Checks'!$J$4:$J$503,_calc!$E$404))=0,"",INDEX('Checks'!$J$4:$J$503,_calc!$E$404)))=0,"","Ref: "&amp;IF(LEN(INDEX('Checks'!$J$4:$J$503,_calc!$E$404))=0,"",INDEX('Checks'!$J$4:$J$503,_calc!$E$404))&amp;". ")&amp;IF(LEN(IF(ISNUMBER(INDEX('Checks'!$K$4:$K$503,_calc!$E$404)),TEXT(INDEX('Checks'!$K$4:$K$503,_calc!$E$404),"yyyy-mm-dd"),""))=0,"","Copy to tenant: "&amp;IF(ISNUMBER(INDEX('Checks'!$K$4:$K$503,_calc!$E$404)),TEXT(INDEX('Checks'!$K$4:$K$503,_calc!$E$404),"yyyy-mm-dd"),"")&amp;". ")&amp;IF(LEN(IF(LEN(INDEX('Checks'!$P$4:$P$503,_calc!$E$404))=0,"",INDEX('Checks'!$P$4:$P$503,_calc!$E$404)))=0,"",IF(LEN(INDEX('Checks'!$P$4:$P$503,_calc!$E$404))=0,"",INDEX('Checks'!$P$4:$P$503,_calc!$E$404)))))</f>
        <v/>
      </c>
      <c r="G402" s="47">
        <f>IF(_calc!$E$404="","",IF(LEN(INDEX('Checks'!$N$4:$N$503,_calc!$E$404))=0,"",INDEX('Checks'!$N$4:$N$503,_calc!$E$404)))</f>
        <v/>
      </c>
      <c r="K402" s="47">
        <f>IF(_calc!$E$404="","",IF(LEN(INDEX('Checks'!$M$4:$M$503,_calc!$E$404))=0,"",INDEX('Checks'!$M$4:$M$503,_calc!$E$404)))</f>
        <v/>
      </c>
    </row>
    <row r="403">
      <c r="A403" s="47">
        <f>IF(_calc!$E$405="","",IF(LEN(INDEX('Checks'!$B$4:$B$503,_calc!$E$405))=0,"",INDEX('Checks'!$B$4:$B$503,_calc!$E$405))&amp;" – "&amp;IF(LEN(INDEX('Checks'!$A$4:$A$503,_calc!$E$405))=0,"",INDEX('Checks'!$A$4:$A$503,_calc!$E$405)))</f>
        <v/>
      </c>
      <c r="B403" s="47">
        <f>IF(_calc!$E$405="","",IF(ISNUMBER(INDEX('Checks'!$D$4:$D$503,_calc!$E$405)),TEXT(INDEX('Checks'!$D$4:$D$503,_calc!$E$405),"yyyy-mm-dd"),""))</f>
        <v/>
      </c>
      <c r="C403" s="47">
        <f>IF(_calc!$E$405="","",IF(LEN(INDEX('Checks'!$B$4:$B$503,_calc!$E$405))=0,"",INDEX('Checks'!$B$4:$B$503,_calc!$E$405)))</f>
        <v/>
      </c>
      <c r="D403" s="47">
        <f>IF(_calc!$E$405="","",IF(ISNUMBER(INDEX('Checks'!$C$4:$C$503,_calc!$E$405)),TEXT(INDEX('Checks'!$C$4:$C$503,_calc!$E$405),"yyyy-mm-dd"),""))</f>
        <v/>
      </c>
      <c r="E403" s="47">
        <f>IF(_calc!$E$405="","",IF(LEN(INDEX('Checks'!$L$4:$L$503,_calc!$E$405))=0,"",INDEX('Checks'!$L$4:$L$503,_calc!$E$405)))</f>
        <v/>
      </c>
      <c r="F403" s="47">
        <f>IF(_calc!$E$405="","",TRIM(IF(LEN(IF(LEN(INDEX('Checks'!$I$4:$I$503,_calc!$E$405))=0,"",INDEX('Checks'!$I$4:$I$503,_calc!$E$405)))=0,"","Contractor: "&amp;IF(LEN(INDEX('Checks'!$I$4:$I$503,_calc!$E$405))=0,"",INDEX('Checks'!$I$4:$I$503,_calc!$E$405))&amp;". ")&amp;IF(LEN(IF(LEN(INDEX('Checks'!$J$4:$J$503,_calc!$E$405))=0,"",INDEX('Checks'!$J$4:$J$503,_calc!$E$405)))=0,"","Ref: "&amp;IF(LEN(INDEX('Checks'!$J$4:$J$503,_calc!$E$405))=0,"",INDEX('Checks'!$J$4:$J$503,_calc!$E$405))&amp;". ")&amp;IF(LEN(IF(ISNUMBER(INDEX('Checks'!$K$4:$K$503,_calc!$E$405)),TEXT(INDEX('Checks'!$K$4:$K$503,_calc!$E$405),"yyyy-mm-dd"),""))=0,"","Copy to tenant: "&amp;IF(ISNUMBER(INDEX('Checks'!$K$4:$K$503,_calc!$E$405)),TEXT(INDEX('Checks'!$K$4:$K$503,_calc!$E$405),"yyyy-mm-dd"),"")&amp;". ")&amp;IF(LEN(IF(LEN(INDEX('Checks'!$P$4:$P$503,_calc!$E$405))=0,"",INDEX('Checks'!$P$4:$P$503,_calc!$E$405)))=0,"",IF(LEN(INDEX('Checks'!$P$4:$P$503,_calc!$E$405))=0,"",INDEX('Checks'!$P$4:$P$503,_calc!$E$405)))))</f>
        <v/>
      </c>
      <c r="G403" s="47">
        <f>IF(_calc!$E$405="","",IF(LEN(INDEX('Checks'!$N$4:$N$503,_calc!$E$405))=0,"",INDEX('Checks'!$N$4:$N$503,_calc!$E$405)))</f>
        <v/>
      </c>
      <c r="K403" s="47">
        <f>IF(_calc!$E$405="","",IF(LEN(INDEX('Checks'!$M$4:$M$503,_calc!$E$405))=0,"",INDEX('Checks'!$M$4:$M$503,_calc!$E$405)))</f>
        <v/>
      </c>
    </row>
    <row r="404">
      <c r="A404" s="47">
        <f>IF(_calc!$E$406="","",IF(LEN(INDEX('Checks'!$B$4:$B$503,_calc!$E$406))=0,"",INDEX('Checks'!$B$4:$B$503,_calc!$E$406))&amp;" – "&amp;IF(LEN(INDEX('Checks'!$A$4:$A$503,_calc!$E$406))=0,"",INDEX('Checks'!$A$4:$A$503,_calc!$E$406)))</f>
        <v/>
      </c>
      <c r="B404" s="47">
        <f>IF(_calc!$E$406="","",IF(ISNUMBER(INDEX('Checks'!$D$4:$D$503,_calc!$E$406)),TEXT(INDEX('Checks'!$D$4:$D$503,_calc!$E$406),"yyyy-mm-dd"),""))</f>
        <v/>
      </c>
      <c r="C404" s="47">
        <f>IF(_calc!$E$406="","",IF(LEN(INDEX('Checks'!$B$4:$B$503,_calc!$E$406))=0,"",INDEX('Checks'!$B$4:$B$503,_calc!$E$406)))</f>
        <v/>
      </c>
      <c r="D404" s="47">
        <f>IF(_calc!$E$406="","",IF(ISNUMBER(INDEX('Checks'!$C$4:$C$503,_calc!$E$406)),TEXT(INDEX('Checks'!$C$4:$C$503,_calc!$E$406),"yyyy-mm-dd"),""))</f>
        <v/>
      </c>
      <c r="E404" s="47">
        <f>IF(_calc!$E$406="","",IF(LEN(INDEX('Checks'!$L$4:$L$503,_calc!$E$406))=0,"",INDEX('Checks'!$L$4:$L$503,_calc!$E$406)))</f>
        <v/>
      </c>
      <c r="F404" s="47">
        <f>IF(_calc!$E$406="","",TRIM(IF(LEN(IF(LEN(INDEX('Checks'!$I$4:$I$503,_calc!$E$406))=0,"",INDEX('Checks'!$I$4:$I$503,_calc!$E$406)))=0,"","Contractor: "&amp;IF(LEN(INDEX('Checks'!$I$4:$I$503,_calc!$E$406))=0,"",INDEX('Checks'!$I$4:$I$503,_calc!$E$406))&amp;". ")&amp;IF(LEN(IF(LEN(INDEX('Checks'!$J$4:$J$503,_calc!$E$406))=0,"",INDEX('Checks'!$J$4:$J$503,_calc!$E$406)))=0,"","Ref: "&amp;IF(LEN(INDEX('Checks'!$J$4:$J$503,_calc!$E$406))=0,"",INDEX('Checks'!$J$4:$J$503,_calc!$E$406))&amp;". ")&amp;IF(LEN(IF(ISNUMBER(INDEX('Checks'!$K$4:$K$503,_calc!$E$406)),TEXT(INDEX('Checks'!$K$4:$K$503,_calc!$E$406),"yyyy-mm-dd"),""))=0,"","Copy to tenant: "&amp;IF(ISNUMBER(INDEX('Checks'!$K$4:$K$503,_calc!$E$406)),TEXT(INDEX('Checks'!$K$4:$K$503,_calc!$E$406),"yyyy-mm-dd"),"")&amp;". ")&amp;IF(LEN(IF(LEN(INDEX('Checks'!$P$4:$P$503,_calc!$E$406))=0,"",INDEX('Checks'!$P$4:$P$503,_calc!$E$406)))=0,"",IF(LEN(INDEX('Checks'!$P$4:$P$503,_calc!$E$406))=0,"",INDEX('Checks'!$P$4:$P$503,_calc!$E$406)))))</f>
        <v/>
      </c>
      <c r="G404" s="47">
        <f>IF(_calc!$E$406="","",IF(LEN(INDEX('Checks'!$N$4:$N$503,_calc!$E$406))=0,"",INDEX('Checks'!$N$4:$N$503,_calc!$E$406)))</f>
        <v/>
      </c>
      <c r="K404" s="47">
        <f>IF(_calc!$E$406="","",IF(LEN(INDEX('Checks'!$M$4:$M$503,_calc!$E$406))=0,"",INDEX('Checks'!$M$4:$M$503,_calc!$E$406)))</f>
        <v/>
      </c>
    </row>
    <row r="405">
      <c r="A405" s="47">
        <f>IF(_calc!$E$407="","",IF(LEN(INDEX('Checks'!$B$4:$B$503,_calc!$E$407))=0,"",INDEX('Checks'!$B$4:$B$503,_calc!$E$407))&amp;" – "&amp;IF(LEN(INDEX('Checks'!$A$4:$A$503,_calc!$E$407))=0,"",INDEX('Checks'!$A$4:$A$503,_calc!$E$407)))</f>
        <v/>
      </c>
      <c r="B405" s="47">
        <f>IF(_calc!$E$407="","",IF(ISNUMBER(INDEX('Checks'!$D$4:$D$503,_calc!$E$407)),TEXT(INDEX('Checks'!$D$4:$D$503,_calc!$E$407),"yyyy-mm-dd"),""))</f>
        <v/>
      </c>
      <c r="C405" s="47">
        <f>IF(_calc!$E$407="","",IF(LEN(INDEX('Checks'!$B$4:$B$503,_calc!$E$407))=0,"",INDEX('Checks'!$B$4:$B$503,_calc!$E$407)))</f>
        <v/>
      </c>
      <c r="D405" s="47">
        <f>IF(_calc!$E$407="","",IF(ISNUMBER(INDEX('Checks'!$C$4:$C$503,_calc!$E$407)),TEXT(INDEX('Checks'!$C$4:$C$503,_calc!$E$407),"yyyy-mm-dd"),""))</f>
        <v/>
      </c>
      <c r="E405" s="47">
        <f>IF(_calc!$E$407="","",IF(LEN(INDEX('Checks'!$L$4:$L$503,_calc!$E$407))=0,"",INDEX('Checks'!$L$4:$L$503,_calc!$E$407)))</f>
        <v/>
      </c>
      <c r="F405" s="47">
        <f>IF(_calc!$E$407="","",TRIM(IF(LEN(IF(LEN(INDEX('Checks'!$I$4:$I$503,_calc!$E$407))=0,"",INDEX('Checks'!$I$4:$I$503,_calc!$E$407)))=0,"","Contractor: "&amp;IF(LEN(INDEX('Checks'!$I$4:$I$503,_calc!$E$407))=0,"",INDEX('Checks'!$I$4:$I$503,_calc!$E$407))&amp;". ")&amp;IF(LEN(IF(LEN(INDEX('Checks'!$J$4:$J$503,_calc!$E$407))=0,"",INDEX('Checks'!$J$4:$J$503,_calc!$E$407)))=0,"","Ref: "&amp;IF(LEN(INDEX('Checks'!$J$4:$J$503,_calc!$E$407))=0,"",INDEX('Checks'!$J$4:$J$503,_calc!$E$407))&amp;". ")&amp;IF(LEN(IF(ISNUMBER(INDEX('Checks'!$K$4:$K$503,_calc!$E$407)),TEXT(INDEX('Checks'!$K$4:$K$503,_calc!$E$407),"yyyy-mm-dd"),""))=0,"","Copy to tenant: "&amp;IF(ISNUMBER(INDEX('Checks'!$K$4:$K$503,_calc!$E$407)),TEXT(INDEX('Checks'!$K$4:$K$503,_calc!$E$407),"yyyy-mm-dd"),"")&amp;". ")&amp;IF(LEN(IF(LEN(INDEX('Checks'!$P$4:$P$503,_calc!$E$407))=0,"",INDEX('Checks'!$P$4:$P$503,_calc!$E$407)))=0,"",IF(LEN(INDEX('Checks'!$P$4:$P$503,_calc!$E$407))=0,"",INDEX('Checks'!$P$4:$P$503,_calc!$E$407)))))</f>
        <v/>
      </c>
      <c r="G405" s="47">
        <f>IF(_calc!$E$407="","",IF(LEN(INDEX('Checks'!$N$4:$N$503,_calc!$E$407))=0,"",INDEX('Checks'!$N$4:$N$503,_calc!$E$407)))</f>
        <v/>
      </c>
      <c r="K405" s="47">
        <f>IF(_calc!$E$407="","",IF(LEN(INDEX('Checks'!$M$4:$M$503,_calc!$E$407))=0,"",INDEX('Checks'!$M$4:$M$503,_calc!$E$407)))</f>
        <v/>
      </c>
    </row>
    <row r="406">
      <c r="A406" s="47">
        <f>IF(_calc!$E$408="","",IF(LEN(INDEX('Checks'!$B$4:$B$503,_calc!$E$408))=0,"",INDEX('Checks'!$B$4:$B$503,_calc!$E$408))&amp;" – "&amp;IF(LEN(INDEX('Checks'!$A$4:$A$503,_calc!$E$408))=0,"",INDEX('Checks'!$A$4:$A$503,_calc!$E$408)))</f>
        <v/>
      </c>
      <c r="B406" s="47">
        <f>IF(_calc!$E$408="","",IF(ISNUMBER(INDEX('Checks'!$D$4:$D$503,_calc!$E$408)),TEXT(INDEX('Checks'!$D$4:$D$503,_calc!$E$408),"yyyy-mm-dd"),""))</f>
        <v/>
      </c>
      <c r="C406" s="47">
        <f>IF(_calc!$E$408="","",IF(LEN(INDEX('Checks'!$B$4:$B$503,_calc!$E$408))=0,"",INDEX('Checks'!$B$4:$B$503,_calc!$E$408)))</f>
        <v/>
      </c>
      <c r="D406" s="47">
        <f>IF(_calc!$E$408="","",IF(ISNUMBER(INDEX('Checks'!$C$4:$C$503,_calc!$E$408)),TEXT(INDEX('Checks'!$C$4:$C$503,_calc!$E$408),"yyyy-mm-dd"),""))</f>
        <v/>
      </c>
      <c r="E406" s="47">
        <f>IF(_calc!$E$408="","",IF(LEN(INDEX('Checks'!$L$4:$L$503,_calc!$E$408))=0,"",INDEX('Checks'!$L$4:$L$503,_calc!$E$408)))</f>
        <v/>
      </c>
      <c r="F406" s="47">
        <f>IF(_calc!$E$408="","",TRIM(IF(LEN(IF(LEN(INDEX('Checks'!$I$4:$I$503,_calc!$E$408))=0,"",INDEX('Checks'!$I$4:$I$503,_calc!$E$408)))=0,"","Contractor: "&amp;IF(LEN(INDEX('Checks'!$I$4:$I$503,_calc!$E$408))=0,"",INDEX('Checks'!$I$4:$I$503,_calc!$E$408))&amp;". ")&amp;IF(LEN(IF(LEN(INDEX('Checks'!$J$4:$J$503,_calc!$E$408))=0,"",INDEX('Checks'!$J$4:$J$503,_calc!$E$408)))=0,"","Ref: "&amp;IF(LEN(INDEX('Checks'!$J$4:$J$503,_calc!$E$408))=0,"",INDEX('Checks'!$J$4:$J$503,_calc!$E$408))&amp;". ")&amp;IF(LEN(IF(ISNUMBER(INDEX('Checks'!$K$4:$K$503,_calc!$E$408)),TEXT(INDEX('Checks'!$K$4:$K$503,_calc!$E$408),"yyyy-mm-dd"),""))=0,"","Copy to tenant: "&amp;IF(ISNUMBER(INDEX('Checks'!$K$4:$K$503,_calc!$E$408)),TEXT(INDEX('Checks'!$K$4:$K$503,_calc!$E$408),"yyyy-mm-dd"),"")&amp;". ")&amp;IF(LEN(IF(LEN(INDEX('Checks'!$P$4:$P$503,_calc!$E$408))=0,"",INDEX('Checks'!$P$4:$P$503,_calc!$E$408)))=0,"",IF(LEN(INDEX('Checks'!$P$4:$P$503,_calc!$E$408))=0,"",INDEX('Checks'!$P$4:$P$503,_calc!$E$408)))))</f>
        <v/>
      </c>
      <c r="G406" s="47">
        <f>IF(_calc!$E$408="","",IF(LEN(INDEX('Checks'!$N$4:$N$503,_calc!$E$408))=0,"",INDEX('Checks'!$N$4:$N$503,_calc!$E$408)))</f>
        <v/>
      </c>
      <c r="K406" s="47">
        <f>IF(_calc!$E$408="","",IF(LEN(INDEX('Checks'!$M$4:$M$503,_calc!$E$408))=0,"",INDEX('Checks'!$M$4:$M$503,_calc!$E$408)))</f>
        <v/>
      </c>
    </row>
    <row r="407">
      <c r="A407" s="47">
        <f>IF(_calc!$E$409="","",IF(LEN(INDEX('Checks'!$B$4:$B$503,_calc!$E$409))=0,"",INDEX('Checks'!$B$4:$B$503,_calc!$E$409))&amp;" – "&amp;IF(LEN(INDEX('Checks'!$A$4:$A$503,_calc!$E$409))=0,"",INDEX('Checks'!$A$4:$A$503,_calc!$E$409)))</f>
        <v/>
      </c>
      <c r="B407" s="47">
        <f>IF(_calc!$E$409="","",IF(ISNUMBER(INDEX('Checks'!$D$4:$D$503,_calc!$E$409)),TEXT(INDEX('Checks'!$D$4:$D$503,_calc!$E$409),"yyyy-mm-dd"),""))</f>
        <v/>
      </c>
      <c r="C407" s="47">
        <f>IF(_calc!$E$409="","",IF(LEN(INDEX('Checks'!$B$4:$B$503,_calc!$E$409))=0,"",INDEX('Checks'!$B$4:$B$503,_calc!$E$409)))</f>
        <v/>
      </c>
      <c r="D407" s="47">
        <f>IF(_calc!$E$409="","",IF(ISNUMBER(INDEX('Checks'!$C$4:$C$503,_calc!$E$409)),TEXT(INDEX('Checks'!$C$4:$C$503,_calc!$E$409),"yyyy-mm-dd"),""))</f>
        <v/>
      </c>
      <c r="E407" s="47">
        <f>IF(_calc!$E$409="","",IF(LEN(INDEX('Checks'!$L$4:$L$503,_calc!$E$409))=0,"",INDEX('Checks'!$L$4:$L$503,_calc!$E$409)))</f>
        <v/>
      </c>
      <c r="F407" s="47">
        <f>IF(_calc!$E$409="","",TRIM(IF(LEN(IF(LEN(INDEX('Checks'!$I$4:$I$503,_calc!$E$409))=0,"",INDEX('Checks'!$I$4:$I$503,_calc!$E$409)))=0,"","Contractor: "&amp;IF(LEN(INDEX('Checks'!$I$4:$I$503,_calc!$E$409))=0,"",INDEX('Checks'!$I$4:$I$503,_calc!$E$409))&amp;". ")&amp;IF(LEN(IF(LEN(INDEX('Checks'!$J$4:$J$503,_calc!$E$409))=0,"",INDEX('Checks'!$J$4:$J$503,_calc!$E$409)))=0,"","Ref: "&amp;IF(LEN(INDEX('Checks'!$J$4:$J$503,_calc!$E$409))=0,"",INDEX('Checks'!$J$4:$J$503,_calc!$E$409))&amp;". ")&amp;IF(LEN(IF(ISNUMBER(INDEX('Checks'!$K$4:$K$503,_calc!$E$409)),TEXT(INDEX('Checks'!$K$4:$K$503,_calc!$E$409),"yyyy-mm-dd"),""))=0,"","Copy to tenant: "&amp;IF(ISNUMBER(INDEX('Checks'!$K$4:$K$503,_calc!$E$409)),TEXT(INDEX('Checks'!$K$4:$K$503,_calc!$E$409),"yyyy-mm-dd"),"")&amp;". ")&amp;IF(LEN(IF(LEN(INDEX('Checks'!$P$4:$P$503,_calc!$E$409))=0,"",INDEX('Checks'!$P$4:$P$503,_calc!$E$409)))=0,"",IF(LEN(INDEX('Checks'!$P$4:$P$503,_calc!$E$409))=0,"",INDEX('Checks'!$P$4:$P$503,_calc!$E$409)))))</f>
        <v/>
      </c>
      <c r="G407" s="47">
        <f>IF(_calc!$E$409="","",IF(LEN(INDEX('Checks'!$N$4:$N$503,_calc!$E$409))=0,"",INDEX('Checks'!$N$4:$N$503,_calc!$E$409)))</f>
        <v/>
      </c>
      <c r="K407" s="47">
        <f>IF(_calc!$E$409="","",IF(LEN(INDEX('Checks'!$M$4:$M$503,_calc!$E$409))=0,"",INDEX('Checks'!$M$4:$M$503,_calc!$E$409)))</f>
        <v/>
      </c>
    </row>
    <row r="408">
      <c r="A408" s="47">
        <f>IF(_calc!$E$410="","",IF(LEN(INDEX('Checks'!$B$4:$B$503,_calc!$E$410))=0,"",INDEX('Checks'!$B$4:$B$503,_calc!$E$410))&amp;" – "&amp;IF(LEN(INDEX('Checks'!$A$4:$A$503,_calc!$E$410))=0,"",INDEX('Checks'!$A$4:$A$503,_calc!$E$410)))</f>
        <v/>
      </c>
      <c r="B408" s="47">
        <f>IF(_calc!$E$410="","",IF(ISNUMBER(INDEX('Checks'!$D$4:$D$503,_calc!$E$410)),TEXT(INDEX('Checks'!$D$4:$D$503,_calc!$E$410),"yyyy-mm-dd"),""))</f>
        <v/>
      </c>
      <c r="C408" s="47">
        <f>IF(_calc!$E$410="","",IF(LEN(INDEX('Checks'!$B$4:$B$503,_calc!$E$410))=0,"",INDEX('Checks'!$B$4:$B$503,_calc!$E$410)))</f>
        <v/>
      </c>
      <c r="D408" s="47">
        <f>IF(_calc!$E$410="","",IF(ISNUMBER(INDEX('Checks'!$C$4:$C$503,_calc!$E$410)),TEXT(INDEX('Checks'!$C$4:$C$503,_calc!$E$410),"yyyy-mm-dd"),""))</f>
        <v/>
      </c>
      <c r="E408" s="47">
        <f>IF(_calc!$E$410="","",IF(LEN(INDEX('Checks'!$L$4:$L$503,_calc!$E$410))=0,"",INDEX('Checks'!$L$4:$L$503,_calc!$E$410)))</f>
        <v/>
      </c>
      <c r="F408" s="47">
        <f>IF(_calc!$E$410="","",TRIM(IF(LEN(IF(LEN(INDEX('Checks'!$I$4:$I$503,_calc!$E$410))=0,"",INDEX('Checks'!$I$4:$I$503,_calc!$E$410)))=0,"","Contractor: "&amp;IF(LEN(INDEX('Checks'!$I$4:$I$503,_calc!$E$410))=0,"",INDEX('Checks'!$I$4:$I$503,_calc!$E$410))&amp;". ")&amp;IF(LEN(IF(LEN(INDEX('Checks'!$J$4:$J$503,_calc!$E$410))=0,"",INDEX('Checks'!$J$4:$J$503,_calc!$E$410)))=0,"","Ref: "&amp;IF(LEN(INDEX('Checks'!$J$4:$J$503,_calc!$E$410))=0,"",INDEX('Checks'!$J$4:$J$503,_calc!$E$410))&amp;". ")&amp;IF(LEN(IF(ISNUMBER(INDEX('Checks'!$K$4:$K$503,_calc!$E$410)),TEXT(INDEX('Checks'!$K$4:$K$503,_calc!$E$410),"yyyy-mm-dd"),""))=0,"","Copy to tenant: "&amp;IF(ISNUMBER(INDEX('Checks'!$K$4:$K$503,_calc!$E$410)),TEXT(INDEX('Checks'!$K$4:$K$503,_calc!$E$410),"yyyy-mm-dd"),"")&amp;". ")&amp;IF(LEN(IF(LEN(INDEX('Checks'!$P$4:$P$503,_calc!$E$410))=0,"",INDEX('Checks'!$P$4:$P$503,_calc!$E$410)))=0,"",IF(LEN(INDEX('Checks'!$P$4:$P$503,_calc!$E$410))=0,"",INDEX('Checks'!$P$4:$P$503,_calc!$E$410)))))</f>
        <v/>
      </c>
      <c r="G408" s="47">
        <f>IF(_calc!$E$410="","",IF(LEN(INDEX('Checks'!$N$4:$N$503,_calc!$E$410))=0,"",INDEX('Checks'!$N$4:$N$503,_calc!$E$410)))</f>
        <v/>
      </c>
      <c r="K408" s="47">
        <f>IF(_calc!$E$410="","",IF(LEN(INDEX('Checks'!$M$4:$M$503,_calc!$E$410))=0,"",INDEX('Checks'!$M$4:$M$503,_calc!$E$410)))</f>
        <v/>
      </c>
    </row>
    <row r="409">
      <c r="A409" s="47">
        <f>IF(_calc!$E$411="","",IF(LEN(INDEX('Checks'!$B$4:$B$503,_calc!$E$411))=0,"",INDEX('Checks'!$B$4:$B$503,_calc!$E$411))&amp;" – "&amp;IF(LEN(INDEX('Checks'!$A$4:$A$503,_calc!$E$411))=0,"",INDEX('Checks'!$A$4:$A$503,_calc!$E$411)))</f>
        <v/>
      </c>
      <c r="B409" s="47">
        <f>IF(_calc!$E$411="","",IF(ISNUMBER(INDEX('Checks'!$D$4:$D$503,_calc!$E$411)),TEXT(INDEX('Checks'!$D$4:$D$503,_calc!$E$411),"yyyy-mm-dd"),""))</f>
        <v/>
      </c>
      <c r="C409" s="47">
        <f>IF(_calc!$E$411="","",IF(LEN(INDEX('Checks'!$B$4:$B$503,_calc!$E$411))=0,"",INDEX('Checks'!$B$4:$B$503,_calc!$E$411)))</f>
        <v/>
      </c>
      <c r="D409" s="47">
        <f>IF(_calc!$E$411="","",IF(ISNUMBER(INDEX('Checks'!$C$4:$C$503,_calc!$E$411)),TEXT(INDEX('Checks'!$C$4:$C$503,_calc!$E$411),"yyyy-mm-dd"),""))</f>
        <v/>
      </c>
      <c r="E409" s="47">
        <f>IF(_calc!$E$411="","",IF(LEN(INDEX('Checks'!$L$4:$L$503,_calc!$E$411))=0,"",INDEX('Checks'!$L$4:$L$503,_calc!$E$411)))</f>
        <v/>
      </c>
      <c r="F409" s="47">
        <f>IF(_calc!$E$411="","",TRIM(IF(LEN(IF(LEN(INDEX('Checks'!$I$4:$I$503,_calc!$E$411))=0,"",INDEX('Checks'!$I$4:$I$503,_calc!$E$411)))=0,"","Contractor: "&amp;IF(LEN(INDEX('Checks'!$I$4:$I$503,_calc!$E$411))=0,"",INDEX('Checks'!$I$4:$I$503,_calc!$E$411))&amp;". ")&amp;IF(LEN(IF(LEN(INDEX('Checks'!$J$4:$J$503,_calc!$E$411))=0,"",INDEX('Checks'!$J$4:$J$503,_calc!$E$411)))=0,"","Ref: "&amp;IF(LEN(INDEX('Checks'!$J$4:$J$503,_calc!$E$411))=0,"",INDEX('Checks'!$J$4:$J$503,_calc!$E$411))&amp;". ")&amp;IF(LEN(IF(ISNUMBER(INDEX('Checks'!$K$4:$K$503,_calc!$E$411)),TEXT(INDEX('Checks'!$K$4:$K$503,_calc!$E$411),"yyyy-mm-dd"),""))=0,"","Copy to tenant: "&amp;IF(ISNUMBER(INDEX('Checks'!$K$4:$K$503,_calc!$E$411)),TEXT(INDEX('Checks'!$K$4:$K$503,_calc!$E$411),"yyyy-mm-dd"),"")&amp;". ")&amp;IF(LEN(IF(LEN(INDEX('Checks'!$P$4:$P$503,_calc!$E$411))=0,"",INDEX('Checks'!$P$4:$P$503,_calc!$E$411)))=0,"",IF(LEN(INDEX('Checks'!$P$4:$P$503,_calc!$E$411))=0,"",INDEX('Checks'!$P$4:$P$503,_calc!$E$411)))))</f>
        <v/>
      </c>
      <c r="G409" s="47">
        <f>IF(_calc!$E$411="","",IF(LEN(INDEX('Checks'!$N$4:$N$503,_calc!$E$411))=0,"",INDEX('Checks'!$N$4:$N$503,_calc!$E$411)))</f>
        <v/>
      </c>
      <c r="K409" s="47">
        <f>IF(_calc!$E$411="","",IF(LEN(INDEX('Checks'!$M$4:$M$503,_calc!$E$411))=0,"",INDEX('Checks'!$M$4:$M$503,_calc!$E$411)))</f>
        <v/>
      </c>
    </row>
    <row r="410">
      <c r="A410" s="47">
        <f>IF(_calc!$E$412="","",IF(LEN(INDEX('Checks'!$B$4:$B$503,_calc!$E$412))=0,"",INDEX('Checks'!$B$4:$B$503,_calc!$E$412))&amp;" – "&amp;IF(LEN(INDEX('Checks'!$A$4:$A$503,_calc!$E$412))=0,"",INDEX('Checks'!$A$4:$A$503,_calc!$E$412)))</f>
        <v/>
      </c>
      <c r="B410" s="47">
        <f>IF(_calc!$E$412="","",IF(ISNUMBER(INDEX('Checks'!$D$4:$D$503,_calc!$E$412)),TEXT(INDEX('Checks'!$D$4:$D$503,_calc!$E$412),"yyyy-mm-dd"),""))</f>
        <v/>
      </c>
      <c r="C410" s="47">
        <f>IF(_calc!$E$412="","",IF(LEN(INDEX('Checks'!$B$4:$B$503,_calc!$E$412))=0,"",INDEX('Checks'!$B$4:$B$503,_calc!$E$412)))</f>
        <v/>
      </c>
      <c r="D410" s="47">
        <f>IF(_calc!$E$412="","",IF(ISNUMBER(INDEX('Checks'!$C$4:$C$503,_calc!$E$412)),TEXT(INDEX('Checks'!$C$4:$C$503,_calc!$E$412),"yyyy-mm-dd"),""))</f>
        <v/>
      </c>
      <c r="E410" s="47">
        <f>IF(_calc!$E$412="","",IF(LEN(INDEX('Checks'!$L$4:$L$503,_calc!$E$412))=0,"",INDEX('Checks'!$L$4:$L$503,_calc!$E$412)))</f>
        <v/>
      </c>
      <c r="F410" s="47">
        <f>IF(_calc!$E$412="","",TRIM(IF(LEN(IF(LEN(INDEX('Checks'!$I$4:$I$503,_calc!$E$412))=0,"",INDEX('Checks'!$I$4:$I$503,_calc!$E$412)))=0,"","Contractor: "&amp;IF(LEN(INDEX('Checks'!$I$4:$I$503,_calc!$E$412))=0,"",INDEX('Checks'!$I$4:$I$503,_calc!$E$412))&amp;". ")&amp;IF(LEN(IF(LEN(INDEX('Checks'!$J$4:$J$503,_calc!$E$412))=0,"",INDEX('Checks'!$J$4:$J$503,_calc!$E$412)))=0,"","Ref: "&amp;IF(LEN(INDEX('Checks'!$J$4:$J$503,_calc!$E$412))=0,"",INDEX('Checks'!$J$4:$J$503,_calc!$E$412))&amp;". ")&amp;IF(LEN(IF(ISNUMBER(INDEX('Checks'!$K$4:$K$503,_calc!$E$412)),TEXT(INDEX('Checks'!$K$4:$K$503,_calc!$E$412),"yyyy-mm-dd"),""))=0,"","Copy to tenant: "&amp;IF(ISNUMBER(INDEX('Checks'!$K$4:$K$503,_calc!$E$412)),TEXT(INDEX('Checks'!$K$4:$K$503,_calc!$E$412),"yyyy-mm-dd"),"")&amp;". ")&amp;IF(LEN(IF(LEN(INDEX('Checks'!$P$4:$P$503,_calc!$E$412))=0,"",INDEX('Checks'!$P$4:$P$503,_calc!$E$412)))=0,"",IF(LEN(INDEX('Checks'!$P$4:$P$503,_calc!$E$412))=0,"",INDEX('Checks'!$P$4:$P$503,_calc!$E$412)))))</f>
        <v/>
      </c>
      <c r="G410" s="47">
        <f>IF(_calc!$E$412="","",IF(LEN(INDEX('Checks'!$N$4:$N$503,_calc!$E$412))=0,"",INDEX('Checks'!$N$4:$N$503,_calc!$E$412)))</f>
        <v/>
      </c>
      <c r="K410" s="47">
        <f>IF(_calc!$E$412="","",IF(LEN(INDEX('Checks'!$M$4:$M$503,_calc!$E$412))=0,"",INDEX('Checks'!$M$4:$M$503,_calc!$E$412)))</f>
        <v/>
      </c>
    </row>
    <row r="411">
      <c r="A411" s="47">
        <f>IF(_calc!$E$413="","",IF(LEN(INDEX('Checks'!$B$4:$B$503,_calc!$E$413))=0,"",INDEX('Checks'!$B$4:$B$503,_calc!$E$413))&amp;" – "&amp;IF(LEN(INDEX('Checks'!$A$4:$A$503,_calc!$E$413))=0,"",INDEX('Checks'!$A$4:$A$503,_calc!$E$413)))</f>
        <v/>
      </c>
      <c r="B411" s="47">
        <f>IF(_calc!$E$413="","",IF(ISNUMBER(INDEX('Checks'!$D$4:$D$503,_calc!$E$413)),TEXT(INDEX('Checks'!$D$4:$D$503,_calc!$E$413),"yyyy-mm-dd"),""))</f>
        <v/>
      </c>
      <c r="C411" s="47">
        <f>IF(_calc!$E$413="","",IF(LEN(INDEX('Checks'!$B$4:$B$503,_calc!$E$413))=0,"",INDEX('Checks'!$B$4:$B$503,_calc!$E$413)))</f>
        <v/>
      </c>
      <c r="D411" s="47">
        <f>IF(_calc!$E$413="","",IF(ISNUMBER(INDEX('Checks'!$C$4:$C$503,_calc!$E$413)),TEXT(INDEX('Checks'!$C$4:$C$503,_calc!$E$413),"yyyy-mm-dd"),""))</f>
        <v/>
      </c>
      <c r="E411" s="47">
        <f>IF(_calc!$E$413="","",IF(LEN(INDEX('Checks'!$L$4:$L$503,_calc!$E$413))=0,"",INDEX('Checks'!$L$4:$L$503,_calc!$E$413)))</f>
        <v/>
      </c>
      <c r="F411" s="47">
        <f>IF(_calc!$E$413="","",TRIM(IF(LEN(IF(LEN(INDEX('Checks'!$I$4:$I$503,_calc!$E$413))=0,"",INDEX('Checks'!$I$4:$I$503,_calc!$E$413)))=0,"","Contractor: "&amp;IF(LEN(INDEX('Checks'!$I$4:$I$503,_calc!$E$413))=0,"",INDEX('Checks'!$I$4:$I$503,_calc!$E$413))&amp;". ")&amp;IF(LEN(IF(LEN(INDEX('Checks'!$J$4:$J$503,_calc!$E$413))=0,"",INDEX('Checks'!$J$4:$J$503,_calc!$E$413)))=0,"","Ref: "&amp;IF(LEN(INDEX('Checks'!$J$4:$J$503,_calc!$E$413))=0,"",INDEX('Checks'!$J$4:$J$503,_calc!$E$413))&amp;". ")&amp;IF(LEN(IF(ISNUMBER(INDEX('Checks'!$K$4:$K$503,_calc!$E$413)),TEXT(INDEX('Checks'!$K$4:$K$503,_calc!$E$413),"yyyy-mm-dd"),""))=0,"","Copy to tenant: "&amp;IF(ISNUMBER(INDEX('Checks'!$K$4:$K$503,_calc!$E$413)),TEXT(INDEX('Checks'!$K$4:$K$503,_calc!$E$413),"yyyy-mm-dd"),"")&amp;". ")&amp;IF(LEN(IF(LEN(INDEX('Checks'!$P$4:$P$503,_calc!$E$413))=0,"",INDEX('Checks'!$P$4:$P$503,_calc!$E$413)))=0,"",IF(LEN(INDEX('Checks'!$P$4:$P$503,_calc!$E$413))=0,"",INDEX('Checks'!$P$4:$P$503,_calc!$E$413)))))</f>
        <v/>
      </c>
      <c r="G411" s="47">
        <f>IF(_calc!$E$413="","",IF(LEN(INDEX('Checks'!$N$4:$N$503,_calc!$E$413))=0,"",INDEX('Checks'!$N$4:$N$503,_calc!$E$413)))</f>
        <v/>
      </c>
      <c r="K411" s="47">
        <f>IF(_calc!$E$413="","",IF(LEN(INDEX('Checks'!$M$4:$M$503,_calc!$E$413))=0,"",INDEX('Checks'!$M$4:$M$503,_calc!$E$413)))</f>
        <v/>
      </c>
    </row>
    <row r="412">
      <c r="A412" s="47">
        <f>IF(_calc!$E$414="","",IF(LEN(INDEX('Checks'!$B$4:$B$503,_calc!$E$414))=0,"",INDEX('Checks'!$B$4:$B$503,_calc!$E$414))&amp;" – "&amp;IF(LEN(INDEX('Checks'!$A$4:$A$503,_calc!$E$414))=0,"",INDEX('Checks'!$A$4:$A$503,_calc!$E$414)))</f>
        <v/>
      </c>
      <c r="B412" s="47">
        <f>IF(_calc!$E$414="","",IF(ISNUMBER(INDEX('Checks'!$D$4:$D$503,_calc!$E$414)),TEXT(INDEX('Checks'!$D$4:$D$503,_calc!$E$414),"yyyy-mm-dd"),""))</f>
        <v/>
      </c>
      <c r="C412" s="47">
        <f>IF(_calc!$E$414="","",IF(LEN(INDEX('Checks'!$B$4:$B$503,_calc!$E$414))=0,"",INDEX('Checks'!$B$4:$B$503,_calc!$E$414)))</f>
        <v/>
      </c>
      <c r="D412" s="47">
        <f>IF(_calc!$E$414="","",IF(ISNUMBER(INDEX('Checks'!$C$4:$C$503,_calc!$E$414)),TEXT(INDEX('Checks'!$C$4:$C$503,_calc!$E$414),"yyyy-mm-dd"),""))</f>
        <v/>
      </c>
      <c r="E412" s="47">
        <f>IF(_calc!$E$414="","",IF(LEN(INDEX('Checks'!$L$4:$L$503,_calc!$E$414))=0,"",INDEX('Checks'!$L$4:$L$503,_calc!$E$414)))</f>
        <v/>
      </c>
      <c r="F412" s="47">
        <f>IF(_calc!$E$414="","",TRIM(IF(LEN(IF(LEN(INDEX('Checks'!$I$4:$I$503,_calc!$E$414))=0,"",INDEX('Checks'!$I$4:$I$503,_calc!$E$414)))=0,"","Contractor: "&amp;IF(LEN(INDEX('Checks'!$I$4:$I$503,_calc!$E$414))=0,"",INDEX('Checks'!$I$4:$I$503,_calc!$E$414))&amp;". ")&amp;IF(LEN(IF(LEN(INDEX('Checks'!$J$4:$J$503,_calc!$E$414))=0,"",INDEX('Checks'!$J$4:$J$503,_calc!$E$414)))=0,"","Ref: "&amp;IF(LEN(INDEX('Checks'!$J$4:$J$503,_calc!$E$414))=0,"",INDEX('Checks'!$J$4:$J$503,_calc!$E$414))&amp;". ")&amp;IF(LEN(IF(ISNUMBER(INDEX('Checks'!$K$4:$K$503,_calc!$E$414)),TEXT(INDEX('Checks'!$K$4:$K$503,_calc!$E$414),"yyyy-mm-dd"),""))=0,"","Copy to tenant: "&amp;IF(ISNUMBER(INDEX('Checks'!$K$4:$K$503,_calc!$E$414)),TEXT(INDEX('Checks'!$K$4:$K$503,_calc!$E$414),"yyyy-mm-dd"),"")&amp;". ")&amp;IF(LEN(IF(LEN(INDEX('Checks'!$P$4:$P$503,_calc!$E$414))=0,"",INDEX('Checks'!$P$4:$P$503,_calc!$E$414)))=0,"",IF(LEN(INDEX('Checks'!$P$4:$P$503,_calc!$E$414))=0,"",INDEX('Checks'!$P$4:$P$503,_calc!$E$414)))))</f>
        <v/>
      </c>
      <c r="G412" s="47">
        <f>IF(_calc!$E$414="","",IF(LEN(INDEX('Checks'!$N$4:$N$503,_calc!$E$414))=0,"",INDEX('Checks'!$N$4:$N$503,_calc!$E$414)))</f>
        <v/>
      </c>
      <c r="K412" s="47">
        <f>IF(_calc!$E$414="","",IF(LEN(INDEX('Checks'!$M$4:$M$503,_calc!$E$414))=0,"",INDEX('Checks'!$M$4:$M$503,_calc!$E$414)))</f>
        <v/>
      </c>
    </row>
    <row r="413">
      <c r="A413" s="47">
        <f>IF(_calc!$E$415="","",IF(LEN(INDEX('Checks'!$B$4:$B$503,_calc!$E$415))=0,"",INDEX('Checks'!$B$4:$B$503,_calc!$E$415))&amp;" – "&amp;IF(LEN(INDEX('Checks'!$A$4:$A$503,_calc!$E$415))=0,"",INDEX('Checks'!$A$4:$A$503,_calc!$E$415)))</f>
        <v/>
      </c>
      <c r="B413" s="47">
        <f>IF(_calc!$E$415="","",IF(ISNUMBER(INDEX('Checks'!$D$4:$D$503,_calc!$E$415)),TEXT(INDEX('Checks'!$D$4:$D$503,_calc!$E$415),"yyyy-mm-dd"),""))</f>
        <v/>
      </c>
      <c r="C413" s="47">
        <f>IF(_calc!$E$415="","",IF(LEN(INDEX('Checks'!$B$4:$B$503,_calc!$E$415))=0,"",INDEX('Checks'!$B$4:$B$503,_calc!$E$415)))</f>
        <v/>
      </c>
      <c r="D413" s="47">
        <f>IF(_calc!$E$415="","",IF(ISNUMBER(INDEX('Checks'!$C$4:$C$503,_calc!$E$415)),TEXT(INDEX('Checks'!$C$4:$C$503,_calc!$E$415),"yyyy-mm-dd"),""))</f>
        <v/>
      </c>
      <c r="E413" s="47">
        <f>IF(_calc!$E$415="","",IF(LEN(INDEX('Checks'!$L$4:$L$503,_calc!$E$415))=0,"",INDEX('Checks'!$L$4:$L$503,_calc!$E$415)))</f>
        <v/>
      </c>
      <c r="F413" s="47">
        <f>IF(_calc!$E$415="","",TRIM(IF(LEN(IF(LEN(INDEX('Checks'!$I$4:$I$503,_calc!$E$415))=0,"",INDEX('Checks'!$I$4:$I$503,_calc!$E$415)))=0,"","Contractor: "&amp;IF(LEN(INDEX('Checks'!$I$4:$I$503,_calc!$E$415))=0,"",INDEX('Checks'!$I$4:$I$503,_calc!$E$415))&amp;". ")&amp;IF(LEN(IF(LEN(INDEX('Checks'!$J$4:$J$503,_calc!$E$415))=0,"",INDEX('Checks'!$J$4:$J$503,_calc!$E$415)))=0,"","Ref: "&amp;IF(LEN(INDEX('Checks'!$J$4:$J$503,_calc!$E$415))=0,"",INDEX('Checks'!$J$4:$J$503,_calc!$E$415))&amp;". ")&amp;IF(LEN(IF(ISNUMBER(INDEX('Checks'!$K$4:$K$503,_calc!$E$415)),TEXT(INDEX('Checks'!$K$4:$K$503,_calc!$E$415),"yyyy-mm-dd"),""))=0,"","Copy to tenant: "&amp;IF(ISNUMBER(INDEX('Checks'!$K$4:$K$503,_calc!$E$415)),TEXT(INDEX('Checks'!$K$4:$K$503,_calc!$E$415),"yyyy-mm-dd"),"")&amp;". ")&amp;IF(LEN(IF(LEN(INDEX('Checks'!$P$4:$P$503,_calc!$E$415))=0,"",INDEX('Checks'!$P$4:$P$503,_calc!$E$415)))=0,"",IF(LEN(INDEX('Checks'!$P$4:$P$503,_calc!$E$415))=0,"",INDEX('Checks'!$P$4:$P$503,_calc!$E$415)))))</f>
        <v/>
      </c>
      <c r="G413" s="47">
        <f>IF(_calc!$E$415="","",IF(LEN(INDEX('Checks'!$N$4:$N$503,_calc!$E$415))=0,"",INDEX('Checks'!$N$4:$N$503,_calc!$E$415)))</f>
        <v/>
      </c>
      <c r="K413" s="47">
        <f>IF(_calc!$E$415="","",IF(LEN(INDEX('Checks'!$M$4:$M$503,_calc!$E$415))=0,"",INDEX('Checks'!$M$4:$M$503,_calc!$E$415)))</f>
        <v/>
      </c>
    </row>
    <row r="414">
      <c r="A414" s="47">
        <f>IF(_calc!$E$416="","",IF(LEN(INDEX('Checks'!$B$4:$B$503,_calc!$E$416))=0,"",INDEX('Checks'!$B$4:$B$503,_calc!$E$416))&amp;" – "&amp;IF(LEN(INDEX('Checks'!$A$4:$A$503,_calc!$E$416))=0,"",INDEX('Checks'!$A$4:$A$503,_calc!$E$416)))</f>
        <v/>
      </c>
      <c r="B414" s="47">
        <f>IF(_calc!$E$416="","",IF(ISNUMBER(INDEX('Checks'!$D$4:$D$503,_calc!$E$416)),TEXT(INDEX('Checks'!$D$4:$D$503,_calc!$E$416),"yyyy-mm-dd"),""))</f>
        <v/>
      </c>
      <c r="C414" s="47">
        <f>IF(_calc!$E$416="","",IF(LEN(INDEX('Checks'!$B$4:$B$503,_calc!$E$416))=0,"",INDEX('Checks'!$B$4:$B$503,_calc!$E$416)))</f>
        <v/>
      </c>
      <c r="D414" s="47">
        <f>IF(_calc!$E$416="","",IF(ISNUMBER(INDEX('Checks'!$C$4:$C$503,_calc!$E$416)),TEXT(INDEX('Checks'!$C$4:$C$503,_calc!$E$416),"yyyy-mm-dd"),""))</f>
        <v/>
      </c>
      <c r="E414" s="47">
        <f>IF(_calc!$E$416="","",IF(LEN(INDEX('Checks'!$L$4:$L$503,_calc!$E$416))=0,"",INDEX('Checks'!$L$4:$L$503,_calc!$E$416)))</f>
        <v/>
      </c>
      <c r="F414" s="47">
        <f>IF(_calc!$E$416="","",TRIM(IF(LEN(IF(LEN(INDEX('Checks'!$I$4:$I$503,_calc!$E$416))=0,"",INDEX('Checks'!$I$4:$I$503,_calc!$E$416)))=0,"","Contractor: "&amp;IF(LEN(INDEX('Checks'!$I$4:$I$503,_calc!$E$416))=0,"",INDEX('Checks'!$I$4:$I$503,_calc!$E$416))&amp;". ")&amp;IF(LEN(IF(LEN(INDEX('Checks'!$J$4:$J$503,_calc!$E$416))=0,"",INDEX('Checks'!$J$4:$J$503,_calc!$E$416)))=0,"","Ref: "&amp;IF(LEN(INDEX('Checks'!$J$4:$J$503,_calc!$E$416))=0,"",INDEX('Checks'!$J$4:$J$503,_calc!$E$416))&amp;". ")&amp;IF(LEN(IF(ISNUMBER(INDEX('Checks'!$K$4:$K$503,_calc!$E$416)),TEXT(INDEX('Checks'!$K$4:$K$503,_calc!$E$416),"yyyy-mm-dd"),""))=0,"","Copy to tenant: "&amp;IF(ISNUMBER(INDEX('Checks'!$K$4:$K$503,_calc!$E$416)),TEXT(INDEX('Checks'!$K$4:$K$503,_calc!$E$416),"yyyy-mm-dd"),"")&amp;". ")&amp;IF(LEN(IF(LEN(INDEX('Checks'!$P$4:$P$503,_calc!$E$416))=0,"",INDEX('Checks'!$P$4:$P$503,_calc!$E$416)))=0,"",IF(LEN(INDEX('Checks'!$P$4:$P$503,_calc!$E$416))=0,"",INDEX('Checks'!$P$4:$P$503,_calc!$E$416)))))</f>
        <v/>
      </c>
      <c r="G414" s="47">
        <f>IF(_calc!$E$416="","",IF(LEN(INDEX('Checks'!$N$4:$N$503,_calc!$E$416))=0,"",INDEX('Checks'!$N$4:$N$503,_calc!$E$416)))</f>
        <v/>
      </c>
      <c r="K414" s="47">
        <f>IF(_calc!$E$416="","",IF(LEN(INDEX('Checks'!$M$4:$M$503,_calc!$E$416))=0,"",INDEX('Checks'!$M$4:$M$503,_calc!$E$416)))</f>
        <v/>
      </c>
    </row>
    <row r="415">
      <c r="A415" s="47">
        <f>IF(_calc!$E$417="","",IF(LEN(INDEX('Checks'!$B$4:$B$503,_calc!$E$417))=0,"",INDEX('Checks'!$B$4:$B$503,_calc!$E$417))&amp;" – "&amp;IF(LEN(INDEX('Checks'!$A$4:$A$503,_calc!$E$417))=0,"",INDEX('Checks'!$A$4:$A$503,_calc!$E$417)))</f>
        <v/>
      </c>
      <c r="B415" s="47">
        <f>IF(_calc!$E$417="","",IF(ISNUMBER(INDEX('Checks'!$D$4:$D$503,_calc!$E$417)),TEXT(INDEX('Checks'!$D$4:$D$503,_calc!$E$417),"yyyy-mm-dd"),""))</f>
        <v/>
      </c>
      <c r="C415" s="47">
        <f>IF(_calc!$E$417="","",IF(LEN(INDEX('Checks'!$B$4:$B$503,_calc!$E$417))=0,"",INDEX('Checks'!$B$4:$B$503,_calc!$E$417)))</f>
        <v/>
      </c>
      <c r="D415" s="47">
        <f>IF(_calc!$E$417="","",IF(ISNUMBER(INDEX('Checks'!$C$4:$C$503,_calc!$E$417)),TEXT(INDEX('Checks'!$C$4:$C$503,_calc!$E$417),"yyyy-mm-dd"),""))</f>
        <v/>
      </c>
      <c r="E415" s="47">
        <f>IF(_calc!$E$417="","",IF(LEN(INDEX('Checks'!$L$4:$L$503,_calc!$E$417))=0,"",INDEX('Checks'!$L$4:$L$503,_calc!$E$417)))</f>
        <v/>
      </c>
      <c r="F415" s="47">
        <f>IF(_calc!$E$417="","",TRIM(IF(LEN(IF(LEN(INDEX('Checks'!$I$4:$I$503,_calc!$E$417))=0,"",INDEX('Checks'!$I$4:$I$503,_calc!$E$417)))=0,"","Contractor: "&amp;IF(LEN(INDEX('Checks'!$I$4:$I$503,_calc!$E$417))=0,"",INDEX('Checks'!$I$4:$I$503,_calc!$E$417))&amp;". ")&amp;IF(LEN(IF(LEN(INDEX('Checks'!$J$4:$J$503,_calc!$E$417))=0,"",INDEX('Checks'!$J$4:$J$503,_calc!$E$417)))=0,"","Ref: "&amp;IF(LEN(INDEX('Checks'!$J$4:$J$503,_calc!$E$417))=0,"",INDEX('Checks'!$J$4:$J$503,_calc!$E$417))&amp;". ")&amp;IF(LEN(IF(ISNUMBER(INDEX('Checks'!$K$4:$K$503,_calc!$E$417)),TEXT(INDEX('Checks'!$K$4:$K$503,_calc!$E$417),"yyyy-mm-dd"),""))=0,"","Copy to tenant: "&amp;IF(ISNUMBER(INDEX('Checks'!$K$4:$K$503,_calc!$E$417)),TEXT(INDEX('Checks'!$K$4:$K$503,_calc!$E$417),"yyyy-mm-dd"),"")&amp;". ")&amp;IF(LEN(IF(LEN(INDEX('Checks'!$P$4:$P$503,_calc!$E$417))=0,"",INDEX('Checks'!$P$4:$P$503,_calc!$E$417)))=0,"",IF(LEN(INDEX('Checks'!$P$4:$P$503,_calc!$E$417))=0,"",INDEX('Checks'!$P$4:$P$503,_calc!$E$417)))))</f>
        <v/>
      </c>
      <c r="G415" s="47">
        <f>IF(_calc!$E$417="","",IF(LEN(INDEX('Checks'!$N$4:$N$503,_calc!$E$417))=0,"",INDEX('Checks'!$N$4:$N$503,_calc!$E$417)))</f>
        <v/>
      </c>
      <c r="K415" s="47">
        <f>IF(_calc!$E$417="","",IF(LEN(INDEX('Checks'!$M$4:$M$503,_calc!$E$417))=0,"",INDEX('Checks'!$M$4:$M$503,_calc!$E$417)))</f>
        <v/>
      </c>
    </row>
    <row r="416">
      <c r="A416" s="47">
        <f>IF(_calc!$E$418="","",IF(LEN(INDEX('Checks'!$B$4:$B$503,_calc!$E$418))=0,"",INDEX('Checks'!$B$4:$B$503,_calc!$E$418))&amp;" – "&amp;IF(LEN(INDEX('Checks'!$A$4:$A$503,_calc!$E$418))=0,"",INDEX('Checks'!$A$4:$A$503,_calc!$E$418)))</f>
        <v/>
      </c>
      <c r="B416" s="47">
        <f>IF(_calc!$E$418="","",IF(ISNUMBER(INDEX('Checks'!$D$4:$D$503,_calc!$E$418)),TEXT(INDEX('Checks'!$D$4:$D$503,_calc!$E$418),"yyyy-mm-dd"),""))</f>
        <v/>
      </c>
      <c r="C416" s="47">
        <f>IF(_calc!$E$418="","",IF(LEN(INDEX('Checks'!$B$4:$B$503,_calc!$E$418))=0,"",INDEX('Checks'!$B$4:$B$503,_calc!$E$418)))</f>
        <v/>
      </c>
      <c r="D416" s="47">
        <f>IF(_calc!$E$418="","",IF(ISNUMBER(INDEX('Checks'!$C$4:$C$503,_calc!$E$418)),TEXT(INDEX('Checks'!$C$4:$C$503,_calc!$E$418),"yyyy-mm-dd"),""))</f>
        <v/>
      </c>
      <c r="E416" s="47">
        <f>IF(_calc!$E$418="","",IF(LEN(INDEX('Checks'!$L$4:$L$503,_calc!$E$418))=0,"",INDEX('Checks'!$L$4:$L$503,_calc!$E$418)))</f>
        <v/>
      </c>
      <c r="F416" s="47">
        <f>IF(_calc!$E$418="","",TRIM(IF(LEN(IF(LEN(INDEX('Checks'!$I$4:$I$503,_calc!$E$418))=0,"",INDEX('Checks'!$I$4:$I$503,_calc!$E$418)))=0,"","Contractor: "&amp;IF(LEN(INDEX('Checks'!$I$4:$I$503,_calc!$E$418))=0,"",INDEX('Checks'!$I$4:$I$503,_calc!$E$418))&amp;". ")&amp;IF(LEN(IF(LEN(INDEX('Checks'!$J$4:$J$503,_calc!$E$418))=0,"",INDEX('Checks'!$J$4:$J$503,_calc!$E$418)))=0,"","Ref: "&amp;IF(LEN(INDEX('Checks'!$J$4:$J$503,_calc!$E$418))=0,"",INDEX('Checks'!$J$4:$J$503,_calc!$E$418))&amp;". ")&amp;IF(LEN(IF(ISNUMBER(INDEX('Checks'!$K$4:$K$503,_calc!$E$418)),TEXT(INDEX('Checks'!$K$4:$K$503,_calc!$E$418),"yyyy-mm-dd"),""))=0,"","Copy to tenant: "&amp;IF(ISNUMBER(INDEX('Checks'!$K$4:$K$503,_calc!$E$418)),TEXT(INDEX('Checks'!$K$4:$K$503,_calc!$E$418),"yyyy-mm-dd"),"")&amp;". ")&amp;IF(LEN(IF(LEN(INDEX('Checks'!$P$4:$P$503,_calc!$E$418))=0,"",INDEX('Checks'!$P$4:$P$503,_calc!$E$418)))=0,"",IF(LEN(INDEX('Checks'!$P$4:$P$503,_calc!$E$418))=0,"",INDEX('Checks'!$P$4:$P$503,_calc!$E$418)))))</f>
        <v/>
      </c>
      <c r="G416" s="47">
        <f>IF(_calc!$E$418="","",IF(LEN(INDEX('Checks'!$N$4:$N$503,_calc!$E$418))=0,"",INDEX('Checks'!$N$4:$N$503,_calc!$E$418)))</f>
        <v/>
      </c>
      <c r="K416" s="47">
        <f>IF(_calc!$E$418="","",IF(LEN(INDEX('Checks'!$M$4:$M$503,_calc!$E$418))=0,"",INDEX('Checks'!$M$4:$M$503,_calc!$E$418)))</f>
        <v/>
      </c>
    </row>
    <row r="417">
      <c r="A417" s="47">
        <f>IF(_calc!$E$419="","",IF(LEN(INDEX('Checks'!$B$4:$B$503,_calc!$E$419))=0,"",INDEX('Checks'!$B$4:$B$503,_calc!$E$419))&amp;" – "&amp;IF(LEN(INDEX('Checks'!$A$4:$A$503,_calc!$E$419))=0,"",INDEX('Checks'!$A$4:$A$503,_calc!$E$419)))</f>
        <v/>
      </c>
      <c r="B417" s="47">
        <f>IF(_calc!$E$419="","",IF(ISNUMBER(INDEX('Checks'!$D$4:$D$503,_calc!$E$419)),TEXT(INDEX('Checks'!$D$4:$D$503,_calc!$E$419),"yyyy-mm-dd"),""))</f>
        <v/>
      </c>
      <c r="C417" s="47">
        <f>IF(_calc!$E$419="","",IF(LEN(INDEX('Checks'!$B$4:$B$503,_calc!$E$419))=0,"",INDEX('Checks'!$B$4:$B$503,_calc!$E$419)))</f>
        <v/>
      </c>
      <c r="D417" s="47">
        <f>IF(_calc!$E$419="","",IF(ISNUMBER(INDEX('Checks'!$C$4:$C$503,_calc!$E$419)),TEXT(INDEX('Checks'!$C$4:$C$503,_calc!$E$419),"yyyy-mm-dd"),""))</f>
        <v/>
      </c>
      <c r="E417" s="47">
        <f>IF(_calc!$E$419="","",IF(LEN(INDEX('Checks'!$L$4:$L$503,_calc!$E$419))=0,"",INDEX('Checks'!$L$4:$L$503,_calc!$E$419)))</f>
        <v/>
      </c>
      <c r="F417" s="47">
        <f>IF(_calc!$E$419="","",TRIM(IF(LEN(IF(LEN(INDEX('Checks'!$I$4:$I$503,_calc!$E$419))=0,"",INDEX('Checks'!$I$4:$I$503,_calc!$E$419)))=0,"","Contractor: "&amp;IF(LEN(INDEX('Checks'!$I$4:$I$503,_calc!$E$419))=0,"",INDEX('Checks'!$I$4:$I$503,_calc!$E$419))&amp;". ")&amp;IF(LEN(IF(LEN(INDEX('Checks'!$J$4:$J$503,_calc!$E$419))=0,"",INDEX('Checks'!$J$4:$J$503,_calc!$E$419)))=0,"","Ref: "&amp;IF(LEN(INDEX('Checks'!$J$4:$J$503,_calc!$E$419))=0,"",INDEX('Checks'!$J$4:$J$503,_calc!$E$419))&amp;". ")&amp;IF(LEN(IF(ISNUMBER(INDEX('Checks'!$K$4:$K$503,_calc!$E$419)),TEXT(INDEX('Checks'!$K$4:$K$503,_calc!$E$419),"yyyy-mm-dd"),""))=0,"","Copy to tenant: "&amp;IF(ISNUMBER(INDEX('Checks'!$K$4:$K$503,_calc!$E$419)),TEXT(INDEX('Checks'!$K$4:$K$503,_calc!$E$419),"yyyy-mm-dd"),"")&amp;". ")&amp;IF(LEN(IF(LEN(INDEX('Checks'!$P$4:$P$503,_calc!$E$419))=0,"",INDEX('Checks'!$P$4:$P$503,_calc!$E$419)))=0,"",IF(LEN(INDEX('Checks'!$P$4:$P$503,_calc!$E$419))=0,"",INDEX('Checks'!$P$4:$P$503,_calc!$E$419)))))</f>
        <v/>
      </c>
      <c r="G417" s="47">
        <f>IF(_calc!$E$419="","",IF(LEN(INDEX('Checks'!$N$4:$N$503,_calc!$E$419))=0,"",INDEX('Checks'!$N$4:$N$503,_calc!$E$419)))</f>
        <v/>
      </c>
      <c r="K417" s="47">
        <f>IF(_calc!$E$419="","",IF(LEN(INDEX('Checks'!$M$4:$M$503,_calc!$E$419))=0,"",INDEX('Checks'!$M$4:$M$503,_calc!$E$419)))</f>
        <v/>
      </c>
    </row>
    <row r="418">
      <c r="A418" s="47">
        <f>IF(_calc!$E$420="","",IF(LEN(INDEX('Checks'!$B$4:$B$503,_calc!$E$420))=0,"",INDEX('Checks'!$B$4:$B$503,_calc!$E$420))&amp;" – "&amp;IF(LEN(INDEX('Checks'!$A$4:$A$503,_calc!$E$420))=0,"",INDEX('Checks'!$A$4:$A$503,_calc!$E$420)))</f>
        <v/>
      </c>
      <c r="B418" s="47">
        <f>IF(_calc!$E$420="","",IF(ISNUMBER(INDEX('Checks'!$D$4:$D$503,_calc!$E$420)),TEXT(INDEX('Checks'!$D$4:$D$503,_calc!$E$420),"yyyy-mm-dd"),""))</f>
        <v/>
      </c>
      <c r="C418" s="47">
        <f>IF(_calc!$E$420="","",IF(LEN(INDEX('Checks'!$B$4:$B$503,_calc!$E$420))=0,"",INDEX('Checks'!$B$4:$B$503,_calc!$E$420)))</f>
        <v/>
      </c>
      <c r="D418" s="47">
        <f>IF(_calc!$E$420="","",IF(ISNUMBER(INDEX('Checks'!$C$4:$C$503,_calc!$E$420)),TEXT(INDEX('Checks'!$C$4:$C$503,_calc!$E$420),"yyyy-mm-dd"),""))</f>
        <v/>
      </c>
      <c r="E418" s="47">
        <f>IF(_calc!$E$420="","",IF(LEN(INDEX('Checks'!$L$4:$L$503,_calc!$E$420))=0,"",INDEX('Checks'!$L$4:$L$503,_calc!$E$420)))</f>
        <v/>
      </c>
      <c r="F418" s="47">
        <f>IF(_calc!$E$420="","",TRIM(IF(LEN(IF(LEN(INDEX('Checks'!$I$4:$I$503,_calc!$E$420))=0,"",INDEX('Checks'!$I$4:$I$503,_calc!$E$420)))=0,"","Contractor: "&amp;IF(LEN(INDEX('Checks'!$I$4:$I$503,_calc!$E$420))=0,"",INDEX('Checks'!$I$4:$I$503,_calc!$E$420))&amp;". ")&amp;IF(LEN(IF(LEN(INDEX('Checks'!$J$4:$J$503,_calc!$E$420))=0,"",INDEX('Checks'!$J$4:$J$503,_calc!$E$420)))=0,"","Ref: "&amp;IF(LEN(INDEX('Checks'!$J$4:$J$503,_calc!$E$420))=0,"",INDEX('Checks'!$J$4:$J$503,_calc!$E$420))&amp;". ")&amp;IF(LEN(IF(ISNUMBER(INDEX('Checks'!$K$4:$K$503,_calc!$E$420)),TEXT(INDEX('Checks'!$K$4:$K$503,_calc!$E$420),"yyyy-mm-dd"),""))=0,"","Copy to tenant: "&amp;IF(ISNUMBER(INDEX('Checks'!$K$4:$K$503,_calc!$E$420)),TEXT(INDEX('Checks'!$K$4:$K$503,_calc!$E$420),"yyyy-mm-dd"),"")&amp;". ")&amp;IF(LEN(IF(LEN(INDEX('Checks'!$P$4:$P$503,_calc!$E$420))=0,"",INDEX('Checks'!$P$4:$P$503,_calc!$E$420)))=0,"",IF(LEN(INDEX('Checks'!$P$4:$P$503,_calc!$E$420))=0,"",INDEX('Checks'!$P$4:$P$503,_calc!$E$420)))))</f>
        <v/>
      </c>
      <c r="G418" s="47">
        <f>IF(_calc!$E$420="","",IF(LEN(INDEX('Checks'!$N$4:$N$503,_calc!$E$420))=0,"",INDEX('Checks'!$N$4:$N$503,_calc!$E$420)))</f>
        <v/>
      </c>
      <c r="K418" s="47">
        <f>IF(_calc!$E$420="","",IF(LEN(INDEX('Checks'!$M$4:$M$503,_calc!$E$420))=0,"",INDEX('Checks'!$M$4:$M$503,_calc!$E$420)))</f>
        <v/>
      </c>
    </row>
    <row r="419">
      <c r="A419" s="47">
        <f>IF(_calc!$E$421="","",IF(LEN(INDEX('Checks'!$B$4:$B$503,_calc!$E$421))=0,"",INDEX('Checks'!$B$4:$B$503,_calc!$E$421))&amp;" – "&amp;IF(LEN(INDEX('Checks'!$A$4:$A$503,_calc!$E$421))=0,"",INDEX('Checks'!$A$4:$A$503,_calc!$E$421)))</f>
        <v/>
      </c>
      <c r="B419" s="47">
        <f>IF(_calc!$E$421="","",IF(ISNUMBER(INDEX('Checks'!$D$4:$D$503,_calc!$E$421)),TEXT(INDEX('Checks'!$D$4:$D$503,_calc!$E$421),"yyyy-mm-dd"),""))</f>
        <v/>
      </c>
      <c r="C419" s="47">
        <f>IF(_calc!$E$421="","",IF(LEN(INDEX('Checks'!$B$4:$B$503,_calc!$E$421))=0,"",INDEX('Checks'!$B$4:$B$503,_calc!$E$421)))</f>
        <v/>
      </c>
      <c r="D419" s="47">
        <f>IF(_calc!$E$421="","",IF(ISNUMBER(INDEX('Checks'!$C$4:$C$503,_calc!$E$421)),TEXT(INDEX('Checks'!$C$4:$C$503,_calc!$E$421),"yyyy-mm-dd"),""))</f>
        <v/>
      </c>
      <c r="E419" s="47">
        <f>IF(_calc!$E$421="","",IF(LEN(INDEX('Checks'!$L$4:$L$503,_calc!$E$421))=0,"",INDEX('Checks'!$L$4:$L$503,_calc!$E$421)))</f>
        <v/>
      </c>
      <c r="F419" s="47">
        <f>IF(_calc!$E$421="","",TRIM(IF(LEN(IF(LEN(INDEX('Checks'!$I$4:$I$503,_calc!$E$421))=0,"",INDEX('Checks'!$I$4:$I$503,_calc!$E$421)))=0,"","Contractor: "&amp;IF(LEN(INDEX('Checks'!$I$4:$I$503,_calc!$E$421))=0,"",INDEX('Checks'!$I$4:$I$503,_calc!$E$421))&amp;". ")&amp;IF(LEN(IF(LEN(INDEX('Checks'!$J$4:$J$503,_calc!$E$421))=0,"",INDEX('Checks'!$J$4:$J$503,_calc!$E$421)))=0,"","Ref: "&amp;IF(LEN(INDEX('Checks'!$J$4:$J$503,_calc!$E$421))=0,"",INDEX('Checks'!$J$4:$J$503,_calc!$E$421))&amp;". ")&amp;IF(LEN(IF(ISNUMBER(INDEX('Checks'!$K$4:$K$503,_calc!$E$421)),TEXT(INDEX('Checks'!$K$4:$K$503,_calc!$E$421),"yyyy-mm-dd"),""))=0,"","Copy to tenant: "&amp;IF(ISNUMBER(INDEX('Checks'!$K$4:$K$503,_calc!$E$421)),TEXT(INDEX('Checks'!$K$4:$K$503,_calc!$E$421),"yyyy-mm-dd"),"")&amp;". ")&amp;IF(LEN(IF(LEN(INDEX('Checks'!$P$4:$P$503,_calc!$E$421))=0,"",INDEX('Checks'!$P$4:$P$503,_calc!$E$421)))=0,"",IF(LEN(INDEX('Checks'!$P$4:$P$503,_calc!$E$421))=0,"",INDEX('Checks'!$P$4:$P$503,_calc!$E$421)))))</f>
        <v/>
      </c>
      <c r="G419" s="47">
        <f>IF(_calc!$E$421="","",IF(LEN(INDEX('Checks'!$N$4:$N$503,_calc!$E$421))=0,"",INDEX('Checks'!$N$4:$N$503,_calc!$E$421)))</f>
        <v/>
      </c>
      <c r="K419" s="47">
        <f>IF(_calc!$E$421="","",IF(LEN(INDEX('Checks'!$M$4:$M$503,_calc!$E$421))=0,"",INDEX('Checks'!$M$4:$M$503,_calc!$E$421)))</f>
        <v/>
      </c>
    </row>
    <row r="420">
      <c r="A420" s="47">
        <f>IF(_calc!$E$422="","",IF(LEN(INDEX('Checks'!$B$4:$B$503,_calc!$E$422))=0,"",INDEX('Checks'!$B$4:$B$503,_calc!$E$422))&amp;" – "&amp;IF(LEN(INDEX('Checks'!$A$4:$A$503,_calc!$E$422))=0,"",INDEX('Checks'!$A$4:$A$503,_calc!$E$422)))</f>
        <v/>
      </c>
      <c r="B420" s="47">
        <f>IF(_calc!$E$422="","",IF(ISNUMBER(INDEX('Checks'!$D$4:$D$503,_calc!$E$422)),TEXT(INDEX('Checks'!$D$4:$D$503,_calc!$E$422),"yyyy-mm-dd"),""))</f>
        <v/>
      </c>
      <c r="C420" s="47">
        <f>IF(_calc!$E$422="","",IF(LEN(INDEX('Checks'!$B$4:$B$503,_calc!$E$422))=0,"",INDEX('Checks'!$B$4:$B$503,_calc!$E$422)))</f>
        <v/>
      </c>
      <c r="D420" s="47">
        <f>IF(_calc!$E$422="","",IF(ISNUMBER(INDEX('Checks'!$C$4:$C$503,_calc!$E$422)),TEXT(INDEX('Checks'!$C$4:$C$503,_calc!$E$422),"yyyy-mm-dd"),""))</f>
        <v/>
      </c>
      <c r="E420" s="47">
        <f>IF(_calc!$E$422="","",IF(LEN(INDEX('Checks'!$L$4:$L$503,_calc!$E$422))=0,"",INDEX('Checks'!$L$4:$L$503,_calc!$E$422)))</f>
        <v/>
      </c>
      <c r="F420" s="47">
        <f>IF(_calc!$E$422="","",TRIM(IF(LEN(IF(LEN(INDEX('Checks'!$I$4:$I$503,_calc!$E$422))=0,"",INDEX('Checks'!$I$4:$I$503,_calc!$E$422)))=0,"","Contractor: "&amp;IF(LEN(INDEX('Checks'!$I$4:$I$503,_calc!$E$422))=0,"",INDEX('Checks'!$I$4:$I$503,_calc!$E$422))&amp;". ")&amp;IF(LEN(IF(LEN(INDEX('Checks'!$J$4:$J$503,_calc!$E$422))=0,"",INDEX('Checks'!$J$4:$J$503,_calc!$E$422)))=0,"","Ref: "&amp;IF(LEN(INDEX('Checks'!$J$4:$J$503,_calc!$E$422))=0,"",INDEX('Checks'!$J$4:$J$503,_calc!$E$422))&amp;". ")&amp;IF(LEN(IF(ISNUMBER(INDEX('Checks'!$K$4:$K$503,_calc!$E$422)),TEXT(INDEX('Checks'!$K$4:$K$503,_calc!$E$422),"yyyy-mm-dd"),""))=0,"","Copy to tenant: "&amp;IF(ISNUMBER(INDEX('Checks'!$K$4:$K$503,_calc!$E$422)),TEXT(INDEX('Checks'!$K$4:$K$503,_calc!$E$422),"yyyy-mm-dd"),"")&amp;". ")&amp;IF(LEN(IF(LEN(INDEX('Checks'!$P$4:$P$503,_calc!$E$422))=0,"",INDEX('Checks'!$P$4:$P$503,_calc!$E$422)))=0,"",IF(LEN(INDEX('Checks'!$P$4:$P$503,_calc!$E$422))=0,"",INDEX('Checks'!$P$4:$P$503,_calc!$E$422)))))</f>
        <v/>
      </c>
      <c r="G420" s="47">
        <f>IF(_calc!$E$422="","",IF(LEN(INDEX('Checks'!$N$4:$N$503,_calc!$E$422))=0,"",INDEX('Checks'!$N$4:$N$503,_calc!$E$422)))</f>
        <v/>
      </c>
      <c r="K420" s="47">
        <f>IF(_calc!$E$422="","",IF(LEN(INDEX('Checks'!$M$4:$M$503,_calc!$E$422))=0,"",INDEX('Checks'!$M$4:$M$503,_calc!$E$422)))</f>
        <v/>
      </c>
    </row>
    <row r="421">
      <c r="A421" s="47">
        <f>IF(_calc!$E$423="","",IF(LEN(INDEX('Checks'!$B$4:$B$503,_calc!$E$423))=0,"",INDEX('Checks'!$B$4:$B$503,_calc!$E$423))&amp;" – "&amp;IF(LEN(INDEX('Checks'!$A$4:$A$503,_calc!$E$423))=0,"",INDEX('Checks'!$A$4:$A$503,_calc!$E$423)))</f>
        <v/>
      </c>
      <c r="B421" s="47">
        <f>IF(_calc!$E$423="","",IF(ISNUMBER(INDEX('Checks'!$D$4:$D$503,_calc!$E$423)),TEXT(INDEX('Checks'!$D$4:$D$503,_calc!$E$423),"yyyy-mm-dd"),""))</f>
        <v/>
      </c>
      <c r="C421" s="47">
        <f>IF(_calc!$E$423="","",IF(LEN(INDEX('Checks'!$B$4:$B$503,_calc!$E$423))=0,"",INDEX('Checks'!$B$4:$B$503,_calc!$E$423)))</f>
        <v/>
      </c>
      <c r="D421" s="47">
        <f>IF(_calc!$E$423="","",IF(ISNUMBER(INDEX('Checks'!$C$4:$C$503,_calc!$E$423)),TEXT(INDEX('Checks'!$C$4:$C$503,_calc!$E$423),"yyyy-mm-dd"),""))</f>
        <v/>
      </c>
      <c r="E421" s="47">
        <f>IF(_calc!$E$423="","",IF(LEN(INDEX('Checks'!$L$4:$L$503,_calc!$E$423))=0,"",INDEX('Checks'!$L$4:$L$503,_calc!$E$423)))</f>
        <v/>
      </c>
      <c r="F421" s="47">
        <f>IF(_calc!$E$423="","",TRIM(IF(LEN(IF(LEN(INDEX('Checks'!$I$4:$I$503,_calc!$E$423))=0,"",INDEX('Checks'!$I$4:$I$503,_calc!$E$423)))=0,"","Contractor: "&amp;IF(LEN(INDEX('Checks'!$I$4:$I$503,_calc!$E$423))=0,"",INDEX('Checks'!$I$4:$I$503,_calc!$E$423))&amp;". ")&amp;IF(LEN(IF(LEN(INDEX('Checks'!$J$4:$J$503,_calc!$E$423))=0,"",INDEX('Checks'!$J$4:$J$503,_calc!$E$423)))=0,"","Ref: "&amp;IF(LEN(INDEX('Checks'!$J$4:$J$503,_calc!$E$423))=0,"",INDEX('Checks'!$J$4:$J$503,_calc!$E$423))&amp;". ")&amp;IF(LEN(IF(ISNUMBER(INDEX('Checks'!$K$4:$K$503,_calc!$E$423)),TEXT(INDEX('Checks'!$K$4:$K$503,_calc!$E$423),"yyyy-mm-dd"),""))=0,"","Copy to tenant: "&amp;IF(ISNUMBER(INDEX('Checks'!$K$4:$K$503,_calc!$E$423)),TEXT(INDEX('Checks'!$K$4:$K$503,_calc!$E$423),"yyyy-mm-dd"),"")&amp;". ")&amp;IF(LEN(IF(LEN(INDEX('Checks'!$P$4:$P$503,_calc!$E$423))=0,"",INDEX('Checks'!$P$4:$P$503,_calc!$E$423)))=0,"",IF(LEN(INDEX('Checks'!$P$4:$P$503,_calc!$E$423))=0,"",INDEX('Checks'!$P$4:$P$503,_calc!$E$423)))))</f>
        <v/>
      </c>
      <c r="G421" s="47">
        <f>IF(_calc!$E$423="","",IF(LEN(INDEX('Checks'!$N$4:$N$503,_calc!$E$423))=0,"",INDEX('Checks'!$N$4:$N$503,_calc!$E$423)))</f>
        <v/>
      </c>
      <c r="K421" s="47">
        <f>IF(_calc!$E$423="","",IF(LEN(INDEX('Checks'!$M$4:$M$503,_calc!$E$423))=0,"",INDEX('Checks'!$M$4:$M$503,_calc!$E$423)))</f>
        <v/>
      </c>
    </row>
    <row r="422">
      <c r="A422" s="47">
        <f>IF(_calc!$E$424="","",IF(LEN(INDEX('Checks'!$B$4:$B$503,_calc!$E$424))=0,"",INDEX('Checks'!$B$4:$B$503,_calc!$E$424))&amp;" – "&amp;IF(LEN(INDEX('Checks'!$A$4:$A$503,_calc!$E$424))=0,"",INDEX('Checks'!$A$4:$A$503,_calc!$E$424)))</f>
        <v/>
      </c>
      <c r="B422" s="47">
        <f>IF(_calc!$E$424="","",IF(ISNUMBER(INDEX('Checks'!$D$4:$D$503,_calc!$E$424)),TEXT(INDEX('Checks'!$D$4:$D$503,_calc!$E$424),"yyyy-mm-dd"),""))</f>
        <v/>
      </c>
      <c r="C422" s="47">
        <f>IF(_calc!$E$424="","",IF(LEN(INDEX('Checks'!$B$4:$B$503,_calc!$E$424))=0,"",INDEX('Checks'!$B$4:$B$503,_calc!$E$424)))</f>
        <v/>
      </c>
      <c r="D422" s="47">
        <f>IF(_calc!$E$424="","",IF(ISNUMBER(INDEX('Checks'!$C$4:$C$503,_calc!$E$424)),TEXT(INDEX('Checks'!$C$4:$C$503,_calc!$E$424),"yyyy-mm-dd"),""))</f>
        <v/>
      </c>
      <c r="E422" s="47">
        <f>IF(_calc!$E$424="","",IF(LEN(INDEX('Checks'!$L$4:$L$503,_calc!$E$424))=0,"",INDEX('Checks'!$L$4:$L$503,_calc!$E$424)))</f>
        <v/>
      </c>
      <c r="F422" s="47">
        <f>IF(_calc!$E$424="","",TRIM(IF(LEN(IF(LEN(INDEX('Checks'!$I$4:$I$503,_calc!$E$424))=0,"",INDEX('Checks'!$I$4:$I$503,_calc!$E$424)))=0,"","Contractor: "&amp;IF(LEN(INDEX('Checks'!$I$4:$I$503,_calc!$E$424))=0,"",INDEX('Checks'!$I$4:$I$503,_calc!$E$424))&amp;". ")&amp;IF(LEN(IF(LEN(INDEX('Checks'!$J$4:$J$503,_calc!$E$424))=0,"",INDEX('Checks'!$J$4:$J$503,_calc!$E$424)))=0,"","Ref: "&amp;IF(LEN(INDEX('Checks'!$J$4:$J$503,_calc!$E$424))=0,"",INDEX('Checks'!$J$4:$J$503,_calc!$E$424))&amp;". ")&amp;IF(LEN(IF(ISNUMBER(INDEX('Checks'!$K$4:$K$503,_calc!$E$424)),TEXT(INDEX('Checks'!$K$4:$K$503,_calc!$E$424),"yyyy-mm-dd"),""))=0,"","Copy to tenant: "&amp;IF(ISNUMBER(INDEX('Checks'!$K$4:$K$503,_calc!$E$424)),TEXT(INDEX('Checks'!$K$4:$K$503,_calc!$E$424),"yyyy-mm-dd"),"")&amp;". ")&amp;IF(LEN(IF(LEN(INDEX('Checks'!$P$4:$P$503,_calc!$E$424))=0,"",INDEX('Checks'!$P$4:$P$503,_calc!$E$424)))=0,"",IF(LEN(INDEX('Checks'!$P$4:$P$503,_calc!$E$424))=0,"",INDEX('Checks'!$P$4:$P$503,_calc!$E$424)))))</f>
        <v/>
      </c>
      <c r="G422" s="47">
        <f>IF(_calc!$E$424="","",IF(LEN(INDEX('Checks'!$N$4:$N$503,_calc!$E$424))=0,"",INDEX('Checks'!$N$4:$N$503,_calc!$E$424)))</f>
        <v/>
      </c>
      <c r="K422" s="47">
        <f>IF(_calc!$E$424="","",IF(LEN(INDEX('Checks'!$M$4:$M$503,_calc!$E$424))=0,"",INDEX('Checks'!$M$4:$M$503,_calc!$E$424)))</f>
        <v/>
      </c>
    </row>
    <row r="423">
      <c r="A423" s="47">
        <f>IF(_calc!$E$425="","",IF(LEN(INDEX('Checks'!$B$4:$B$503,_calc!$E$425))=0,"",INDEX('Checks'!$B$4:$B$503,_calc!$E$425))&amp;" – "&amp;IF(LEN(INDEX('Checks'!$A$4:$A$503,_calc!$E$425))=0,"",INDEX('Checks'!$A$4:$A$503,_calc!$E$425)))</f>
        <v/>
      </c>
      <c r="B423" s="47">
        <f>IF(_calc!$E$425="","",IF(ISNUMBER(INDEX('Checks'!$D$4:$D$503,_calc!$E$425)),TEXT(INDEX('Checks'!$D$4:$D$503,_calc!$E$425),"yyyy-mm-dd"),""))</f>
        <v/>
      </c>
      <c r="C423" s="47">
        <f>IF(_calc!$E$425="","",IF(LEN(INDEX('Checks'!$B$4:$B$503,_calc!$E$425))=0,"",INDEX('Checks'!$B$4:$B$503,_calc!$E$425)))</f>
        <v/>
      </c>
      <c r="D423" s="47">
        <f>IF(_calc!$E$425="","",IF(ISNUMBER(INDEX('Checks'!$C$4:$C$503,_calc!$E$425)),TEXT(INDEX('Checks'!$C$4:$C$503,_calc!$E$425),"yyyy-mm-dd"),""))</f>
        <v/>
      </c>
      <c r="E423" s="47">
        <f>IF(_calc!$E$425="","",IF(LEN(INDEX('Checks'!$L$4:$L$503,_calc!$E$425))=0,"",INDEX('Checks'!$L$4:$L$503,_calc!$E$425)))</f>
        <v/>
      </c>
      <c r="F423" s="47">
        <f>IF(_calc!$E$425="","",TRIM(IF(LEN(IF(LEN(INDEX('Checks'!$I$4:$I$503,_calc!$E$425))=0,"",INDEX('Checks'!$I$4:$I$503,_calc!$E$425)))=0,"","Contractor: "&amp;IF(LEN(INDEX('Checks'!$I$4:$I$503,_calc!$E$425))=0,"",INDEX('Checks'!$I$4:$I$503,_calc!$E$425))&amp;". ")&amp;IF(LEN(IF(LEN(INDEX('Checks'!$J$4:$J$503,_calc!$E$425))=0,"",INDEX('Checks'!$J$4:$J$503,_calc!$E$425)))=0,"","Ref: "&amp;IF(LEN(INDEX('Checks'!$J$4:$J$503,_calc!$E$425))=0,"",INDEX('Checks'!$J$4:$J$503,_calc!$E$425))&amp;". ")&amp;IF(LEN(IF(ISNUMBER(INDEX('Checks'!$K$4:$K$503,_calc!$E$425)),TEXT(INDEX('Checks'!$K$4:$K$503,_calc!$E$425),"yyyy-mm-dd"),""))=0,"","Copy to tenant: "&amp;IF(ISNUMBER(INDEX('Checks'!$K$4:$K$503,_calc!$E$425)),TEXT(INDEX('Checks'!$K$4:$K$503,_calc!$E$425),"yyyy-mm-dd"),"")&amp;". ")&amp;IF(LEN(IF(LEN(INDEX('Checks'!$P$4:$P$503,_calc!$E$425))=0,"",INDEX('Checks'!$P$4:$P$503,_calc!$E$425)))=0,"",IF(LEN(INDEX('Checks'!$P$4:$P$503,_calc!$E$425))=0,"",INDEX('Checks'!$P$4:$P$503,_calc!$E$425)))))</f>
        <v/>
      </c>
      <c r="G423" s="47">
        <f>IF(_calc!$E$425="","",IF(LEN(INDEX('Checks'!$N$4:$N$503,_calc!$E$425))=0,"",INDEX('Checks'!$N$4:$N$503,_calc!$E$425)))</f>
        <v/>
      </c>
      <c r="K423" s="47">
        <f>IF(_calc!$E$425="","",IF(LEN(INDEX('Checks'!$M$4:$M$503,_calc!$E$425))=0,"",INDEX('Checks'!$M$4:$M$503,_calc!$E$425)))</f>
        <v/>
      </c>
    </row>
    <row r="424">
      <c r="A424" s="47">
        <f>IF(_calc!$E$426="","",IF(LEN(INDEX('Checks'!$B$4:$B$503,_calc!$E$426))=0,"",INDEX('Checks'!$B$4:$B$503,_calc!$E$426))&amp;" – "&amp;IF(LEN(INDEX('Checks'!$A$4:$A$503,_calc!$E$426))=0,"",INDEX('Checks'!$A$4:$A$503,_calc!$E$426)))</f>
        <v/>
      </c>
      <c r="B424" s="47">
        <f>IF(_calc!$E$426="","",IF(ISNUMBER(INDEX('Checks'!$D$4:$D$503,_calc!$E$426)),TEXT(INDEX('Checks'!$D$4:$D$503,_calc!$E$426),"yyyy-mm-dd"),""))</f>
        <v/>
      </c>
      <c r="C424" s="47">
        <f>IF(_calc!$E$426="","",IF(LEN(INDEX('Checks'!$B$4:$B$503,_calc!$E$426))=0,"",INDEX('Checks'!$B$4:$B$503,_calc!$E$426)))</f>
        <v/>
      </c>
      <c r="D424" s="47">
        <f>IF(_calc!$E$426="","",IF(ISNUMBER(INDEX('Checks'!$C$4:$C$503,_calc!$E$426)),TEXT(INDEX('Checks'!$C$4:$C$503,_calc!$E$426),"yyyy-mm-dd"),""))</f>
        <v/>
      </c>
      <c r="E424" s="47">
        <f>IF(_calc!$E$426="","",IF(LEN(INDEX('Checks'!$L$4:$L$503,_calc!$E$426))=0,"",INDEX('Checks'!$L$4:$L$503,_calc!$E$426)))</f>
        <v/>
      </c>
      <c r="F424" s="47">
        <f>IF(_calc!$E$426="","",TRIM(IF(LEN(IF(LEN(INDEX('Checks'!$I$4:$I$503,_calc!$E$426))=0,"",INDEX('Checks'!$I$4:$I$503,_calc!$E$426)))=0,"","Contractor: "&amp;IF(LEN(INDEX('Checks'!$I$4:$I$503,_calc!$E$426))=0,"",INDEX('Checks'!$I$4:$I$503,_calc!$E$426))&amp;". ")&amp;IF(LEN(IF(LEN(INDEX('Checks'!$J$4:$J$503,_calc!$E$426))=0,"",INDEX('Checks'!$J$4:$J$503,_calc!$E$426)))=0,"","Ref: "&amp;IF(LEN(INDEX('Checks'!$J$4:$J$503,_calc!$E$426))=0,"",INDEX('Checks'!$J$4:$J$503,_calc!$E$426))&amp;". ")&amp;IF(LEN(IF(ISNUMBER(INDEX('Checks'!$K$4:$K$503,_calc!$E$426)),TEXT(INDEX('Checks'!$K$4:$K$503,_calc!$E$426),"yyyy-mm-dd"),""))=0,"","Copy to tenant: "&amp;IF(ISNUMBER(INDEX('Checks'!$K$4:$K$503,_calc!$E$426)),TEXT(INDEX('Checks'!$K$4:$K$503,_calc!$E$426),"yyyy-mm-dd"),"")&amp;". ")&amp;IF(LEN(IF(LEN(INDEX('Checks'!$P$4:$P$503,_calc!$E$426))=0,"",INDEX('Checks'!$P$4:$P$503,_calc!$E$426)))=0,"",IF(LEN(INDEX('Checks'!$P$4:$P$503,_calc!$E$426))=0,"",INDEX('Checks'!$P$4:$P$503,_calc!$E$426)))))</f>
        <v/>
      </c>
      <c r="G424" s="47">
        <f>IF(_calc!$E$426="","",IF(LEN(INDEX('Checks'!$N$4:$N$503,_calc!$E$426))=0,"",INDEX('Checks'!$N$4:$N$503,_calc!$E$426)))</f>
        <v/>
      </c>
      <c r="K424" s="47">
        <f>IF(_calc!$E$426="","",IF(LEN(INDEX('Checks'!$M$4:$M$503,_calc!$E$426))=0,"",INDEX('Checks'!$M$4:$M$503,_calc!$E$426)))</f>
        <v/>
      </c>
    </row>
    <row r="425">
      <c r="A425" s="47">
        <f>IF(_calc!$E$427="","",IF(LEN(INDEX('Checks'!$B$4:$B$503,_calc!$E$427))=0,"",INDEX('Checks'!$B$4:$B$503,_calc!$E$427))&amp;" – "&amp;IF(LEN(INDEX('Checks'!$A$4:$A$503,_calc!$E$427))=0,"",INDEX('Checks'!$A$4:$A$503,_calc!$E$427)))</f>
        <v/>
      </c>
      <c r="B425" s="47">
        <f>IF(_calc!$E$427="","",IF(ISNUMBER(INDEX('Checks'!$D$4:$D$503,_calc!$E$427)),TEXT(INDEX('Checks'!$D$4:$D$503,_calc!$E$427),"yyyy-mm-dd"),""))</f>
        <v/>
      </c>
      <c r="C425" s="47">
        <f>IF(_calc!$E$427="","",IF(LEN(INDEX('Checks'!$B$4:$B$503,_calc!$E$427))=0,"",INDEX('Checks'!$B$4:$B$503,_calc!$E$427)))</f>
        <v/>
      </c>
      <c r="D425" s="47">
        <f>IF(_calc!$E$427="","",IF(ISNUMBER(INDEX('Checks'!$C$4:$C$503,_calc!$E$427)),TEXT(INDEX('Checks'!$C$4:$C$503,_calc!$E$427),"yyyy-mm-dd"),""))</f>
        <v/>
      </c>
      <c r="E425" s="47">
        <f>IF(_calc!$E$427="","",IF(LEN(INDEX('Checks'!$L$4:$L$503,_calc!$E$427))=0,"",INDEX('Checks'!$L$4:$L$503,_calc!$E$427)))</f>
        <v/>
      </c>
      <c r="F425" s="47">
        <f>IF(_calc!$E$427="","",TRIM(IF(LEN(IF(LEN(INDEX('Checks'!$I$4:$I$503,_calc!$E$427))=0,"",INDEX('Checks'!$I$4:$I$503,_calc!$E$427)))=0,"","Contractor: "&amp;IF(LEN(INDEX('Checks'!$I$4:$I$503,_calc!$E$427))=0,"",INDEX('Checks'!$I$4:$I$503,_calc!$E$427))&amp;". ")&amp;IF(LEN(IF(LEN(INDEX('Checks'!$J$4:$J$503,_calc!$E$427))=0,"",INDEX('Checks'!$J$4:$J$503,_calc!$E$427)))=0,"","Ref: "&amp;IF(LEN(INDEX('Checks'!$J$4:$J$503,_calc!$E$427))=0,"",INDEX('Checks'!$J$4:$J$503,_calc!$E$427))&amp;". ")&amp;IF(LEN(IF(ISNUMBER(INDEX('Checks'!$K$4:$K$503,_calc!$E$427)),TEXT(INDEX('Checks'!$K$4:$K$503,_calc!$E$427),"yyyy-mm-dd"),""))=0,"","Copy to tenant: "&amp;IF(ISNUMBER(INDEX('Checks'!$K$4:$K$503,_calc!$E$427)),TEXT(INDEX('Checks'!$K$4:$K$503,_calc!$E$427),"yyyy-mm-dd"),"")&amp;". ")&amp;IF(LEN(IF(LEN(INDEX('Checks'!$P$4:$P$503,_calc!$E$427))=0,"",INDEX('Checks'!$P$4:$P$503,_calc!$E$427)))=0,"",IF(LEN(INDEX('Checks'!$P$4:$P$503,_calc!$E$427))=0,"",INDEX('Checks'!$P$4:$P$503,_calc!$E$427)))))</f>
        <v/>
      </c>
      <c r="G425" s="47">
        <f>IF(_calc!$E$427="","",IF(LEN(INDEX('Checks'!$N$4:$N$503,_calc!$E$427))=0,"",INDEX('Checks'!$N$4:$N$503,_calc!$E$427)))</f>
        <v/>
      </c>
      <c r="K425" s="47">
        <f>IF(_calc!$E$427="","",IF(LEN(INDEX('Checks'!$M$4:$M$503,_calc!$E$427))=0,"",INDEX('Checks'!$M$4:$M$503,_calc!$E$427)))</f>
        <v/>
      </c>
    </row>
    <row r="426">
      <c r="A426" s="47">
        <f>IF(_calc!$E$428="","",IF(LEN(INDEX('Checks'!$B$4:$B$503,_calc!$E$428))=0,"",INDEX('Checks'!$B$4:$B$503,_calc!$E$428))&amp;" – "&amp;IF(LEN(INDEX('Checks'!$A$4:$A$503,_calc!$E$428))=0,"",INDEX('Checks'!$A$4:$A$503,_calc!$E$428)))</f>
        <v/>
      </c>
      <c r="B426" s="47">
        <f>IF(_calc!$E$428="","",IF(ISNUMBER(INDEX('Checks'!$D$4:$D$503,_calc!$E$428)),TEXT(INDEX('Checks'!$D$4:$D$503,_calc!$E$428),"yyyy-mm-dd"),""))</f>
        <v/>
      </c>
      <c r="C426" s="47">
        <f>IF(_calc!$E$428="","",IF(LEN(INDEX('Checks'!$B$4:$B$503,_calc!$E$428))=0,"",INDEX('Checks'!$B$4:$B$503,_calc!$E$428)))</f>
        <v/>
      </c>
      <c r="D426" s="47">
        <f>IF(_calc!$E$428="","",IF(ISNUMBER(INDEX('Checks'!$C$4:$C$503,_calc!$E$428)),TEXT(INDEX('Checks'!$C$4:$C$503,_calc!$E$428),"yyyy-mm-dd"),""))</f>
        <v/>
      </c>
      <c r="E426" s="47">
        <f>IF(_calc!$E$428="","",IF(LEN(INDEX('Checks'!$L$4:$L$503,_calc!$E$428))=0,"",INDEX('Checks'!$L$4:$L$503,_calc!$E$428)))</f>
        <v/>
      </c>
      <c r="F426" s="47">
        <f>IF(_calc!$E$428="","",TRIM(IF(LEN(IF(LEN(INDEX('Checks'!$I$4:$I$503,_calc!$E$428))=0,"",INDEX('Checks'!$I$4:$I$503,_calc!$E$428)))=0,"","Contractor: "&amp;IF(LEN(INDEX('Checks'!$I$4:$I$503,_calc!$E$428))=0,"",INDEX('Checks'!$I$4:$I$503,_calc!$E$428))&amp;". ")&amp;IF(LEN(IF(LEN(INDEX('Checks'!$J$4:$J$503,_calc!$E$428))=0,"",INDEX('Checks'!$J$4:$J$503,_calc!$E$428)))=0,"","Ref: "&amp;IF(LEN(INDEX('Checks'!$J$4:$J$503,_calc!$E$428))=0,"",INDEX('Checks'!$J$4:$J$503,_calc!$E$428))&amp;". ")&amp;IF(LEN(IF(ISNUMBER(INDEX('Checks'!$K$4:$K$503,_calc!$E$428)),TEXT(INDEX('Checks'!$K$4:$K$503,_calc!$E$428),"yyyy-mm-dd"),""))=0,"","Copy to tenant: "&amp;IF(ISNUMBER(INDEX('Checks'!$K$4:$K$503,_calc!$E$428)),TEXT(INDEX('Checks'!$K$4:$K$503,_calc!$E$428),"yyyy-mm-dd"),"")&amp;". ")&amp;IF(LEN(IF(LEN(INDEX('Checks'!$P$4:$P$503,_calc!$E$428))=0,"",INDEX('Checks'!$P$4:$P$503,_calc!$E$428)))=0,"",IF(LEN(INDEX('Checks'!$P$4:$P$503,_calc!$E$428))=0,"",INDEX('Checks'!$P$4:$P$503,_calc!$E$428)))))</f>
        <v/>
      </c>
      <c r="G426" s="47">
        <f>IF(_calc!$E$428="","",IF(LEN(INDEX('Checks'!$N$4:$N$503,_calc!$E$428))=0,"",INDEX('Checks'!$N$4:$N$503,_calc!$E$428)))</f>
        <v/>
      </c>
      <c r="K426" s="47">
        <f>IF(_calc!$E$428="","",IF(LEN(INDEX('Checks'!$M$4:$M$503,_calc!$E$428))=0,"",INDEX('Checks'!$M$4:$M$503,_calc!$E$428)))</f>
        <v/>
      </c>
    </row>
    <row r="427">
      <c r="A427" s="47">
        <f>IF(_calc!$E$429="","",IF(LEN(INDEX('Checks'!$B$4:$B$503,_calc!$E$429))=0,"",INDEX('Checks'!$B$4:$B$503,_calc!$E$429))&amp;" – "&amp;IF(LEN(INDEX('Checks'!$A$4:$A$503,_calc!$E$429))=0,"",INDEX('Checks'!$A$4:$A$503,_calc!$E$429)))</f>
        <v/>
      </c>
      <c r="B427" s="47">
        <f>IF(_calc!$E$429="","",IF(ISNUMBER(INDEX('Checks'!$D$4:$D$503,_calc!$E$429)),TEXT(INDEX('Checks'!$D$4:$D$503,_calc!$E$429),"yyyy-mm-dd"),""))</f>
        <v/>
      </c>
      <c r="C427" s="47">
        <f>IF(_calc!$E$429="","",IF(LEN(INDEX('Checks'!$B$4:$B$503,_calc!$E$429))=0,"",INDEX('Checks'!$B$4:$B$503,_calc!$E$429)))</f>
        <v/>
      </c>
      <c r="D427" s="47">
        <f>IF(_calc!$E$429="","",IF(ISNUMBER(INDEX('Checks'!$C$4:$C$503,_calc!$E$429)),TEXT(INDEX('Checks'!$C$4:$C$503,_calc!$E$429),"yyyy-mm-dd"),""))</f>
        <v/>
      </c>
      <c r="E427" s="47">
        <f>IF(_calc!$E$429="","",IF(LEN(INDEX('Checks'!$L$4:$L$503,_calc!$E$429))=0,"",INDEX('Checks'!$L$4:$L$503,_calc!$E$429)))</f>
        <v/>
      </c>
      <c r="F427" s="47">
        <f>IF(_calc!$E$429="","",TRIM(IF(LEN(IF(LEN(INDEX('Checks'!$I$4:$I$503,_calc!$E$429))=0,"",INDEX('Checks'!$I$4:$I$503,_calc!$E$429)))=0,"","Contractor: "&amp;IF(LEN(INDEX('Checks'!$I$4:$I$503,_calc!$E$429))=0,"",INDEX('Checks'!$I$4:$I$503,_calc!$E$429))&amp;". ")&amp;IF(LEN(IF(LEN(INDEX('Checks'!$J$4:$J$503,_calc!$E$429))=0,"",INDEX('Checks'!$J$4:$J$503,_calc!$E$429)))=0,"","Ref: "&amp;IF(LEN(INDEX('Checks'!$J$4:$J$503,_calc!$E$429))=0,"",INDEX('Checks'!$J$4:$J$503,_calc!$E$429))&amp;". ")&amp;IF(LEN(IF(ISNUMBER(INDEX('Checks'!$K$4:$K$503,_calc!$E$429)),TEXT(INDEX('Checks'!$K$4:$K$503,_calc!$E$429),"yyyy-mm-dd"),""))=0,"","Copy to tenant: "&amp;IF(ISNUMBER(INDEX('Checks'!$K$4:$K$503,_calc!$E$429)),TEXT(INDEX('Checks'!$K$4:$K$503,_calc!$E$429),"yyyy-mm-dd"),"")&amp;". ")&amp;IF(LEN(IF(LEN(INDEX('Checks'!$P$4:$P$503,_calc!$E$429))=0,"",INDEX('Checks'!$P$4:$P$503,_calc!$E$429)))=0,"",IF(LEN(INDEX('Checks'!$P$4:$P$503,_calc!$E$429))=0,"",INDEX('Checks'!$P$4:$P$503,_calc!$E$429)))))</f>
        <v/>
      </c>
      <c r="G427" s="47">
        <f>IF(_calc!$E$429="","",IF(LEN(INDEX('Checks'!$N$4:$N$503,_calc!$E$429))=0,"",INDEX('Checks'!$N$4:$N$503,_calc!$E$429)))</f>
        <v/>
      </c>
      <c r="K427" s="47">
        <f>IF(_calc!$E$429="","",IF(LEN(INDEX('Checks'!$M$4:$M$503,_calc!$E$429))=0,"",INDEX('Checks'!$M$4:$M$503,_calc!$E$429)))</f>
        <v/>
      </c>
    </row>
    <row r="428">
      <c r="A428" s="47">
        <f>IF(_calc!$E$430="","",IF(LEN(INDEX('Checks'!$B$4:$B$503,_calc!$E$430))=0,"",INDEX('Checks'!$B$4:$B$503,_calc!$E$430))&amp;" – "&amp;IF(LEN(INDEX('Checks'!$A$4:$A$503,_calc!$E$430))=0,"",INDEX('Checks'!$A$4:$A$503,_calc!$E$430)))</f>
        <v/>
      </c>
      <c r="B428" s="47">
        <f>IF(_calc!$E$430="","",IF(ISNUMBER(INDEX('Checks'!$D$4:$D$503,_calc!$E$430)),TEXT(INDEX('Checks'!$D$4:$D$503,_calc!$E$430),"yyyy-mm-dd"),""))</f>
        <v/>
      </c>
      <c r="C428" s="47">
        <f>IF(_calc!$E$430="","",IF(LEN(INDEX('Checks'!$B$4:$B$503,_calc!$E$430))=0,"",INDEX('Checks'!$B$4:$B$503,_calc!$E$430)))</f>
        <v/>
      </c>
      <c r="D428" s="47">
        <f>IF(_calc!$E$430="","",IF(ISNUMBER(INDEX('Checks'!$C$4:$C$503,_calc!$E$430)),TEXT(INDEX('Checks'!$C$4:$C$503,_calc!$E$430),"yyyy-mm-dd"),""))</f>
        <v/>
      </c>
      <c r="E428" s="47">
        <f>IF(_calc!$E$430="","",IF(LEN(INDEX('Checks'!$L$4:$L$503,_calc!$E$430))=0,"",INDEX('Checks'!$L$4:$L$503,_calc!$E$430)))</f>
        <v/>
      </c>
      <c r="F428" s="47">
        <f>IF(_calc!$E$430="","",TRIM(IF(LEN(IF(LEN(INDEX('Checks'!$I$4:$I$503,_calc!$E$430))=0,"",INDEX('Checks'!$I$4:$I$503,_calc!$E$430)))=0,"","Contractor: "&amp;IF(LEN(INDEX('Checks'!$I$4:$I$503,_calc!$E$430))=0,"",INDEX('Checks'!$I$4:$I$503,_calc!$E$430))&amp;". ")&amp;IF(LEN(IF(LEN(INDEX('Checks'!$J$4:$J$503,_calc!$E$430))=0,"",INDEX('Checks'!$J$4:$J$503,_calc!$E$430)))=0,"","Ref: "&amp;IF(LEN(INDEX('Checks'!$J$4:$J$503,_calc!$E$430))=0,"",INDEX('Checks'!$J$4:$J$503,_calc!$E$430))&amp;". ")&amp;IF(LEN(IF(ISNUMBER(INDEX('Checks'!$K$4:$K$503,_calc!$E$430)),TEXT(INDEX('Checks'!$K$4:$K$503,_calc!$E$430),"yyyy-mm-dd"),""))=0,"","Copy to tenant: "&amp;IF(ISNUMBER(INDEX('Checks'!$K$4:$K$503,_calc!$E$430)),TEXT(INDEX('Checks'!$K$4:$K$503,_calc!$E$430),"yyyy-mm-dd"),"")&amp;". ")&amp;IF(LEN(IF(LEN(INDEX('Checks'!$P$4:$P$503,_calc!$E$430))=0,"",INDEX('Checks'!$P$4:$P$503,_calc!$E$430)))=0,"",IF(LEN(INDEX('Checks'!$P$4:$P$503,_calc!$E$430))=0,"",INDEX('Checks'!$P$4:$P$503,_calc!$E$430)))))</f>
        <v/>
      </c>
      <c r="G428" s="47">
        <f>IF(_calc!$E$430="","",IF(LEN(INDEX('Checks'!$N$4:$N$503,_calc!$E$430))=0,"",INDEX('Checks'!$N$4:$N$503,_calc!$E$430)))</f>
        <v/>
      </c>
      <c r="K428" s="47">
        <f>IF(_calc!$E$430="","",IF(LEN(INDEX('Checks'!$M$4:$M$503,_calc!$E$430))=0,"",INDEX('Checks'!$M$4:$M$503,_calc!$E$430)))</f>
        <v/>
      </c>
    </row>
    <row r="429">
      <c r="A429" s="47">
        <f>IF(_calc!$E$431="","",IF(LEN(INDEX('Checks'!$B$4:$B$503,_calc!$E$431))=0,"",INDEX('Checks'!$B$4:$B$503,_calc!$E$431))&amp;" – "&amp;IF(LEN(INDEX('Checks'!$A$4:$A$503,_calc!$E$431))=0,"",INDEX('Checks'!$A$4:$A$503,_calc!$E$431)))</f>
        <v/>
      </c>
      <c r="B429" s="47">
        <f>IF(_calc!$E$431="","",IF(ISNUMBER(INDEX('Checks'!$D$4:$D$503,_calc!$E$431)),TEXT(INDEX('Checks'!$D$4:$D$503,_calc!$E$431),"yyyy-mm-dd"),""))</f>
        <v/>
      </c>
      <c r="C429" s="47">
        <f>IF(_calc!$E$431="","",IF(LEN(INDEX('Checks'!$B$4:$B$503,_calc!$E$431))=0,"",INDEX('Checks'!$B$4:$B$503,_calc!$E$431)))</f>
        <v/>
      </c>
      <c r="D429" s="47">
        <f>IF(_calc!$E$431="","",IF(ISNUMBER(INDEX('Checks'!$C$4:$C$503,_calc!$E$431)),TEXT(INDEX('Checks'!$C$4:$C$503,_calc!$E$431),"yyyy-mm-dd"),""))</f>
        <v/>
      </c>
      <c r="E429" s="47">
        <f>IF(_calc!$E$431="","",IF(LEN(INDEX('Checks'!$L$4:$L$503,_calc!$E$431))=0,"",INDEX('Checks'!$L$4:$L$503,_calc!$E$431)))</f>
        <v/>
      </c>
      <c r="F429" s="47">
        <f>IF(_calc!$E$431="","",TRIM(IF(LEN(IF(LEN(INDEX('Checks'!$I$4:$I$503,_calc!$E$431))=0,"",INDEX('Checks'!$I$4:$I$503,_calc!$E$431)))=0,"","Contractor: "&amp;IF(LEN(INDEX('Checks'!$I$4:$I$503,_calc!$E$431))=0,"",INDEX('Checks'!$I$4:$I$503,_calc!$E$431))&amp;". ")&amp;IF(LEN(IF(LEN(INDEX('Checks'!$J$4:$J$503,_calc!$E$431))=0,"",INDEX('Checks'!$J$4:$J$503,_calc!$E$431)))=0,"","Ref: "&amp;IF(LEN(INDEX('Checks'!$J$4:$J$503,_calc!$E$431))=0,"",INDEX('Checks'!$J$4:$J$503,_calc!$E$431))&amp;". ")&amp;IF(LEN(IF(ISNUMBER(INDEX('Checks'!$K$4:$K$503,_calc!$E$431)),TEXT(INDEX('Checks'!$K$4:$K$503,_calc!$E$431),"yyyy-mm-dd"),""))=0,"","Copy to tenant: "&amp;IF(ISNUMBER(INDEX('Checks'!$K$4:$K$503,_calc!$E$431)),TEXT(INDEX('Checks'!$K$4:$K$503,_calc!$E$431),"yyyy-mm-dd"),"")&amp;". ")&amp;IF(LEN(IF(LEN(INDEX('Checks'!$P$4:$P$503,_calc!$E$431))=0,"",INDEX('Checks'!$P$4:$P$503,_calc!$E$431)))=0,"",IF(LEN(INDEX('Checks'!$P$4:$P$503,_calc!$E$431))=0,"",INDEX('Checks'!$P$4:$P$503,_calc!$E$431)))))</f>
        <v/>
      </c>
      <c r="G429" s="47">
        <f>IF(_calc!$E$431="","",IF(LEN(INDEX('Checks'!$N$4:$N$503,_calc!$E$431))=0,"",INDEX('Checks'!$N$4:$N$503,_calc!$E$431)))</f>
        <v/>
      </c>
      <c r="K429" s="47">
        <f>IF(_calc!$E$431="","",IF(LEN(INDEX('Checks'!$M$4:$M$503,_calc!$E$431))=0,"",INDEX('Checks'!$M$4:$M$503,_calc!$E$431)))</f>
        <v/>
      </c>
    </row>
    <row r="430">
      <c r="A430" s="47">
        <f>IF(_calc!$E$432="","",IF(LEN(INDEX('Checks'!$B$4:$B$503,_calc!$E$432))=0,"",INDEX('Checks'!$B$4:$B$503,_calc!$E$432))&amp;" – "&amp;IF(LEN(INDEX('Checks'!$A$4:$A$503,_calc!$E$432))=0,"",INDEX('Checks'!$A$4:$A$503,_calc!$E$432)))</f>
        <v/>
      </c>
      <c r="B430" s="47">
        <f>IF(_calc!$E$432="","",IF(ISNUMBER(INDEX('Checks'!$D$4:$D$503,_calc!$E$432)),TEXT(INDEX('Checks'!$D$4:$D$503,_calc!$E$432),"yyyy-mm-dd"),""))</f>
        <v/>
      </c>
      <c r="C430" s="47">
        <f>IF(_calc!$E$432="","",IF(LEN(INDEX('Checks'!$B$4:$B$503,_calc!$E$432))=0,"",INDEX('Checks'!$B$4:$B$503,_calc!$E$432)))</f>
        <v/>
      </c>
      <c r="D430" s="47">
        <f>IF(_calc!$E$432="","",IF(ISNUMBER(INDEX('Checks'!$C$4:$C$503,_calc!$E$432)),TEXT(INDEX('Checks'!$C$4:$C$503,_calc!$E$432),"yyyy-mm-dd"),""))</f>
        <v/>
      </c>
      <c r="E430" s="47">
        <f>IF(_calc!$E$432="","",IF(LEN(INDEX('Checks'!$L$4:$L$503,_calc!$E$432))=0,"",INDEX('Checks'!$L$4:$L$503,_calc!$E$432)))</f>
        <v/>
      </c>
      <c r="F430" s="47">
        <f>IF(_calc!$E$432="","",TRIM(IF(LEN(IF(LEN(INDEX('Checks'!$I$4:$I$503,_calc!$E$432))=0,"",INDEX('Checks'!$I$4:$I$503,_calc!$E$432)))=0,"","Contractor: "&amp;IF(LEN(INDEX('Checks'!$I$4:$I$503,_calc!$E$432))=0,"",INDEX('Checks'!$I$4:$I$503,_calc!$E$432))&amp;". ")&amp;IF(LEN(IF(LEN(INDEX('Checks'!$J$4:$J$503,_calc!$E$432))=0,"",INDEX('Checks'!$J$4:$J$503,_calc!$E$432)))=0,"","Ref: "&amp;IF(LEN(INDEX('Checks'!$J$4:$J$503,_calc!$E$432))=0,"",INDEX('Checks'!$J$4:$J$503,_calc!$E$432))&amp;". ")&amp;IF(LEN(IF(ISNUMBER(INDEX('Checks'!$K$4:$K$503,_calc!$E$432)),TEXT(INDEX('Checks'!$K$4:$K$503,_calc!$E$432),"yyyy-mm-dd"),""))=0,"","Copy to tenant: "&amp;IF(ISNUMBER(INDEX('Checks'!$K$4:$K$503,_calc!$E$432)),TEXT(INDEX('Checks'!$K$4:$K$503,_calc!$E$432),"yyyy-mm-dd"),"")&amp;". ")&amp;IF(LEN(IF(LEN(INDEX('Checks'!$P$4:$P$503,_calc!$E$432))=0,"",INDEX('Checks'!$P$4:$P$503,_calc!$E$432)))=0,"",IF(LEN(INDEX('Checks'!$P$4:$P$503,_calc!$E$432))=0,"",INDEX('Checks'!$P$4:$P$503,_calc!$E$432)))))</f>
        <v/>
      </c>
      <c r="G430" s="47">
        <f>IF(_calc!$E$432="","",IF(LEN(INDEX('Checks'!$N$4:$N$503,_calc!$E$432))=0,"",INDEX('Checks'!$N$4:$N$503,_calc!$E$432)))</f>
        <v/>
      </c>
      <c r="K430" s="47">
        <f>IF(_calc!$E$432="","",IF(LEN(INDEX('Checks'!$M$4:$M$503,_calc!$E$432))=0,"",INDEX('Checks'!$M$4:$M$503,_calc!$E$432)))</f>
        <v/>
      </c>
    </row>
    <row r="431">
      <c r="A431" s="47">
        <f>IF(_calc!$E$433="","",IF(LEN(INDEX('Checks'!$B$4:$B$503,_calc!$E$433))=0,"",INDEX('Checks'!$B$4:$B$503,_calc!$E$433))&amp;" – "&amp;IF(LEN(INDEX('Checks'!$A$4:$A$503,_calc!$E$433))=0,"",INDEX('Checks'!$A$4:$A$503,_calc!$E$433)))</f>
        <v/>
      </c>
      <c r="B431" s="47">
        <f>IF(_calc!$E$433="","",IF(ISNUMBER(INDEX('Checks'!$D$4:$D$503,_calc!$E$433)),TEXT(INDEX('Checks'!$D$4:$D$503,_calc!$E$433),"yyyy-mm-dd"),""))</f>
        <v/>
      </c>
      <c r="C431" s="47">
        <f>IF(_calc!$E$433="","",IF(LEN(INDEX('Checks'!$B$4:$B$503,_calc!$E$433))=0,"",INDEX('Checks'!$B$4:$B$503,_calc!$E$433)))</f>
        <v/>
      </c>
      <c r="D431" s="47">
        <f>IF(_calc!$E$433="","",IF(ISNUMBER(INDEX('Checks'!$C$4:$C$503,_calc!$E$433)),TEXT(INDEX('Checks'!$C$4:$C$503,_calc!$E$433),"yyyy-mm-dd"),""))</f>
        <v/>
      </c>
      <c r="E431" s="47">
        <f>IF(_calc!$E$433="","",IF(LEN(INDEX('Checks'!$L$4:$L$503,_calc!$E$433))=0,"",INDEX('Checks'!$L$4:$L$503,_calc!$E$433)))</f>
        <v/>
      </c>
      <c r="F431" s="47">
        <f>IF(_calc!$E$433="","",TRIM(IF(LEN(IF(LEN(INDEX('Checks'!$I$4:$I$503,_calc!$E$433))=0,"",INDEX('Checks'!$I$4:$I$503,_calc!$E$433)))=0,"","Contractor: "&amp;IF(LEN(INDEX('Checks'!$I$4:$I$503,_calc!$E$433))=0,"",INDEX('Checks'!$I$4:$I$503,_calc!$E$433))&amp;". ")&amp;IF(LEN(IF(LEN(INDEX('Checks'!$J$4:$J$503,_calc!$E$433))=0,"",INDEX('Checks'!$J$4:$J$503,_calc!$E$433)))=0,"","Ref: "&amp;IF(LEN(INDEX('Checks'!$J$4:$J$503,_calc!$E$433))=0,"",INDEX('Checks'!$J$4:$J$503,_calc!$E$433))&amp;". ")&amp;IF(LEN(IF(ISNUMBER(INDEX('Checks'!$K$4:$K$503,_calc!$E$433)),TEXT(INDEX('Checks'!$K$4:$K$503,_calc!$E$433),"yyyy-mm-dd"),""))=0,"","Copy to tenant: "&amp;IF(ISNUMBER(INDEX('Checks'!$K$4:$K$503,_calc!$E$433)),TEXT(INDEX('Checks'!$K$4:$K$503,_calc!$E$433),"yyyy-mm-dd"),"")&amp;". ")&amp;IF(LEN(IF(LEN(INDEX('Checks'!$P$4:$P$503,_calc!$E$433))=0,"",INDEX('Checks'!$P$4:$P$503,_calc!$E$433)))=0,"",IF(LEN(INDEX('Checks'!$P$4:$P$503,_calc!$E$433))=0,"",INDEX('Checks'!$P$4:$P$503,_calc!$E$433)))))</f>
        <v/>
      </c>
      <c r="G431" s="47">
        <f>IF(_calc!$E$433="","",IF(LEN(INDEX('Checks'!$N$4:$N$503,_calc!$E$433))=0,"",INDEX('Checks'!$N$4:$N$503,_calc!$E$433)))</f>
        <v/>
      </c>
      <c r="K431" s="47">
        <f>IF(_calc!$E$433="","",IF(LEN(INDEX('Checks'!$M$4:$M$503,_calc!$E$433))=0,"",INDEX('Checks'!$M$4:$M$503,_calc!$E$433)))</f>
        <v/>
      </c>
    </row>
    <row r="432">
      <c r="A432" s="47">
        <f>IF(_calc!$E$434="","",IF(LEN(INDEX('Checks'!$B$4:$B$503,_calc!$E$434))=0,"",INDEX('Checks'!$B$4:$B$503,_calc!$E$434))&amp;" – "&amp;IF(LEN(INDEX('Checks'!$A$4:$A$503,_calc!$E$434))=0,"",INDEX('Checks'!$A$4:$A$503,_calc!$E$434)))</f>
        <v/>
      </c>
      <c r="B432" s="47">
        <f>IF(_calc!$E$434="","",IF(ISNUMBER(INDEX('Checks'!$D$4:$D$503,_calc!$E$434)),TEXT(INDEX('Checks'!$D$4:$D$503,_calc!$E$434),"yyyy-mm-dd"),""))</f>
        <v/>
      </c>
      <c r="C432" s="47">
        <f>IF(_calc!$E$434="","",IF(LEN(INDEX('Checks'!$B$4:$B$503,_calc!$E$434))=0,"",INDEX('Checks'!$B$4:$B$503,_calc!$E$434)))</f>
        <v/>
      </c>
      <c r="D432" s="47">
        <f>IF(_calc!$E$434="","",IF(ISNUMBER(INDEX('Checks'!$C$4:$C$503,_calc!$E$434)),TEXT(INDEX('Checks'!$C$4:$C$503,_calc!$E$434),"yyyy-mm-dd"),""))</f>
        <v/>
      </c>
      <c r="E432" s="47">
        <f>IF(_calc!$E$434="","",IF(LEN(INDEX('Checks'!$L$4:$L$503,_calc!$E$434))=0,"",INDEX('Checks'!$L$4:$L$503,_calc!$E$434)))</f>
        <v/>
      </c>
      <c r="F432" s="47">
        <f>IF(_calc!$E$434="","",TRIM(IF(LEN(IF(LEN(INDEX('Checks'!$I$4:$I$503,_calc!$E$434))=0,"",INDEX('Checks'!$I$4:$I$503,_calc!$E$434)))=0,"","Contractor: "&amp;IF(LEN(INDEX('Checks'!$I$4:$I$503,_calc!$E$434))=0,"",INDEX('Checks'!$I$4:$I$503,_calc!$E$434))&amp;". ")&amp;IF(LEN(IF(LEN(INDEX('Checks'!$J$4:$J$503,_calc!$E$434))=0,"",INDEX('Checks'!$J$4:$J$503,_calc!$E$434)))=0,"","Ref: "&amp;IF(LEN(INDEX('Checks'!$J$4:$J$503,_calc!$E$434))=0,"",INDEX('Checks'!$J$4:$J$503,_calc!$E$434))&amp;". ")&amp;IF(LEN(IF(ISNUMBER(INDEX('Checks'!$K$4:$K$503,_calc!$E$434)),TEXT(INDEX('Checks'!$K$4:$K$503,_calc!$E$434),"yyyy-mm-dd"),""))=0,"","Copy to tenant: "&amp;IF(ISNUMBER(INDEX('Checks'!$K$4:$K$503,_calc!$E$434)),TEXT(INDEX('Checks'!$K$4:$K$503,_calc!$E$434),"yyyy-mm-dd"),"")&amp;". ")&amp;IF(LEN(IF(LEN(INDEX('Checks'!$P$4:$P$503,_calc!$E$434))=0,"",INDEX('Checks'!$P$4:$P$503,_calc!$E$434)))=0,"",IF(LEN(INDEX('Checks'!$P$4:$P$503,_calc!$E$434))=0,"",INDEX('Checks'!$P$4:$P$503,_calc!$E$434)))))</f>
        <v/>
      </c>
      <c r="G432" s="47">
        <f>IF(_calc!$E$434="","",IF(LEN(INDEX('Checks'!$N$4:$N$503,_calc!$E$434))=0,"",INDEX('Checks'!$N$4:$N$503,_calc!$E$434)))</f>
        <v/>
      </c>
      <c r="K432" s="47">
        <f>IF(_calc!$E$434="","",IF(LEN(INDEX('Checks'!$M$4:$M$503,_calc!$E$434))=0,"",INDEX('Checks'!$M$4:$M$503,_calc!$E$434)))</f>
        <v/>
      </c>
    </row>
    <row r="433">
      <c r="A433" s="47">
        <f>IF(_calc!$E$435="","",IF(LEN(INDEX('Checks'!$B$4:$B$503,_calc!$E$435))=0,"",INDEX('Checks'!$B$4:$B$503,_calc!$E$435))&amp;" – "&amp;IF(LEN(INDEX('Checks'!$A$4:$A$503,_calc!$E$435))=0,"",INDEX('Checks'!$A$4:$A$503,_calc!$E$435)))</f>
        <v/>
      </c>
      <c r="B433" s="47">
        <f>IF(_calc!$E$435="","",IF(ISNUMBER(INDEX('Checks'!$D$4:$D$503,_calc!$E$435)),TEXT(INDEX('Checks'!$D$4:$D$503,_calc!$E$435),"yyyy-mm-dd"),""))</f>
        <v/>
      </c>
      <c r="C433" s="47">
        <f>IF(_calc!$E$435="","",IF(LEN(INDEX('Checks'!$B$4:$B$503,_calc!$E$435))=0,"",INDEX('Checks'!$B$4:$B$503,_calc!$E$435)))</f>
        <v/>
      </c>
      <c r="D433" s="47">
        <f>IF(_calc!$E$435="","",IF(ISNUMBER(INDEX('Checks'!$C$4:$C$503,_calc!$E$435)),TEXT(INDEX('Checks'!$C$4:$C$503,_calc!$E$435),"yyyy-mm-dd"),""))</f>
        <v/>
      </c>
      <c r="E433" s="47">
        <f>IF(_calc!$E$435="","",IF(LEN(INDEX('Checks'!$L$4:$L$503,_calc!$E$435))=0,"",INDEX('Checks'!$L$4:$L$503,_calc!$E$435)))</f>
        <v/>
      </c>
      <c r="F433" s="47">
        <f>IF(_calc!$E$435="","",TRIM(IF(LEN(IF(LEN(INDEX('Checks'!$I$4:$I$503,_calc!$E$435))=0,"",INDEX('Checks'!$I$4:$I$503,_calc!$E$435)))=0,"","Contractor: "&amp;IF(LEN(INDEX('Checks'!$I$4:$I$503,_calc!$E$435))=0,"",INDEX('Checks'!$I$4:$I$503,_calc!$E$435))&amp;". ")&amp;IF(LEN(IF(LEN(INDEX('Checks'!$J$4:$J$503,_calc!$E$435))=0,"",INDEX('Checks'!$J$4:$J$503,_calc!$E$435)))=0,"","Ref: "&amp;IF(LEN(INDEX('Checks'!$J$4:$J$503,_calc!$E$435))=0,"",INDEX('Checks'!$J$4:$J$503,_calc!$E$435))&amp;". ")&amp;IF(LEN(IF(ISNUMBER(INDEX('Checks'!$K$4:$K$503,_calc!$E$435)),TEXT(INDEX('Checks'!$K$4:$K$503,_calc!$E$435),"yyyy-mm-dd"),""))=0,"","Copy to tenant: "&amp;IF(ISNUMBER(INDEX('Checks'!$K$4:$K$503,_calc!$E$435)),TEXT(INDEX('Checks'!$K$4:$K$503,_calc!$E$435),"yyyy-mm-dd"),"")&amp;". ")&amp;IF(LEN(IF(LEN(INDEX('Checks'!$P$4:$P$503,_calc!$E$435))=0,"",INDEX('Checks'!$P$4:$P$503,_calc!$E$435)))=0,"",IF(LEN(INDEX('Checks'!$P$4:$P$503,_calc!$E$435))=0,"",INDEX('Checks'!$P$4:$P$503,_calc!$E$435)))))</f>
        <v/>
      </c>
      <c r="G433" s="47">
        <f>IF(_calc!$E$435="","",IF(LEN(INDEX('Checks'!$N$4:$N$503,_calc!$E$435))=0,"",INDEX('Checks'!$N$4:$N$503,_calc!$E$435)))</f>
        <v/>
      </c>
      <c r="K433" s="47">
        <f>IF(_calc!$E$435="","",IF(LEN(INDEX('Checks'!$M$4:$M$503,_calc!$E$435))=0,"",INDEX('Checks'!$M$4:$M$503,_calc!$E$435)))</f>
        <v/>
      </c>
    </row>
    <row r="434">
      <c r="A434" s="47">
        <f>IF(_calc!$E$436="","",IF(LEN(INDEX('Checks'!$B$4:$B$503,_calc!$E$436))=0,"",INDEX('Checks'!$B$4:$B$503,_calc!$E$436))&amp;" – "&amp;IF(LEN(INDEX('Checks'!$A$4:$A$503,_calc!$E$436))=0,"",INDEX('Checks'!$A$4:$A$503,_calc!$E$436)))</f>
        <v/>
      </c>
      <c r="B434" s="47">
        <f>IF(_calc!$E$436="","",IF(ISNUMBER(INDEX('Checks'!$D$4:$D$503,_calc!$E$436)),TEXT(INDEX('Checks'!$D$4:$D$503,_calc!$E$436),"yyyy-mm-dd"),""))</f>
        <v/>
      </c>
      <c r="C434" s="47">
        <f>IF(_calc!$E$436="","",IF(LEN(INDEX('Checks'!$B$4:$B$503,_calc!$E$436))=0,"",INDEX('Checks'!$B$4:$B$503,_calc!$E$436)))</f>
        <v/>
      </c>
      <c r="D434" s="47">
        <f>IF(_calc!$E$436="","",IF(ISNUMBER(INDEX('Checks'!$C$4:$C$503,_calc!$E$436)),TEXT(INDEX('Checks'!$C$4:$C$503,_calc!$E$436),"yyyy-mm-dd"),""))</f>
        <v/>
      </c>
      <c r="E434" s="47">
        <f>IF(_calc!$E$436="","",IF(LEN(INDEX('Checks'!$L$4:$L$503,_calc!$E$436))=0,"",INDEX('Checks'!$L$4:$L$503,_calc!$E$436)))</f>
        <v/>
      </c>
      <c r="F434" s="47">
        <f>IF(_calc!$E$436="","",TRIM(IF(LEN(IF(LEN(INDEX('Checks'!$I$4:$I$503,_calc!$E$436))=0,"",INDEX('Checks'!$I$4:$I$503,_calc!$E$436)))=0,"","Contractor: "&amp;IF(LEN(INDEX('Checks'!$I$4:$I$503,_calc!$E$436))=0,"",INDEX('Checks'!$I$4:$I$503,_calc!$E$436))&amp;". ")&amp;IF(LEN(IF(LEN(INDEX('Checks'!$J$4:$J$503,_calc!$E$436))=0,"",INDEX('Checks'!$J$4:$J$503,_calc!$E$436)))=0,"","Ref: "&amp;IF(LEN(INDEX('Checks'!$J$4:$J$503,_calc!$E$436))=0,"",INDEX('Checks'!$J$4:$J$503,_calc!$E$436))&amp;". ")&amp;IF(LEN(IF(ISNUMBER(INDEX('Checks'!$K$4:$K$503,_calc!$E$436)),TEXT(INDEX('Checks'!$K$4:$K$503,_calc!$E$436),"yyyy-mm-dd"),""))=0,"","Copy to tenant: "&amp;IF(ISNUMBER(INDEX('Checks'!$K$4:$K$503,_calc!$E$436)),TEXT(INDEX('Checks'!$K$4:$K$503,_calc!$E$436),"yyyy-mm-dd"),"")&amp;". ")&amp;IF(LEN(IF(LEN(INDEX('Checks'!$P$4:$P$503,_calc!$E$436))=0,"",INDEX('Checks'!$P$4:$P$503,_calc!$E$436)))=0,"",IF(LEN(INDEX('Checks'!$P$4:$P$503,_calc!$E$436))=0,"",INDEX('Checks'!$P$4:$P$503,_calc!$E$436)))))</f>
        <v/>
      </c>
      <c r="G434" s="47">
        <f>IF(_calc!$E$436="","",IF(LEN(INDEX('Checks'!$N$4:$N$503,_calc!$E$436))=0,"",INDEX('Checks'!$N$4:$N$503,_calc!$E$436)))</f>
        <v/>
      </c>
      <c r="K434" s="47">
        <f>IF(_calc!$E$436="","",IF(LEN(INDEX('Checks'!$M$4:$M$503,_calc!$E$436))=0,"",INDEX('Checks'!$M$4:$M$503,_calc!$E$436)))</f>
        <v/>
      </c>
    </row>
    <row r="435">
      <c r="A435" s="47">
        <f>IF(_calc!$E$437="","",IF(LEN(INDEX('Checks'!$B$4:$B$503,_calc!$E$437))=0,"",INDEX('Checks'!$B$4:$B$503,_calc!$E$437))&amp;" – "&amp;IF(LEN(INDEX('Checks'!$A$4:$A$503,_calc!$E$437))=0,"",INDEX('Checks'!$A$4:$A$503,_calc!$E$437)))</f>
        <v/>
      </c>
      <c r="B435" s="47">
        <f>IF(_calc!$E$437="","",IF(ISNUMBER(INDEX('Checks'!$D$4:$D$503,_calc!$E$437)),TEXT(INDEX('Checks'!$D$4:$D$503,_calc!$E$437),"yyyy-mm-dd"),""))</f>
        <v/>
      </c>
      <c r="C435" s="47">
        <f>IF(_calc!$E$437="","",IF(LEN(INDEX('Checks'!$B$4:$B$503,_calc!$E$437))=0,"",INDEX('Checks'!$B$4:$B$503,_calc!$E$437)))</f>
        <v/>
      </c>
      <c r="D435" s="47">
        <f>IF(_calc!$E$437="","",IF(ISNUMBER(INDEX('Checks'!$C$4:$C$503,_calc!$E$437)),TEXT(INDEX('Checks'!$C$4:$C$503,_calc!$E$437),"yyyy-mm-dd"),""))</f>
        <v/>
      </c>
      <c r="E435" s="47">
        <f>IF(_calc!$E$437="","",IF(LEN(INDEX('Checks'!$L$4:$L$503,_calc!$E$437))=0,"",INDEX('Checks'!$L$4:$L$503,_calc!$E$437)))</f>
        <v/>
      </c>
      <c r="F435" s="47">
        <f>IF(_calc!$E$437="","",TRIM(IF(LEN(IF(LEN(INDEX('Checks'!$I$4:$I$503,_calc!$E$437))=0,"",INDEX('Checks'!$I$4:$I$503,_calc!$E$437)))=0,"","Contractor: "&amp;IF(LEN(INDEX('Checks'!$I$4:$I$503,_calc!$E$437))=0,"",INDEX('Checks'!$I$4:$I$503,_calc!$E$437))&amp;". ")&amp;IF(LEN(IF(LEN(INDEX('Checks'!$J$4:$J$503,_calc!$E$437))=0,"",INDEX('Checks'!$J$4:$J$503,_calc!$E$437)))=0,"","Ref: "&amp;IF(LEN(INDEX('Checks'!$J$4:$J$503,_calc!$E$437))=0,"",INDEX('Checks'!$J$4:$J$503,_calc!$E$437))&amp;". ")&amp;IF(LEN(IF(ISNUMBER(INDEX('Checks'!$K$4:$K$503,_calc!$E$437)),TEXT(INDEX('Checks'!$K$4:$K$503,_calc!$E$437),"yyyy-mm-dd"),""))=0,"","Copy to tenant: "&amp;IF(ISNUMBER(INDEX('Checks'!$K$4:$K$503,_calc!$E$437)),TEXT(INDEX('Checks'!$K$4:$K$503,_calc!$E$437),"yyyy-mm-dd"),"")&amp;". ")&amp;IF(LEN(IF(LEN(INDEX('Checks'!$P$4:$P$503,_calc!$E$437))=0,"",INDEX('Checks'!$P$4:$P$503,_calc!$E$437)))=0,"",IF(LEN(INDEX('Checks'!$P$4:$P$503,_calc!$E$437))=0,"",INDEX('Checks'!$P$4:$P$503,_calc!$E$437)))))</f>
        <v/>
      </c>
      <c r="G435" s="47">
        <f>IF(_calc!$E$437="","",IF(LEN(INDEX('Checks'!$N$4:$N$503,_calc!$E$437))=0,"",INDEX('Checks'!$N$4:$N$503,_calc!$E$437)))</f>
        <v/>
      </c>
      <c r="K435" s="47">
        <f>IF(_calc!$E$437="","",IF(LEN(INDEX('Checks'!$M$4:$M$503,_calc!$E$437))=0,"",INDEX('Checks'!$M$4:$M$503,_calc!$E$437)))</f>
        <v/>
      </c>
    </row>
    <row r="436">
      <c r="A436" s="47">
        <f>IF(_calc!$E$438="","",IF(LEN(INDEX('Checks'!$B$4:$B$503,_calc!$E$438))=0,"",INDEX('Checks'!$B$4:$B$503,_calc!$E$438))&amp;" – "&amp;IF(LEN(INDEX('Checks'!$A$4:$A$503,_calc!$E$438))=0,"",INDEX('Checks'!$A$4:$A$503,_calc!$E$438)))</f>
        <v/>
      </c>
      <c r="B436" s="47">
        <f>IF(_calc!$E$438="","",IF(ISNUMBER(INDEX('Checks'!$D$4:$D$503,_calc!$E$438)),TEXT(INDEX('Checks'!$D$4:$D$503,_calc!$E$438),"yyyy-mm-dd"),""))</f>
        <v/>
      </c>
      <c r="C436" s="47">
        <f>IF(_calc!$E$438="","",IF(LEN(INDEX('Checks'!$B$4:$B$503,_calc!$E$438))=0,"",INDEX('Checks'!$B$4:$B$503,_calc!$E$438)))</f>
        <v/>
      </c>
      <c r="D436" s="47">
        <f>IF(_calc!$E$438="","",IF(ISNUMBER(INDEX('Checks'!$C$4:$C$503,_calc!$E$438)),TEXT(INDEX('Checks'!$C$4:$C$503,_calc!$E$438),"yyyy-mm-dd"),""))</f>
        <v/>
      </c>
      <c r="E436" s="47">
        <f>IF(_calc!$E$438="","",IF(LEN(INDEX('Checks'!$L$4:$L$503,_calc!$E$438))=0,"",INDEX('Checks'!$L$4:$L$503,_calc!$E$438)))</f>
        <v/>
      </c>
      <c r="F436" s="47">
        <f>IF(_calc!$E$438="","",TRIM(IF(LEN(IF(LEN(INDEX('Checks'!$I$4:$I$503,_calc!$E$438))=0,"",INDEX('Checks'!$I$4:$I$503,_calc!$E$438)))=0,"","Contractor: "&amp;IF(LEN(INDEX('Checks'!$I$4:$I$503,_calc!$E$438))=0,"",INDEX('Checks'!$I$4:$I$503,_calc!$E$438))&amp;". ")&amp;IF(LEN(IF(LEN(INDEX('Checks'!$J$4:$J$503,_calc!$E$438))=0,"",INDEX('Checks'!$J$4:$J$503,_calc!$E$438)))=0,"","Ref: "&amp;IF(LEN(INDEX('Checks'!$J$4:$J$503,_calc!$E$438))=0,"",INDEX('Checks'!$J$4:$J$503,_calc!$E$438))&amp;". ")&amp;IF(LEN(IF(ISNUMBER(INDEX('Checks'!$K$4:$K$503,_calc!$E$438)),TEXT(INDEX('Checks'!$K$4:$K$503,_calc!$E$438),"yyyy-mm-dd"),""))=0,"","Copy to tenant: "&amp;IF(ISNUMBER(INDEX('Checks'!$K$4:$K$503,_calc!$E$438)),TEXT(INDEX('Checks'!$K$4:$K$503,_calc!$E$438),"yyyy-mm-dd"),"")&amp;". ")&amp;IF(LEN(IF(LEN(INDEX('Checks'!$P$4:$P$503,_calc!$E$438))=0,"",INDEX('Checks'!$P$4:$P$503,_calc!$E$438)))=0,"",IF(LEN(INDEX('Checks'!$P$4:$P$503,_calc!$E$438))=0,"",INDEX('Checks'!$P$4:$P$503,_calc!$E$438)))))</f>
        <v/>
      </c>
      <c r="G436" s="47">
        <f>IF(_calc!$E$438="","",IF(LEN(INDEX('Checks'!$N$4:$N$503,_calc!$E$438))=0,"",INDEX('Checks'!$N$4:$N$503,_calc!$E$438)))</f>
        <v/>
      </c>
      <c r="K436" s="47">
        <f>IF(_calc!$E$438="","",IF(LEN(INDEX('Checks'!$M$4:$M$503,_calc!$E$438))=0,"",INDEX('Checks'!$M$4:$M$503,_calc!$E$438)))</f>
        <v/>
      </c>
    </row>
    <row r="437">
      <c r="A437" s="47">
        <f>IF(_calc!$E$439="","",IF(LEN(INDEX('Checks'!$B$4:$B$503,_calc!$E$439))=0,"",INDEX('Checks'!$B$4:$B$503,_calc!$E$439))&amp;" – "&amp;IF(LEN(INDEX('Checks'!$A$4:$A$503,_calc!$E$439))=0,"",INDEX('Checks'!$A$4:$A$503,_calc!$E$439)))</f>
        <v/>
      </c>
      <c r="B437" s="47">
        <f>IF(_calc!$E$439="","",IF(ISNUMBER(INDEX('Checks'!$D$4:$D$503,_calc!$E$439)),TEXT(INDEX('Checks'!$D$4:$D$503,_calc!$E$439),"yyyy-mm-dd"),""))</f>
        <v/>
      </c>
      <c r="C437" s="47">
        <f>IF(_calc!$E$439="","",IF(LEN(INDEX('Checks'!$B$4:$B$503,_calc!$E$439))=0,"",INDEX('Checks'!$B$4:$B$503,_calc!$E$439)))</f>
        <v/>
      </c>
      <c r="D437" s="47">
        <f>IF(_calc!$E$439="","",IF(ISNUMBER(INDEX('Checks'!$C$4:$C$503,_calc!$E$439)),TEXT(INDEX('Checks'!$C$4:$C$503,_calc!$E$439),"yyyy-mm-dd"),""))</f>
        <v/>
      </c>
      <c r="E437" s="47">
        <f>IF(_calc!$E$439="","",IF(LEN(INDEX('Checks'!$L$4:$L$503,_calc!$E$439))=0,"",INDEX('Checks'!$L$4:$L$503,_calc!$E$439)))</f>
        <v/>
      </c>
      <c r="F437" s="47">
        <f>IF(_calc!$E$439="","",TRIM(IF(LEN(IF(LEN(INDEX('Checks'!$I$4:$I$503,_calc!$E$439))=0,"",INDEX('Checks'!$I$4:$I$503,_calc!$E$439)))=0,"","Contractor: "&amp;IF(LEN(INDEX('Checks'!$I$4:$I$503,_calc!$E$439))=0,"",INDEX('Checks'!$I$4:$I$503,_calc!$E$439))&amp;". ")&amp;IF(LEN(IF(LEN(INDEX('Checks'!$J$4:$J$503,_calc!$E$439))=0,"",INDEX('Checks'!$J$4:$J$503,_calc!$E$439)))=0,"","Ref: "&amp;IF(LEN(INDEX('Checks'!$J$4:$J$503,_calc!$E$439))=0,"",INDEX('Checks'!$J$4:$J$503,_calc!$E$439))&amp;". ")&amp;IF(LEN(IF(ISNUMBER(INDEX('Checks'!$K$4:$K$503,_calc!$E$439)),TEXT(INDEX('Checks'!$K$4:$K$503,_calc!$E$439),"yyyy-mm-dd"),""))=0,"","Copy to tenant: "&amp;IF(ISNUMBER(INDEX('Checks'!$K$4:$K$503,_calc!$E$439)),TEXT(INDEX('Checks'!$K$4:$K$503,_calc!$E$439),"yyyy-mm-dd"),"")&amp;". ")&amp;IF(LEN(IF(LEN(INDEX('Checks'!$P$4:$P$503,_calc!$E$439))=0,"",INDEX('Checks'!$P$4:$P$503,_calc!$E$439)))=0,"",IF(LEN(INDEX('Checks'!$P$4:$P$503,_calc!$E$439))=0,"",INDEX('Checks'!$P$4:$P$503,_calc!$E$439)))))</f>
        <v/>
      </c>
      <c r="G437" s="47">
        <f>IF(_calc!$E$439="","",IF(LEN(INDEX('Checks'!$N$4:$N$503,_calc!$E$439))=0,"",INDEX('Checks'!$N$4:$N$503,_calc!$E$439)))</f>
        <v/>
      </c>
      <c r="K437" s="47">
        <f>IF(_calc!$E$439="","",IF(LEN(INDEX('Checks'!$M$4:$M$503,_calc!$E$439))=0,"",INDEX('Checks'!$M$4:$M$503,_calc!$E$439)))</f>
        <v/>
      </c>
    </row>
    <row r="438">
      <c r="A438" s="47">
        <f>IF(_calc!$E$440="","",IF(LEN(INDEX('Checks'!$B$4:$B$503,_calc!$E$440))=0,"",INDEX('Checks'!$B$4:$B$503,_calc!$E$440))&amp;" – "&amp;IF(LEN(INDEX('Checks'!$A$4:$A$503,_calc!$E$440))=0,"",INDEX('Checks'!$A$4:$A$503,_calc!$E$440)))</f>
        <v/>
      </c>
      <c r="B438" s="47">
        <f>IF(_calc!$E$440="","",IF(ISNUMBER(INDEX('Checks'!$D$4:$D$503,_calc!$E$440)),TEXT(INDEX('Checks'!$D$4:$D$503,_calc!$E$440),"yyyy-mm-dd"),""))</f>
        <v/>
      </c>
      <c r="C438" s="47">
        <f>IF(_calc!$E$440="","",IF(LEN(INDEX('Checks'!$B$4:$B$503,_calc!$E$440))=0,"",INDEX('Checks'!$B$4:$B$503,_calc!$E$440)))</f>
        <v/>
      </c>
      <c r="D438" s="47">
        <f>IF(_calc!$E$440="","",IF(ISNUMBER(INDEX('Checks'!$C$4:$C$503,_calc!$E$440)),TEXT(INDEX('Checks'!$C$4:$C$503,_calc!$E$440),"yyyy-mm-dd"),""))</f>
        <v/>
      </c>
      <c r="E438" s="47">
        <f>IF(_calc!$E$440="","",IF(LEN(INDEX('Checks'!$L$4:$L$503,_calc!$E$440))=0,"",INDEX('Checks'!$L$4:$L$503,_calc!$E$440)))</f>
        <v/>
      </c>
      <c r="F438" s="47">
        <f>IF(_calc!$E$440="","",TRIM(IF(LEN(IF(LEN(INDEX('Checks'!$I$4:$I$503,_calc!$E$440))=0,"",INDEX('Checks'!$I$4:$I$503,_calc!$E$440)))=0,"","Contractor: "&amp;IF(LEN(INDEX('Checks'!$I$4:$I$503,_calc!$E$440))=0,"",INDEX('Checks'!$I$4:$I$503,_calc!$E$440))&amp;". ")&amp;IF(LEN(IF(LEN(INDEX('Checks'!$J$4:$J$503,_calc!$E$440))=0,"",INDEX('Checks'!$J$4:$J$503,_calc!$E$440)))=0,"","Ref: "&amp;IF(LEN(INDEX('Checks'!$J$4:$J$503,_calc!$E$440))=0,"",INDEX('Checks'!$J$4:$J$503,_calc!$E$440))&amp;". ")&amp;IF(LEN(IF(ISNUMBER(INDEX('Checks'!$K$4:$K$503,_calc!$E$440)),TEXT(INDEX('Checks'!$K$4:$K$503,_calc!$E$440),"yyyy-mm-dd"),""))=0,"","Copy to tenant: "&amp;IF(ISNUMBER(INDEX('Checks'!$K$4:$K$503,_calc!$E$440)),TEXT(INDEX('Checks'!$K$4:$K$503,_calc!$E$440),"yyyy-mm-dd"),"")&amp;". ")&amp;IF(LEN(IF(LEN(INDEX('Checks'!$P$4:$P$503,_calc!$E$440))=0,"",INDEX('Checks'!$P$4:$P$503,_calc!$E$440)))=0,"",IF(LEN(INDEX('Checks'!$P$4:$P$503,_calc!$E$440))=0,"",INDEX('Checks'!$P$4:$P$503,_calc!$E$440)))))</f>
        <v/>
      </c>
      <c r="G438" s="47">
        <f>IF(_calc!$E$440="","",IF(LEN(INDEX('Checks'!$N$4:$N$503,_calc!$E$440))=0,"",INDEX('Checks'!$N$4:$N$503,_calc!$E$440)))</f>
        <v/>
      </c>
      <c r="K438" s="47">
        <f>IF(_calc!$E$440="","",IF(LEN(INDEX('Checks'!$M$4:$M$503,_calc!$E$440))=0,"",INDEX('Checks'!$M$4:$M$503,_calc!$E$440)))</f>
        <v/>
      </c>
    </row>
    <row r="439">
      <c r="A439" s="47">
        <f>IF(_calc!$E$441="","",IF(LEN(INDEX('Checks'!$B$4:$B$503,_calc!$E$441))=0,"",INDEX('Checks'!$B$4:$B$503,_calc!$E$441))&amp;" – "&amp;IF(LEN(INDEX('Checks'!$A$4:$A$503,_calc!$E$441))=0,"",INDEX('Checks'!$A$4:$A$503,_calc!$E$441)))</f>
        <v/>
      </c>
      <c r="B439" s="47">
        <f>IF(_calc!$E$441="","",IF(ISNUMBER(INDEX('Checks'!$D$4:$D$503,_calc!$E$441)),TEXT(INDEX('Checks'!$D$4:$D$503,_calc!$E$441),"yyyy-mm-dd"),""))</f>
        <v/>
      </c>
      <c r="C439" s="47">
        <f>IF(_calc!$E$441="","",IF(LEN(INDEX('Checks'!$B$4:$B$503,_calc!$E$441))=0,"",INDEX('Checks'!$B$4:$B$503,_calc!$E$441)))</f>
        <v/>
      </c>
      <c r="D439" s="47">
        <f>IF(_calc!$E$441="","",IF(ISNUMBER(INDEX('Checks'!$C$4:$C$503,_calc!$E$441)),TEXT(INDEX('Checks'!$C$4:$C$503,_calc!$E$441),"yyyy-mm-dd"),""))</f>
        <v/>
      </c>
      <c r="E439" s="47">
        <f>IF(_calc!$E$441="","",IF(LEN(INDEX('Checks'!$L$4:$L$503,_calc!$E$441))=0,"",INDEX('Checks'!$L$4:$L$503,_calc!$E$441)))</f>
        <v/>
      </c>
      <c r="F439" s="47">
        <f>IF(_calc!$E$441="","",TRIM(IF(LEN(IF(LEN(INDEX('Checks'!$I$4:$I$503,_calc!$E$441))=0,"",INDEX('Checks'!$I$4:$I$503,_calc!$E$441)))=0,"","Contractor: "&amp;IF(LEN(INDEX('Checks'!$I$4:$I$503,_calc!$E$441))=0,"",INDEX('Checks'!$I$4:$I$503,_calc!$E$441))&amp;". ")&amp;IF(LEN(IF(LEN(INDEX('Checks'!$J$4:$J$503,_calc!$E$441))=0,"",INDEX('Checks'!$J$4:$J$503,_calc!$E$441)))=0,"","Ref: "&amp;IF(LEN(INDEX('Checks'!$J$4:$J$503,_calc!$E$441))=0,"",INDEX('Checks'!$J$4:$J$503,_calc!$E$441))&amp;". ")&amp;IF(LEN(IF(ISNUMBER(INDEX('Checks'!$K$4:$K$503,_calc!$E$441)),TEXT(INDEX('Checks'!$K$4:$K$503,_calc!$E$441),"yyyy-mm-dd"),""))=0,"","Copy to tenant: "&amp;IF(ISNUMBER(INDEX('Checks'!$K$4:$K$503,_calc!$E$441)),TEXT(INDEX('Checks'!$K$4:$K$503,_calc!$E$441),"yyyy-mm-dd"),"")&amp;". ")&amp;IF(LEN(IF(LEN(INDEX('Checks'!$P$4:$P$503,_calc!$E$441))=0,"",INDEX('Checks'!$P$4:$P$503,_calc!$E$441)))=0,"",IF(LEN(INDEX('Checks'!$P$4:$P$503,_calc!$E$441))=0,"",INDEX('Checks'!$P$4:$P$503,_calc!$E$441)))))</f>
        <v/>
      </c>
      <c r="G439" s="47">
        <f>IF(_calc!$E$441="","",IF(LEN(INDEX('Checks'!$N$4:$N$503,_calc!$E$441))=0,"",INDEX('Checks'!$N$4:$N$503,_calc!$E$441)))</f>
        <v/>
      </c>
      <c r="K439" s="47">
        <f>IF(_calc!$E$441="","",IF(LEN(INDEX('Checks'!$M$4:$M$503,_calc!$E$441))=0,"",INDEX('Checks'!$M$4:$M$503,_calc!$E$441)))</f>
        <v/>
      </c>
    </row>
    <row r="440">
      <c r="A440" s="47">
        <f>IF(_calc!$E$442="","",IF(LEN(INDEX('Checks'!$B$4:$B$503,_calc!$E$442))=0,"",INDEX('Checks'!$B$4:$B$503,_calc!$E$442))&amp;" – "&amp;IF(LEN(INDEX('Checks'!$A$4:$A$503,_calc!$E$442))=0,"",INDEX('Checks'!$A$4:$A$503,_calc!$E$442)))</f>
        <v/>
      </c>
      <c r="B440" s="47">
        <f>IF(_calc!$E$442="","",IF(ISNUMBER(INDEX('Checks'!$D$4:$D$503,_calc!$E$442)),TEXT(INDEX('Checks'!$D$4:$D$503,_calc!$E$442),"yyyy-mm-dd"),""))</f>
        <v/>
      </c>
      <c r="C440" s="47">
        <f>IF(_calc!$E$442="","",IF(LEN(INDEX('Checks'!$B$4:$B$503,_calc!$E$442))=0,"",INDEX('Checks'!$B$4:$B$503,_calc!$E$442)))</f>
        <v/>
      </c>
      <c r="D440" s="47">
        <f>IF(_calc!$E$442="","",IF(ISNUMBER(INDEX('Checks'!$C$4:$C$503,_calc!$E$442)),TEXT(INDEX('Checks'!$C$4:$C$503,_calc!$E$442),"yyyy-mm-dd"),""))</f>
        <v/>
      </c>
      <c r="E440" s="47">
        <f>IF(_calc!$E$442="","",IF(LEN(INDEX('Checks'!$L$4:$L$503,_calc!$E$442))=0,"",INDEX('Checks'!$L$4:$L$503,_calc!$E$442)))</f>
        <v/>
      </c>
      <c r="F440" s="47">
        <f>IF(_calc!$E$442="","",TRIM(IF(LEN(IF(LEN(INDEX('Checks'!$I$4:$I$503,_calc!$E$442))=0,"",INDEX('Checks'!$I$4:$I$503,_calc!$E$442)))=0,"","Contractor: "&amp;IF(LEN(INDEX('Checks'!$I$4:$I$503,_calc!$E$442))=0,"",INDEX('Checks'!$I$4:$I$503,_calc!$E$442))&amp;". ")&amp;IF(LEN(IF(LEN(INDEX('Checks'!$J$4:$J$503,_calc!$E$442))=0,"",INDEX('Checks'!$J$4:$J$503,_calc!$E$442)))=0,"","Ref: "&amp;IF(LEN(INDEX('Checks'!$J$4:$J$503,_calc!$E$442))=0,"",INDEX('Checks'!$J$4:$J$503,_calc!$E$442))&amp;". ")&amp;IF(LEN(IF(ISNUMBER(INDEX('Checks'!$K$4:$K$503,_calc!$E$442)),TEXT(INDEX('Checks'!$K$4:$K$503,_calc!$E$442),"yyyy-mm-dd"),""))=0,"","Copy to tenant: "&amp;IF(ISNUMBER(INDEX('Checks'!$K$4:$K$503,_calc!$E$442)),TEXT(INDEX('Checks'!$K$4:$K$503,_calc!$E$442),"yyyy-mm-dd"),"")&amp;". ")&amp;IF(LEN(IF(LEN(INDEX('Checks'!$P$4:$P$503,_calc!$E$442))=0,"",INDEX('Checks'!$P$4:$P$503,_calc!$E$442)))=0,"",IF(LEN(INDEX('Checks'!$P$4:$P$503,_calc!$E$442))=0,"",INDEX('Checks'!$P$4:$P$503,_calc!$E$442)))))</f>
        <v/>
      </c>
      <c r="G440" s="47">
        <f>IF(_calc!$E$442="","",IF(LEN(INDEX('Checks'!$N$4:$N$503,_calc!$E$442))=0,"",INDEX('Checks'!$N$4:$N$503,_calc!$E$442)))</f>
        <v/>
      </c>
      <c r="K440" s="47">
        <f>IF(_calc!$E$442="","",IF(LEN(INDEX('Checks'!$M$4:$M$503,_calc!$E$442))=0,"",INDEX('Checks'!$M$4:$M$503,_calc!$E$442)))</f>
        <v/>
      </c>
    </row>
    <row r="441">
      <c r="A441" s="47">
        <f>IF(_calc!$E$443="","",IF(LEN(INDEX('Checks'!$B$4:$B$503,_calc!$E$443))=0,"",INDEX('Checks'!$B$4:$B$503,_calc!$E$443))&amp;" – "&amp;IF(LEN(INDEX('Checks'!$A$4:$A$503,_calc!$E$443))=0,"",INDEX('Checks'!$A$4:$A$503,_calc!$E$443)))</f>
        <v/>
      </c>
      <c r="B441" s="47">
        <f>IF(_calc!$E$443="","",IF(ISNUMBER(INDEX('Checks'!$D$4:$D$503,_calc!$E$443)),TEXT(INDEX('Checks'!$D$4:$D$503,_calc!$E$443),"yyyy-mm-dd"),""))</f>
        <v/>
      </c>
      <c r="C441" s="47">
        <f>IF(_calc!$E$443="","",IF(LEN(INDEX('Checks'!$B$4:$B$503,_calc!$E$443))=0,"",INDEX('Checks'!$B$4:$B$503,_calc!$E$443)))</f>
        <v/>
      </c>
      <c r="D441" s="47">
        <f>IF(_calc!$E$443="","",IF(ISNUMBER(INDEX('Checks'!$C$4:$C$503,_calc!$E$443)),TEXT(INDEX('Checks'!$C$4:$C$503,_calc!$E$443),"yyyy-mm-dd"),""))</f>
        <v/>
      </c>
      <c r="E441" s="47">
        <f>IF(_calc!$E$443="","",IF(LEN(INDEX('Checks'!$L$4:$L$503,_calc!$E$443))=0,"",INDEX('Checks'!$L$4:$L$503,_calc!$E$443)))</f>
        <v/>
      </c>
      <c r="F441" s="47">
        <f>IF(_calc!$E$443="","",TRIM(IF(LEN(IF(LEN(INDEX('Checks'!$I$4:$I$503,_calc!$E$443))=0,"",INDEX('Checks'!$I$4:$I$503,_calc!$E$443)))=0,"","Contractor: "&amp;IF(LEN(INDEX('Checks'!$I$4:$I$503,_calc!$E$443))=0,"",INDEX('Checks'!$I$4:$I$503,_calc!$E$443))&amp;". ")&amp;IF(LEN(IF(LEN(INDEX('Checks'!$J$4:$J$503,_calc!$E$443))=0,"",INDEX('Checks'!$J$4:$J$503,_calc!$E$443)))=0,"","Ref: "&amp;IF(LEN(INDEX('Checks'!$J$4:$J$503,_calc!$E$443))=0,"",INDEX('Checks'!$J$4:$J$503,_calc!$E$443))&amp;". ")&amp;IF(LEN(IF(ISNUMBER(INDEX('Checks'!$K$4:$K$503,_calc!$E$443)),TEXT(INDEX('Checks'!$K$4:$K$503,_calc!$E$443),"yyyy-mm-dd"),""))=0,"","Copy to tenant: "&amp;IF(ISNUMBER(INDEX('Checks'!$K$4:$K$503,_calc!$E$443)),TEXT(INDEX('Checks'!$K$4:$K$503,_calc!$E$443),"yyyy-mm-dd"),"")&amp;". ")&amp;IF(LEN(IF(LEN(INDEX('Checks'!$P$4:$P$503,_calc!$E$443))=0,"",INDEX('Checks'!$P$4:$P$503,_calc!$E$443)))=0,"",IF(LEN(INDEX('Checks'!$P$4:$P$503,_calc!$E$443))=0,"",INDEX('Checks'!$P$4:$P$503,_calc!$E$443)))))</f>
        <v/>
      </c>
      <c r="G441" s="47">
        <f>IF(_calc!$E$443="","",IF(LEN(INDEX('Checks'!$N$4:$N$503,_calc!$E$443))=0,"",INDEX('Checks'!$N$4:$N$503,_calc!$E$443)))</f>
        <v/>
      </c>
      <c r="K441" s="47">
        <f>IF(_calc!$E$443="","",IF(LEN(INDEX('Checks'!$M$4:$M$503,_calc!$E$443))=0,"",INDEX('Checks'!$M$4:$M$503,_calc!$E$443)))</f>
        <v/>
      </c>
    </row>
    <row r="442">
      <c r="A442" s="47">
        <f>IF(_calc!$E$444="","",IF(LEN(INDEX('Checks'!$B$4:$B$503,_calc!$E$444))=0,"",INDEX('Checks'!$B$4:$B$503,_calc!$E$444))&amp;" – "&amp;IF(LEN(INDEX('Checks'!$A$4:$A$503,_calc!$E$444))=0,"",INDEX('Checks'!$A$4:$A$503,_calc!$E$444)))</f>
        <v/>
      </c>
      <c r="B442" s="47">
        <f>IF(_calc!$E$444="","",IF(ISNUMBER(INDEX('Checks'!$D$4:$D$503,_calc!$E$444)),TEXT(INDEX('Checks'!$D$4:$D$503,_calc!$E$444),"yyyy-mm-dd"),""))</f>
        <v/>
      </c>
      <c r="C442" s="47">
        <f>IF(_calc!$E$444="","",IF(LEN(INDEX('Checks'!$B$4:$B$503,_calc!$E$444))=0,"",INDEX('Checks'!$B$4:$B$503,_calc!$E$444)))</f>
        <v/>
      </c>
      <c r="D442" s="47">
        <f>IF(_calc!$E$444="","",IF(ISNUMBER(INDEX('Checks'!$C$4:$C$503,_calc!$E$444)),TEXT(INDEX('Checks'!$C$4:$C$503,_calc!$E$444),"yyyy-mm-dd"),""))</f>
        <v/>
      </c>
      <c r="E442" s="47">
        <f>IF(_calc!$E$444="","",IF(LEN(INDEX('Checks'!$L$4:$L$503,_calc!$E$444))=0,"",INDEX('Checks'!$L$4:$L$503,_calc!$E$444)))</f>
        <v/>
      </c>
      <c r="F442" s="47">
        <f>IF(_calc!$E$444="","",TRIM(IF(LEN(IF(LEN(INDEX('Checks'!$I$4:$I$503,_calc!$E$444))=0,"",INDEX('Checks'!$I$4:$I$503,_calc!$E$444)))=0,"","Contractor: "&amp;IF(LEN(INDEX('Checks'!$I$4:$I$503,_calc!$E$444))=0,"",INDEX('Checks'!$I$4:$I$503,_calc!$E$444))&amp;". ")&amp;IF(LEN(IF(LEN(INDEX('Checks'!$J$4:$J$503,_calc!$E$444))=0,"",INDEX('Checks'!$J$4:$J$503,_calc!$E$444)))=0,"","Ref: "&amp;IF(LEN(INDEX('Checks'!$J$4:$J$503,_calc!$E$444))=0,"",INDEX('Checks'!$J$4:$J$503,_calc!$E$444))&amp;". ")&amp;IF(LEN(IF(ISNUMBER(INDEX('Checks'!$K$4:$K$503,_calc!$E$444)),TEXT(INDEX('Checks'!$K$4:$K$503,_calc!$E$444),"yyyy-mm-dd"),""))=0,"","Copy to tenant: "&amp;IF(ISNUMBER(INDEX('Checks'!$K$4:$K$503,_calc!$E$444)),TEXT(INDEX('Checks'!$K$4:$K$503,_calc!$E$444),"yyyy-mm-dd"),"")&amp;". ")&amp;IF(LEN(IF(LEN(INDEX('Checks'!$P$4:$P$503,_calc!$E$444))=0,"",INDEX('Checks'!$P$4:$P$503,_calc!$E$444)))=0,"",IF(LEN(INDEX('Checks'!$P$4:$P$503,_calc!$E$444))=0,"",INDEX('Checks'!$P$4:$P$503,_calc!$E$444)))))</f>
        <v/>
      </c>
      <c r="G442" s="47">
        <f>IF(_calc!$E$444="","",IF(LEN(INDEX('Checks'!$N$4:$N$503,_calc!$E$444))=0,"",INDEX('Checks'!$N$4:$N$503,_calc!$E$444)))</f>
        <v/>
      </c>
      <c r="K442" s="47">
        <f>IF(_calc!$E$444="","",IF(LEN(INDEX('Checks'!$M$4:$M$503,_calc!$E$444))=0,"",INDEX('Checks'!$M$4:$M$503,_calc!$E$444)))</f>
        <v/>
      </c>
    </row>
    <row r="443">
      <c r="A443" s="47">
        <f>IF(_calc!$E$445="","",IF(LEN(INDEX('Checks'!$B$4:$B$503,_calc!$E$445))=0,"",INDEX('Checks'!$B$4:$B$503,_calc!$E$445))&amp;" – "&amp;IF(LEN(INDEX('Checks'!$A$4:$A$503,_calc!$E$445))=0,"",INDEX('Checks'!$A$4:$A$503,_calc!$E$445)))</f>
        <v/>
      </c>
      <c r="B443" s="47">
        <f>IF(_calc!$E$445="","",IF(ISNUMBER(INDEX('Checks'!$D$4:$D$503,_calc!$E$445)),TEXT(INDEX('Checks'!$D$4:$D$503,_calc!$E$445),"yyyy-mm-dd"),""))</f>
        <v/>
      </c>
      <c r="C443" s="47">
        <f>IF(_calc!$E$445="","",IF(LEN(INDEX('Checks'!$B$4:$B$503,_calc!$E$445))=0,"",INDEX('Checks'!$B$4:$B$503,_calc!$E$445)))</f>
        <v/>
      </c>
      <c r="D443" s="47">
        <f>IF(_calc!$E$445="","",IF(ISNUMBER(INDEX('Checks'!$C$4:$C$503,_calc!$E$445)),TEXT(INDEX('Checks'!$C$4:$C$503,_calc!$E$445),"yyyy-mm-dd"),""))</f>
        <v/>
      </c>
      <c r="E443" s="47">
        <f>IF(_calc!$E$445="","",IF(LEN(INDEX('Checks'!$L$4:$L$503,_calc!$E$445))=0,"",INDEX('Checks'!$L$4:$L$503,_calc!$E$445)))</f>
        <v/>
      </c>
      <c r="F443" s="47">
        <f>IF(_calc!$E$445="","",TRIM(IF(LEN(IF(LEN(INDEX('Checks'!$I$4:$I$503,_calc!$E$445))=0,"",INDEX('Checks'!$I$4:$I$503,_calc!$E$445)))=0,"","Contractor: "&amp;IF(LEN(INDEX('Checks'!$I$4:$I$503,_calc!$E$445))=0,"",INDEX('Checks'!$I$4:$I$503,_calc!$E$445))&amp;". ")&amp;IF(LEN(IF(LEN(INDEX('Checks'!$J$4:$J$503,_calc!$E$445))=0,"",INDEX('Checks'!$J$4:$J$503,_calc!$E$445)))=0,"","Ref: "&amp;IF(LEN(INDEX('Checks'!$J$4:$J$503,_calc!$E$445))=0,"",INDEX('Checks'!$J$4:$J$503,_calc!$E$445))&amp;". ")&amp;IF(LEN(IF(ISNUMBER(INDEX('Checks'!$K$4:$K$503,_calc!$E$445)),TEXT(INDEX('Checks'!$K$4:$K$503,_calc!$E$445),"yyyy-mm-dd"),""))=0,"","Copy to tenant: "&amp;IF(ISNUMBER(INDEX('Checks'!$K$4:$K$503,_calc!$E$445)),TEXT(INDEX('Checks'!$K$4:$K$503,_calc!$E$445),"yyyy-mm-dd"),"")&amp;". ")&amp;IF(LEN(IF(LEN(INDEX('Checks'!$P$4:$P$503,_calc!$E$445))=0,"",INDEX('Checks'!$P$4:$P$503,_calc!$E$445)))=0,"",IF(LEN(INDEX('Checks'!$P$4:$P$503,_calc!$E$445))=0,"",INDEX('Checks'!$P$4:$P$503,_calc!$E$445)))))</f>
        <v/>
      </c>
      <c r="G443" s="47">
        <f>IF(_calc!$E$445="","",IF(LEN(INDEX('Checks'!$N$4:$N$503,_calc!$E$445))=0,"",INDEX('Checks'!$N$4:$N$503,_calc!$E$445)))</f>
        <v/>
      </c>
      <c r="K443" s="47">
        <f>IF(_calc!$E$445="","",IF(LEN(INDEX('Checks'!$M$4:$M$503,_calc!$E$445))=0,"",INDEX('Checks'!$M$4:$M$503,_calc!$E$445)))</f>
        <v/>
      </c>
    </row>
    <row r="444">
      <c r="A444" s="47">
        <f>IF(_calc!$E$446="","",IF(LEN(INDEX('Checks'!$B$4:$B$503,_calc!$E$446))=0,"",INDEX('Checks'!$B$4:$B$503,_calc!$E$446))&amp;" – "&amp;IF(LEN(INDEX('Checks'!$A$4:$A$503,_calc!$E$446))=0,"",INDEX('Checks'!$A$4:$A$503,_calc!$E$446)))</f>
        <v/>
      </c>
      <c r="B444" s="47">
        <f>IF(_calc!$E$446="","",IF(ISNUMBER(INDEX('Checks'!$D$4:$D$503,_calc!$E$446)),TEXT(INDEX('Checks'!$D$4:$D$503,_calc!$E$446),"yyyy-mm-dd"),""))</f>
        <v/>
      </c>
      <c r="C444" s="47">
        <f>IF(_calc!$E$446="","",IF(LEN(INDEX('Checks'!$B$4:$B$503,_calc!$E$446))=0,"",INDEX('Checks'!$B$4:$B$503,_calc!$E$446)))</f>
        <v/>
      </c>
      <c r="D444" s="47">
        <f>IF(_calc!$E$446="","",IF(ISNUMBER(INDEX('Checks'!$C$4:$C$503,_calc!$E$446)),TEXT(INDEX('Checks'!$C$4:$C$503,_calc!$E$446),"yyyy-mm-dd"),""))</f>
        <v/>
      </c>
      <c r="E444" s="47">
        <f>IF(_calc!$E$446="","",IF(LEN(INDEX('Checks'!$L$4:$L$503,_calc!$E$446))=0,"",INDEX('Checks'!$L$4:$L$503,_calc!$E$446)))</f>
        <v/>
      </c>
      <c r="F444" s="47">
        <f>IF(_calc!$E$446="","",TRIM(IF(LEN(IF(LEN(INDEX('Checks'!$I$4:$I$503,_calc!$E$446))=0,"",INDEX('Checks'!$I$4:$I$503,_calc!$E$446)))=0,"","Contractor: "&amp;IF(LEN(INDEX('Checks'!$I$4:$I$503,_calc!$E$446))=0,"",INDEX('Checks'!$I$4:$I$503,_calc!$E$446))&amp;". ")&amp;IF(LEN(IF(LEN(INDEX('Checks'!$J$4:$J$503,_calc!$E$446))=0,"",INDEX('Checks'!$J$4:$J$503,_calc!$E$446)))=0,"","Ref: "&amp;IF(LEN(INDEX('Checks'!$J$4:$J$503,_calc!$E$446))=0,"",INDEX('Checks'!$J$4:$J$503,_calc!$E$446))&amp;". ")&amp;IF(LEN(IF(ISNUMBER(INDEX('Checks'!$K$4:$K$503,_calc!$E$446)),TEXT(INDEX('Checks'!$K$4:$K$503,_calc!$E$446),"yyyy-mm-dd"),""))=0,"","Copy to tenant: "&amp;IF(ISNUMBER(INDEX('Checks'!$K$4:$K$503,_calc!$E$446)),TEXT(INDEX('Checks'!$K$4:$K$503,_calc!$E$446),"yyyy-mm-dd"),"")&amp;". ")&amp;IF(LEN(IF(LEN(INDEX('Checks'!$P$4:$P$503,_calc!$E$446))=0,"",INDEX('Checks'!$P$4:$P$503,_calc!$E$446)))=0,"",IF(LEN(INDEX('Checks'!$P$4:$P$503,_calc!$E$446))=0,"",INDEX('Checks'!$P$4:$P$503,_calc!$E$446)))))</f>
        <v/>
      </c>
      <c r="G444" s="47">
        <f>IF(_calc!$E$446="","",IF(LEN(INDEX('Checks'!$N$4:$N$503,_calc!$E$446))=0,"",INDEX('Checks'!$N$4:$N$503,_calc!$E$446)))</f>
        <v/>
      </c>
      <c r="K444" s="47">
        <f>IF(_calc!$E$446="","",IF(LEN(INDEX('Checks'!$M$4:$M$503,_calc!$E$446))=0,"",INDEX('Checks'!$M$4:$M$503,_calc!$E$446)))</f>
        <v/>
      </c>
    </row>
    <row r="445">
      <c r="A445" s="47">
        <f>IF(_calc!$E$447="","",IF(LEN(INDEX('Checks'!$B$4:$B$503,_calc!$E$447))=0,"",INDEX('Checks'!$B$4:$B$503,_calc!$E$447))&amp;" – "&amp;IF(LEN(INDEX('Checks'!$A$4:$A$503,_calc!$E$447))=0,"",INDEX('Checks'!$A$4:$A$503,_calc!$E$447)))</f>
        <v/>
      </c>
      <c r="B445" s="47">
        <f>IF(_calc!$E$447="","",IF(ISNUMBER(INDEX('Checks'!$D$4:$D$503,_calc!$E$447)),TEXT(INDEX('Checks'!$D$4:$D$503,_calc!$E$447),"yyyy-mm-dd"),""))</f>
        <v/>
      </c>
      <c r="C445" s="47">
        <f>IF(_calc!$E$447="","",IF(LEN(INDEX('Checks'!$B$4:$B$503,_calc!$E$447))=0,"",INDEX('Checks'!$B$4:$B$503,_calc!$E$447)))</f>
        <v/>
      </c>
      <c r="D445" s="47">
        <f>IF(_calc!$E$447="","",IF(ISNUMBER(INDEX('Checks'!$C$4:$C$503,_calc!$E$447)),TEXT(INDEX('Checks'!$C$4:$C$503,_calc!$E$447),"yyyy-mm-dd"),""))</f>
        <v/>
      </c>
      <c r="E445" s="47">
        <f>IF(_calc!$E$447="","",IF(LEN(INDEX('Checks'!$L$4:$L$503,_calc!$E$447))=0,"",INDEX('Checks'!$L$4:$L$503,_calc!$E$447)))</f>
        <v/>
      </c>
      <c r="F445" s="47">
        <f>IF(_calc!$E$447="","",TRIM(IF(LEN(IF(LEN(INDEX('Checks'!$I$4:$I$503,_calc!$E$447))=0,"",INDEX('Checks'!$I$4:$I$503,_calc!$E$447)))=0,"","Contractor: "&amp;IF(LEN(INDEX('Checks'!$I$4:$I$503,_calc!$E$447))=0,"",INDEX('Checks'!$I$4:$I$503,_calc!$E$447))&amp;". ")&amp;IF(LEN(IF(LEN(INDEX('Checks'!$J$4:$J$503,_calc!$E$447))=0,"",INDEX('Checks'!$J$4:$J$503,_calc!$E$447)))=0,"","Ref: "&amp;IF(LEN(INDEX('Checks'!$J$4:$J$503,_calc!$E$447))=0,"",INDEX('Checks'!$J$4:$J$503,_calc!$E$447))&amp;". ")&amp;IF(LEN(IF(ISNUMBER(INDEX('Checks'!$K$4:$K$503,_calc!$E$447)),TEXT(INDEX('Checks'!$K$4:$K$503,_calc!$E$447),"yyyy-mm-dd"),""))=0,"","Copy to tenant: "&amp;IF(ISNUMBER(INDEX('Checks'!$K$4:$K$503,_calc!$E$447)),TEXT(INDEX('Checks'!$K$4:$K$503,_calc!$E$447),"yyyy-mm-dd"),"")&amp;". ")&amp;IF(LEN(IF(LEN(INDEX('Checks'!$P$4:$P$503,_calc!$E$447))=0,"",INDEX('Checks'!$P$4:$P$503,_calc!$E$447)))=0,"",IF(LEN(INDEX('Checks'!$P$4:$P$503,_calc!$E$447))=0,"",INDEX('Checks'!$P$4:$P$503,_calc!$E$447)))))</f>
        <v/>
      </c>
      <c r="G445" s="47">
        <f>IF(_calc!$E$447="","",IF(LEN(INDEX('Checks'!$N$4:$N$503,_calc!$E$447))=0,"",INDEX('Checks'!$N$4:$N$503,_calc!$E$447)))</f>
        <v/>
      </c>
      <c r="K445" s="47">
        <f>IF(_calc!$E$447="","",IF(LEN(INDEX('Checks'!$M$4:$M$503,_calc!$E$447))=0,"",INDEX('Checks'!$M$4:$M$503,_calc!$E$447)))</f>
        <v/>
      </c>
    </row>
    <row r="446">
      <c r="A446" s="47">
        <f>IF(_calc!$E$448="","",IF(LEN(INDEX('Checks'!$B$4:$B$503,_calc!$E$448))=0,"",INDEX('Checks'!$B$4:$B$503,_calc!$E$448))&amp;" – "&amp;IF(LEN(INDEX('Checks'!$A$4:$A$503,_calc!$E$448))=0,"",INDEX('Checks'!$A$4:$A$503,_calc!$E$448)))</f>
        <v/>
      </c>
      <c r="B446" s="47">
        <f>IF(_calc!$E$448="","",IF(ISNUMBER(INDEX('Checks'!$D$4:$D$503,_calc!$E$448)),TEXT(INDEX('Checks'!$D$4:$D$503,_calc!$E$448),"yyyy-mm-dd"),""))</f>
        <v/>
      </c>
      <c r="C446" s="47">
        <f>IF(_calc!$E$448="","",IF(LEN(INDEX('Checks'!$B$4:$B$503,_calc!$E$448))=0,"",INDEX('Checks'!$B$4:$B$503,_calc!$E$448)))</f>
        <v/>
      </c>
      <c r="D446" s="47">
        <f>IF(_calc!$E$448="","",IF(ISNUMBER(INDEX('Checks'!$C$4:$C$503,_calc!$E$448)),TEXT(INDEX('Checks'!$C$4:$C$503,_calc!$E$448),"yyyy-mm-dd"),""))</f>
        <v/>
      </c>
      <c r="E446" s="47">
        <f>IF(_calc!$E$448="","",IF(LEN(INDEX('Checks'!$L$4:$L$503,_calc!$E$448))=0,"",INDEX('Checks'!$L$4:$L$503,_calc!$E$448)))</f>
        <v/>
      </c>
      <c r="F446" s="47">
        <f>IF(_calc!$E$448="","",TRIM(IF(LEN(IF(LEN(INDEX('Checks'!$I$4:$I$503,_calc!$E$448))=0,"",INDEX('Checks'!$I$4:$I$503,_calc!$E$448)))=0,"","Contractor: "&amp;IF(LEN(INDEX('Checks'!$I$4:$I$503,_calc!$E$448))=0,"",INDEX('Checks'!$I$4:$I$503,_calc!$E$448))&amp;". ")&amp;IF(LEN(IF(LEN(INDEX('Checks'!$J$4:$J$503,_calc!$E$448))=0,"",INDEX('Checks'!$J$4:$J$503,_calc!$E$448)))=0,"","Ref: "&amp;IF(LEN(INDEX('Checks'!$J$4:$J$503,_calc!$E$448))=0,"",INDEX('Checks'!$J$4:$J$503,_calc!$E$448))&amp;". ")&amp;IF(LEN(IF(ISNUMBER(INDEX('Checks'!$K$4:$K$503,_calc!$E$448)),TEXT(INDEX('Checks'!$K$4:$K$503,_calc!$E$448),"yyyy-mm-dd"),""))=0,"","Copy to tenant: "&amp;IF(ISNUMBER(INDEX('Checks'!$K$4:$K$503,_calc!$E$448)),TEXT(INDEX('Checks'!$K$4:$K$503,_calc!$E$448),"yyyy-mm-dd"),"")&amp;". ")&amp;IF(LEN(IF(LEN(INDEX('Checks'!$P$4:$P$503,_calc!$E$448))=0,"",INDEX('Checks'!$P$4:$P$503,_calc!$E$448)))=0,"",IF(LEN(INDEX('Checks'!$P$4:$P$503,_calc!$E$448))=0,"",INDEX('Checks'!$P$4:$P$503,_calc!$E$448)))))</f>
        <v/>
      </c>
      <c r="G446" s="47">
        <f>IF(_calc!$E$448="","",IF(LEN(INDEX('Checks'!$N$4:$N$503,_calc!$E$448))=0,"",INDEX('Checks'!$N$4:$N$503,_calc!$E$448)))</f>
        <v/>
      </c>
      <c r="K446" s="47">
        <f>IF(_calc!$E$448="","",IF(LEN(INDEX('Checks'!$M$4:$M$503,_calc!$E$448))=0,"",INDEX('Checks'!$M$4:$M$503,_calc!$E$448)))</f>
        <v/>
      </c>
    </row>
    <row r="447">
      <c r="A447" s="47">
        <f>IF(_calc!$E$449="","",IF(LEN(INDEX('Checks'!$B$4:$B$503,_calc!$E$449))=0,"",INDEX('Checks'!$B$4:$B$503,_calc!$E$449))&amp;" – "&amp;IF(LEN(INDEX('Checks'!$A$4:$A$503,_calc!$E$449))=0,"",INDEX('Checks'!$A$4:$A$503,_calc!$E$449)))</f>
        <v/>
      </c>
      <c r="B447" s="47">
        <f>IF(_calc!$E$449="","",IF(ISNUMBER(INDEX('Checks'!$D$4:$D$503,_calc!$E$449)),TEXT(INDEX('Checks'!$D$4:$D$503,_calc!$E$449),"yyyy-mm-dd"),""))</f>
        <v/>
      </c>
      <c r="C447" s="47">
        <f>IF(_calc!$E$449="","",IF(LEN(INDEX('Checks'!$B$4:$B$503,_calc!$E$449))=0,"",INDEX('Checks'!$B$4:$B$503,_calc!$E$449)))</f>
        <v/>
      </c>
      <c r="D447" s="47">
        <f>IF(_calc!$E$449="","",IF(ISNUMBER(INDEX('Checks'!$C$4:$C$503,_calc!$E$449)),TEXT(INDEX('Checks'!$C$4:$C$503,_calc!$E$449),"yyyy-mm-dd"),""))</f>
        <v/>
      </c>
      <c r="E447" s="47">
        <f>IF(_calc!$E$449="","",IF(LEN(INDEX('Checks'!$L$4:$L$503,_calc!$E$449))=0,"",INDEX('Checks'!$L$4:$L$503,_calc!$E$449)))</f>
        <v/>
      </c>
      <c r="F447" s="47">
        <f>IF(_calc!$E$449="","",TRIM(IF(LEN(IF(LEN(INDEX('Checks'!$I$4:$I$503,_calc!$E$449))=0,"",INDEX('Checks'!$I$4:$I$503,_calc!$E$449)))=0,"","Contractor: "&amp;IF(LEN(INDEX('Checks'!$I$4:$I$503,_calc!$E$449))=0,"",INDEX('Checks'!$I$4:$I$503,_calc!$E$449))&amp;". ")&amp;IF(LEN(IF(LEN(INDEX('Checks'!$J$4:$J$503,_calc!$E$449))=0,"",INDEX('Checks'!$J$4:$J$503,_calc!$E$449)))=0,"","Ref: "&amp;IF(LEN(INDEX('Checks'!$J$4:$J$503,_calc!$E$449))=0,"",INDEX('Checks'!$J$4:$J$503,_calc!$E$449))&amp;". ")&amp;IF(LEN(IF(ISNUMBER(INDEX('Checks'!$K$4:$K$503,_calc!$E$449)),TEXT(INDEX('Checks'!$K$4:$K$503,_calc!$E$449),"yyyy-mm-dd"),""))=0,"","Copy to tenant: "&amp;IF(ISNUMBER(INDEX('Checks'!$K$4:$K$503,_calc!$E$449)),TEXT(INDEX('Checks'!$K$4:$K$503,_calc!$E$449),"yyyy-mm-dd"),"")&amp;". ")&amp;IF(LEN(IF(LEN(INDEX('Checks'!$P$4:$P$503,_calc!$E$449))=0,"",INDEX('Checks'!$P$4:$P$503,_calc!$E$449)))=0,"",IF(LEN(INDEX('Checks'!$P$4:$P$503,_calc!$E$449))=0,"",INDEX('Checks'!$P$4:$P$503,_calc!$E$449)))))</f>
        <v/>
      </c>
      <c r="G447" s="47">
        <f>IF(_calc!$E$449="","",IF(LEN(INDEX('Checks'!$N$4:$N$503,_calc!$E$449))=0,"",INDEX('Checks'!$N$4:$N$503,_calc!$E$449)))</f>
        <v/>
      </c>
      <c r="K447" s="47">
        <f>IF(_calc!$E$449="","",IF(LEN(INDEX('Checks'!$M$4:$M$503,_calc!$E$449))=0,"",INDEX('Checks'!$M$4:$M$503,_calc!$E$449)))</f>
        <v/>
      </c>
    </row>
    <row r="448">
      <c r="A448" s="47">
        <f>IF(_calc!$E$450="","",IF(LEN(INDEX('Checks'!$B$4:$B$503,_calc!$E$450))=0,"",INDEX('Checks'!$B$4:$B$503,_calc!$E$450))&amp;" – "&amp;IF(LEN(INDEX('Checks'!$A$4:$A$503,_calc!$E$450))=0,"",INDEX('Checks'!$A$4:$A$503,_calc!$E$450)))</f>
        <v/>
      </c>
      <c r="B448" s="47">
        <f>IF(_calc!$E$450="","",IF(ISNUMBER(INDEX('Checks'!$D$4:$D$503,_calc!$E$450)),TEXT(INDEX('Checks'!$D$4:$D$503,_calc!$E$450),"yyyy-mm-dd"),""))</f>
        <v/>
      </c>
      <c r="C448" s="47">
        <f>IF(_calc!$E$450="","",IF(LEN(INDEX('Checks'!$B$4:$B$503,_calc!$E$450))=0,"",INDEX('Checks'!$B$4:$B$503,_calc!$E$450)))</f>
        <v/>
      </c>
      <c r="D448" s="47">
        <f>IF(_calc!$E$450="","",IF(ISNUMBER(INDEX('Checks'!$C$4:$C$503,_calc!$E$450)),TEXT(INDEX('Checks'!$C$4:$C$503,_calc!$E$450),"yyyy-mm-dd"),""))</f>
        <v/>
      </c>
      <c r="E448" s="47">
        <f>IF(_calc!$E$450="","",IF(LEN(INDEX('Checks'!$L$4:$L$503,_calc!$E$450))=0,"",INDEX('Checks'!$L$4:$L$503,_calc!$E$450)))</f>
        <v/>
      </c>
      <c r="F448" s="47">
        <f>IF(_calc!$E$450="","",TRIM(IF(LEN(IF(LEN(INDEX('Checks'!$I$4:$I$503,_calc!$E$450))=0,"",INDEX('Checks'!$I$4:$I$503,_calc!$E$450)))=0,"","Contractor: "&amp;IF(LEN(INDEX('Checks'!$I$4:$I$503,_calc!$E$450))=0,"",INDEX('Checks'!$I$4:$I$503,_calc!$E$450))&amp;". ")&amp;IF(LEN(IF(LEN(INDEX('Checks'!$J$4:$J$503,_calc!$E$450))=0,"",INDEX('Checks'!$J$4:$J$503,_calc!$E$450)))=0,"","Ref: "&amp;IF(LEN(INDEX('Checks'!$J$4:$J$503,_calc!$E$450))=0,"",INDEX('Checks'!$J$4:$J$503,_calc!$E$450))&amp;". ")&amp;IF(LEN(IF(ISNUMBER(INDEX('Checks'!$K$4:$K$503,_calc!$E$450)),TEXT(INDEX('Checks'!$K$4:$K$503,_calc!$E$450),"yyyy-mm-dd"),""))=0,"","Copy to tenant: "&amp;IF(ISNUMBER(INDEX('Checks'!$K$4:$K$503,_calc!$E$450)),TEXT(INDEX('Checks'!$K$4:$K$503,_calc!$E$450),"yyyy-mm-dd"),"")&amp;". ")&amp;IF(LEN(IF(LEN(INDEX('Checks'!$P$4:$P$503,_calc!$E$450))=0,"",INDEX('Checks'!$P$4:$P$503,_calc!$E$450)))=0,"",IF(LEN(INDEX('Checks'!$P$4:$P$503,_calc!$E$450))=0,"",INDEX('Checks'!$P$4:$P$503,_calc!$E$450)))))</f>
        <v/>
      </c>
      <c r="G448" s="47">
        <f>IF(_calc!$E$450="","",IF(LEN(INDEX('Checks'!$N$4:$N$503,_calc!$E$450))=0,"",INDEX('Checks'!$N$4:$N$503,_calc!$E$450)))</f>
        <v/>
      </c>
      <c r="K448" s="47">
        <f>IF(_calc!$E$450="","",IF(LEN(INDEX('Checks'!$M$4:$M$503,_calc!$E$450))=0,"",INDEX('Checks'!$M$4:$M$503,_calc!$E$450)))</f>
        <v/>
      </c>
    </row>
    <row r="449">
      <c r="A449" s="47">
        <f>IF(_calc!$E$451="","",IF(LEN(INDEX('Checks'!$B$4:$B$503,_calc!$E$451))=0,"",INDEX('Checks'!$B$4:$B$503,_calc!$E$451))&amp;" – "&amp;IF(LEN(INDEX('Checks'!$A$4:$A$503,_calc!$E$451))=0,"",INDEX('Checks'!$A$4:$A$503,_calc!$E$451)))</f>
        <v/>
      </c>
      <c r="B449" s="47">
        <f>IF(_calc!$E$451="","",IF(ISNUMBER(INDEX('Checks'!$D$4:$D$503,_calc!$E$451)),TEXT(INDEX('Checks'!$D$4:$D$503,_calc!$E$451),"yyyy-mm-dd"),""))</f>
        <v/>
      </c>
      <c r="C449" s="47">
        <f>IF(_calc!$E$451="","",IF(LEN(INDEX('Checks'!$B$4:$B$503,_calc!$E$451))=0,"",INDEX('Checks'!$B$4:$B$503,_calc!$E$451)))</f>
        <v/>
      </c>
      <c r="D449" s="47">
        <f>IF(_calc!$E$451="","",IF(ISNUMBER(INDEX('Checks'!$C$4:$C$503,_calc!$E$451)),TEXT(INDEX('Checks'!$C$4:$C$503,_calc!$E$451),"yyyy-mm-dd"),""))</f>
        <v/>
      </c>
      <c r="E449" s="47">
        <f>IF(_calc!$E$451="","",IF(LEN(INDEX('Checks'!$L$4:$L$503,_calc!$E$451))=0,"",INDEX('Checks'!$L$4:$L$503,_calc!$E$451)))</f>
        <v/>
      </c>
      <c r="F449" s="47">
        <f>IF(_calc!$E$451="","",TRIM(IF(LEN(IF(LEN(INDEX('Checks'!$I$4:$I$503,_calc!$E$451))=0,"",INDEX('Checks'!$I$4:$I$503,_calc!$E$451)))=0,"","Contractor: "&amp;IF(LEN(INDEX('Checks'!$I$4:$I$503,_calc!$E$451))=0,"",INDEX('Checks'!$I$4:$I$503,_calc!$E$451))&amp;". ")&amp;IF(LEN(IF(LEN(INDEX('Checks'!$J$4:$J$503,_calc!$E$451))=0,"",INDEX('Checks'!$J$4:$J$503,_calc!$E$451)))=0,"","Ref: "&amp;IF(LEN(INDEX('Checks'!$J$4:$J$503,_calc!$E$451))=0,"",INDEX('Checks'!$J$4:$J$503,_calc!$E$451))&amp;". ")&amp;IF(LEN(IF(ISNUMBER(INDEX('Checks'!$K$4:$K$503,_calc!$E$451)),TEXT(INDEX('Checks'!$K$4:$K$503,_calc!$E$451),"yyyy-mm-dd"),""))=0,"","Copy to tenant: "&amp;IF(ISNUMBER(INDEX('Checks'!$K$4:$K$503,_calc!$E$451)),TEXT(INDEX('Checks'!$K$4:$K$503,_calc!$E$451),"yyyy-mm-dd"),"")&amp;". ")&amp;IF(LEN(IF(LEN(INDEX('Checks'!$P$4:$P$503,_calc!$E$451))=0,"",INDEX('Checks'!$P$4:$P$503,_calc!$E$451)))=0,"",IF(LEN(INDEX('Checks'!$P$4:$P$503,_calc!$E$451))=0,"",INDEX('Checks'!$P$4:$P$503,_calc!$E$451)))))</f>
        <v/>
      </c>
      <c r="G449" s="47">
        <f>IF(_calc!$E$451="","",IF(LEN(INDEX('Checks'!$N$4:$N$503,_calc!$E$451))=0,"",INDEX('Checks'!$N$4:$N$503,_calc!$E$451)))</f>
        <v/>
      </c>
      <c r="K449" s="47">
        <f>IF(_calc!$E$451="","",IF(LEN(INDEX('Checks'!$M$4:$M$503,_calc!$E$451))=0,"",INDEX('Checks'!$M$4:$M$503,_calc!$E$451)))</f>
        <v/>
      </c>
    </row>
    <row r="450">
      <c r="A450" s="47">
        <f>IF(_calc!$E$452="","",IF(LEN(INDEX('Checks'!$B$4:$B$503,_calc!$E$452))=0,"",INDEX('Checks'!$B$4:$B$503,_calc!$E$452))&amp;" – "&amp;IF(LEN(INDEX('Checks'!$A$4:$A$503,_calc!$E$452))=0,"",INDEX('Checks'!$A$4:$A$503,_calc!$E$452)))</f>
        <v/>
      </c>
      <c r="B450" s="47">
        <f>IF(_calc!$E$452="","",IF(ISNUMBER(INDEX('Checks'!$D$4:$D$503,_calc!$E$452)),TEXT(INDEX('Checks'!$D$4:$D$503,_calc!$E$452),"yyyy-mm-dd"),""))</f>
        <v/>
      </c>
      <c r="C450" s="47">
        <f>IF(_calc!$E$452="","",IF(LEN(INDEX('Checks'!$B$4:$B$503,_calc!$E$452))=0,"",INDEX('Checks'!$B$4:$B$503,_calc!$E$452)))</f>
        <v/>
      </c>
      <c r="D450" s="47">
        <f>IF(_calc!$E$452="","",IF(ISNUMBER(INDEX('Checks'!$C$4:$C$503,_calc!$E$452)),TEXT(INDEX('Checks'!$C$4:$C$503,_calc!$E$452),"yyyy-mm-dd"),""))</f>
        <v/>
      </c>
      <c r="E450" s="47">
        <f>IF(_calc!$E$452="","",IF(LEN(INDEX('Checks'!$L$4:$L$503,_calc!$E$452))=0,"",INDEX('Checks'!$L$4:$L$503,_calc!$E$452)))</f>
        <v/>
      </c>
      <c r="F450" s="47">
        <f>IF(_calc!$E$452="","",TRIM(IF(LEN(IF(LEN(INDEX('Checks'!$I$4:$I$503,_calc!$E$452))=0,"",INDEX('Checks'!$I$4:$I$503,_calc!$E$452)))=0,"","Contractor: "&amp;IF(LEN(INDEX('Checks'!$I$4:$I$503,_calc!$E$452))=0,"",INDEX('Checks'!$I$4:$I$503,_calc!$E$452))&amp;". ")&amp;IF(LEN(IF(LEN(INDEX('Checks'!$J$4:$J$503,_calc!$E$452))=0,"",INDEX('Checks'!$J$4:$J$503,_calc!$E$452)))=0,"","Ref: "&amp;IF(LEN(INDEX('Checks'!$J$4:$J$503,_calc!$E$452))=0,"",INDEX('Checks'!$J$4:$J$503,_calc!$E$452))&amp;". ")&amp;IF(LEN(IF(ISNUMBER(INDEX('Checks'!$K$4:$K$503,_calc!$E$452)),TEXT(INDEX('Checks'!$K$4:$K$503,_calc!$E$452),"yyyy-mm-dd"),""))=0,"","Copy to tenant: "&amp;IF(ISNUMBER(INDEX('Checks'!$K$4:$K$503,_calc!$E$452)),TEXT(INDEX('Checks'!$K$4:$K$503,_calc!$E$452),"yyyy-mm-dd"),"")&amp;". ")&amp;IF(LEN(IF(LEN(INDEX('Checks'!$P$4:$P$503,_calc!$E$452))=0,"",INDEX('Checks'!$P$4:$P$503,_calc!$E$452)))=0,"",IF(LEN(INDEX('Checks'!$P$4:$P$503,_calc!$E$452))=0,"",INDEX('Checks'!$P$4:$P$503,_calc!$E$452)))))</f>
        <v/>
      </c>
      <c r="G450" s="47">
        <f>IF(_calc!$E$452="","",IF(LEN(INDEX('Checks'!$N$4:$N$503,_calc!$E$452))=0,"",INDEX('Checks'!$N$4:$N$503,_calc!$E$452)))</f>
        <v/>
      </c>
      <c r="K450" s="47">
        <f>IF(_calc!$E$452="","",IF(LEN(INDEX('Checks'!$M$4:$M$503,_calc!$E$452))=0,"",INDEX('Checks'!$M$4:$M$503,_calc!$E$452)))</f>
        <v/>
      </c>
    </row>
    <row r="451">
      <c r="A451" s="47">
        <f>IF(_calc!$E$453="","",IF(LEN(INDEX('Checks'!$B$4:$B$503,_calc!$E$453))=0,"",INDEX('Checks'!$B$4:$B$503,_calc!$E$453))&amp;" – "&amp;IF(LEN(INDEX('Checks'!$A$4:$A$503,_calc!$E$453))=0,"",INDEX('Checks'!$A$4:$A$503,_calc!$E$453)))</f>
        <v/>
      </c>
      <c r="B451" s="47">
        <f>IF(_calc!$E$453="","",IF(ISNUMBER(INDEX('Checks'!$D$4:$D$503,_calc!$E$453)),TEXT(INDEX('Checks'!$D$4:$D$503,_calc!$E$453),"yyyy-mm-dd"),""))</f>
        <v/>
      </c>
      <c r="C451" s="47">
        <f>IF(_calc!$E$453="","",IF(LEN(INDEX('Checks'!$B$4:$B$503,_calc!$E$453))=0,"",INDEX('Checks'!$B$4:$B$503,_calc!$E$453)))</f>
        <v/>
      </c>
      <c r="D451" s="47">
        <f>IF(_calc!$E$453="","",IF(ISNUMBER(INDEX('Checks'!$C$4:$C$503,_calc!$E$453)),TEXT(INDEX('Checks'!$C$4:$C$503,_calc!$E$453),"yyyy-mm-dd"),""))</f>
        <v/>
      </c>
      <c r="E451" s="47">
        <f>IF(_calc!$E$453="","",IF(LEN(INDEX('Checks'!$L$4:$L$503,_calc!$E$453))=0,"",INDEX('Checks'!$L$4:$L$503,_calc!$E$453)))</f>
        <v/>
      </c>
      <c r="F451" s="47">
        <f>IF(_calc!$E$453="","",TRIM(IF(LEN(IF(LEN(INDEX('Checks'!$I$4:$I$503,_calc!$E$453))=0,"",INDEX('Checks'!$I$4:$I$503,_calc!$E$453)))=0,"","Contractor: "&amp;IF(LEN(INDEX('Checks'!$I$4:$I$503,_calc!$E$453))=0,"",INDEX('Checks'!$I$4:$I$503,_calc!$E$453))&amp;". ")&amp;IF(LEN(IF(LEN(INDEX('Checks'!$J$4:$J$503,_calc!$E$453))=0,"",INDEX('Checks'!$J$4:$J$503,_calc!$E$453)))=0,"","Ref: "&amp;IF(LEN(INDEX('Checks'!$J$4:$J$503,_calc!$E$453))=0,"",INDEX('Checks'!$J$4:$J$503,_calc!$E$453))&amp;". ")&amp;IF(LEN(IF(ISNUMBER(INDEX('Checks'!$K$4:$K$503,_calc!$E$453)),TEXT(INDEX('Checks'!$K$4:$K$503,_calc!$E$453),"yyyy-mm-dd"),""))=0,"","Copy to tenant: "&amp;IF(ISNUMBER(INDEX('Checks'!$K$4:$K$503,_calc!$E$453)),TEXT(INDEX('Checks'!$K$4:$K$503,_calc!$E$453),"yyyy-mm-dd"),"")&amp;". ")&amp;IF(LEN(IF(LEN(INDEX('Checks'!$P$4:$P$503,_calc!$E$453))=0,"",INDEX('Checks'!$P$4:$P$503,_calc!$E$453)))=0,"",IF(LEN(INDEX('Checks'!$P$4:$P$503,_calc!$E$453))=0,"",INDEX('Checks'!$P$4:$P$503,_calc!$E$453)))))</f>
        <v/>
      </c>
      <c r="G451" s="47">
        <f>IF(_calc!$E$453="","",IF(LEN(INDEX('Checks'!$N$4:$N$503,_calc!$E$453))=0,"",INDEX('Checks'!$N$4:$N$503,_calc!$E$453)))</f>
        <v/>
      </c>
      <c r="K451" s="47">
        <f>IF(_calc!$E$453="","",IF(LEN(INDEX('Checks'!$M$4:$M$503,_calc!$E$453))=0,"",INDEX('Checks'!$M$4:$M$503,_calc!$E$453)))</f>
        <v/>
      </c>
    </row>
    <row r="452">
      <c r="A452" s="47">
        <f>IF(_calc!$E$454="","",IF(LEN(INDEX('Checks'!$B$4:$B$503,_calc!$E$454))=0,"",INDEX('Checks'!$B$4:$B$503,_calc!$E$454))&amp;" – "&amp;IF(LEN(INDEX('Checks'!$A$4:$A$503,_calc!$E$454))=0,"",INDEX('Checks'!$A$4:$A$503,_calc!$E$454)))</f>
        <v/>
      </c>
      <c r="B452" s="47">
        <f>IF(_calc!$E$454="","",IF(ISNUMBER(INDEX('Checks'!$D$4:$D$503,_calc!$E$454)),TEXT(INDEX('Checks'!$D$4:$D$503,_calc!$E$454),"yyyy-mm-dd"),""))</f>
        <v/>
      </c>
      <c r="C452" s="47">
        <f>IF(_calc!$E$454="","",IF(LEN(INDEX('Checks'!$B$4:$B$503,_calc!$E$454))=0,"",INDEX('Checks'!$B$4:$B$503,_calc!$E$454)))</f>
        <v/>
      </c>
      <c r="D452" s="47">
        <f>IF(_calc!$E$454="","",IF(ISNUMBER(INDEX('Checks'!$C$4:$C$503,_calc!$E$454)),TEXT(INDEX('Checks'!$C$4:$C$503,_calc!$E$454),"yyyy-mm-dd"),""))</f>
        <v/>
      </c>
      <c r="E452" s="47">
        <f>IF(_calc!$E$454="","",IF(LEN(INDEX('Checks'!$L$4:$L$503,_calc!$E$454))=0,"",INDEX('Checks'!$L$4:$L$503,_calc!$E$454)))</f>
        <v/>
      </c>
      <c r="F452" s="47">
        <f>IF(_calc!$E$454="","",TRIM(IF(LEN(IF(LEN(INDEX('Checks'!$I$4:$I$503,_calc!$E$454))=0,"",INDEX('Checks'!$I$4:$I$503,_calc!$E$454)))=0,"","Contractor: "&amp;IF(LEN(INDEX('Checks'!$I$4:$I$503,_calc!$E$454))=0,"",INDEX('Checks'!$I$4:$I$503,_calc!$E$454))&amp;". ")&amp;IF(LEN(IF(LEN(INDEX('Checks'!$J$4:$J$503,_calc!$E$454))=0,"",INDEX('Checks'!$J$4:$J$503,_calc!$E$454)))=0,"","Ref: "&amp;IF(LEN(INDEX('Checks'!$J$4:$J$503,_calc!$E$454))=0,"",INDEX('Checks'!$J$4:$J$503,_calc!$E$454))&amp;". ")&amp;IF(LEN(IF(ISNUMBER(INDEX('Checks'!$K$4:$K$503,_calc!$E$454)),TEXT(INDEX('Checks'!$K$4:$K$503,_calc!$E$454),"yyyy-mm-dd"),""))=0,"","Copy to tenant: "&amp;IF(ISNUMBER(INDEX('Checks'!$K$4:$K$503,_calc!$E$454)),TEXT(INDEX('Checks'!$K$4:$K$503,_calc!$E$454),"yyyy-mm-dd"),"")&amp;". ")&amp;IF(LEN(IF(LEN(INDEX('Checks'!$P$4:$P$503,_calc!$E$454))=0,"",INDEX('Checks'!$P$4:$P$503,_calc!$E$454)))=0,"",IF(LEN(INDEX('Checks'!$P$4:$P$503,_calc!$E$454))=0,"",INDEX('Checks'!$P$4:$P$503,_calc!$E$454)))))</f>
        <v/>
      </c>
      <c r="G452" s="47">
        <f>IF(_calc!$E$454="","",IF(LEN(INDEX('Checks'!$N$4:$N$503,_calc!$E$454))=0,"",INDEX('Checks'!$N$4:$N$503,_calc!$E$454)))</f>
        <v/>
      </c>
      <c r="K452" s="47">
        <f>IF(_calc!$E$454="","",IF(LEN(INDEX('Checks'!$M$4:$M$503,_calc!$E$454))=0,"",INDEX('Checks'!$M$4:$M$503,_calc!$E$454)))</f>
        <v/>
      </c>
    </row>
    <row r="453">
      <c r="A453" s="47">
        <f>IF(_calc!$E$455="","",IF(LEN(INDEX('Checks'!$B$4:$B$503,_calc!$E$455))=0,"",INDEX('Checks'!$B$4:$B$503,_calc!$E$455))&amp;" – "&amp;IF(LEN(INDEX('Checks'!$A$4:$A$503,_calc!$E$455))=0,"",INDEX('Checks'!$A$4:$A$503,_calc!$E$455)))</f>
        <v/>
      </c>
      <c r="B453" s="47">
        <f>IF(_calc!$E$455="","",IF(ISNUMBER(INDEX('Checks'!$D$4:$D$503,_calc!$E$455)),TEXT(INDEX('Checks'!$D$4:$D$503,_calc!$E$455),"yyyy-mm-dd"),""))</f>
        <v/>
      </c>
      <c r="C453" s="47">
        <f>IF(_calc!$E$455="","",IF(LEN(INDEX('Checks'!$B$4:$B$503,_calc!$E$455))=0,"",INDEX('Checks'!$B$4:$B$503,_calc!$E$455)))</f>
        <v/>
      </c>
      <c r="D453" s="47">
        <f>IF(_calc!$E$455="","",IF(ISNUMBER(INDEX('Checks'!$C$4:$C$503,_calc!$E$455)),TEXT(INDEX('Checks'!$C$4:$C$503,_calc!$E$455),"yyyy-mm-dd"),""))</f>
        <v/>
      </c>
      <c r="E453" s="47">
        <f>IF(_calc!$E$455="","",IF(LEN(INDEX('Checks'!$L$4:$L$503,_calc!$E$455))=0,"",INDEX('Checks'!$L$4:$L$503,_calc!$E$455)))</f>
        <v/>
      </c>
      <c r="F453" s="47">
        <f>IF(_calc!$E$455="","",TRIM(IF(LEN(IF(LEN(INDEX('Checks'!$I$4:$I$503,_calc!$E$455))=0,"",INDEX('Checks'!$I$4:$I$503,_calc!$E$455)))=0,"","Contractor: "&amp;IF(LEN(INDEX('Checks'!$I$4:$I$503,_calc!$E$455))=0,"",INDEX('Checks'!$I$4:$I$503,_calc!$E$455))&amp;". ")&amp;IF(LEN(IF(LEN(INDEX('Checks'!$J$4:$J$503,_calc!$E$455))=0,"",INDEX('Checks'!$J$4:$J$503,_calc!$E$455)))=0,"","Ref: "&amp;IF(LEN(INDEX('Checks'!$J$4:$J$503,_calc!$E$455))=0,"",INDEX('Checks'!$J$4:$J$503,_calc!$E$455))&amp;". ")&amp;IF(LEN(IF(ISNUMBER(INDEX('Checks'!$K$4:$K$503,_calc!$E$455)),TEXT(INDEX('Checks'!$K$4:$K$503,_calc!$E$455),"yyyy-mm-dd"),""))=0,"","Copy to tenant: "&amp;IF(ISNUMBER(INDEX('Checks'!$K$4:$K$503,_calc!$E$455)),TEXT(INDEX('Checks'!$K$4:$K$503,_calc!$E$455),"yyyy-mm-dd"),"")&amp;". ")&amp;IF(LEN(IF(LEN(INDEX('Checks'!$P$4:$P$503,_calc!$E$455))=0,"",INDEX('Checks'!$P$4:$P$503,_calc!$E$455)))=0,"",IF(LEN(INDEX('Checks'!$P$4:$P$503,_calc!$E$455))=0,"",INDEX('Checks'!$P$4:$P$503,_calc!$E$455)))))</f>
        <v/>
      </c>
      <c r="G453" s="47">
        <f>IF(_calc!$E$455="","",IF(LEN(INDEX('Checks'!$N$4:$N$503,_calc!$E$455))=0,"",INDEX('Checks'!$N$4:$N$503,_calc!$E$455)))</f>
        <v/>
      </c>
      <c r="K453" s="47">
        <f>IF(_calc!$E$455="","",IF(LEN(INDEX('Checks'!$M$4:$M$503,_calc!$E$455))=0,"",INDEX('Checks'!$M$4:$M$503,_calc!$E$455)))</f>
        <v/>
      </c>
    </row>
    <row r="454">
      <c r="A454" s="47">
        <f>IF(_calc!$E$456="","",IF(LEN(INDEX('Checks'!$B$4:$B$503,_calc!$E$456))=0,"",INDEX('Checks'!$B$4:$B$503,_calc!$E$456))&amp;" – "&amp;IF(LEN(INDEX('Checks'!$A$4:$A$503,_calc!$E$456))=0,"",INDEX('Checks'!$A$4:$A$503,_calc!$E$456)))</f>
        <v/>
      </c>
      <c r="B454" s="47">
        <f>IF(_calc!$E$456="","",IF(ISNUMBER(INDEX('Checks'!$D$4:$D$503,_calc!$E$456)),TEXT(INDEX('Checks'!$D$4:$D$503,_calc!$E$456),"yyyy-mm-dd"),""))</f>
        <v/>
      </c>
      <c r="C454" s="47">
        <f>IF(_calc!$E$456="","",IF(LEN(INDEX('Checks'!$B$4:$B$503,_calc!$E$456))=0,"",INDEX('Checks'!$B$4:$B$503,_calc!$E$456)))</f>
        <v/>
      </c>
      <c r="D454" s="47">
        <f>IF(_calc!$E$456="","",IF(ISNUMBER(INDEX('Checks'!$C$4:$C$503,_calc!$E$456)),TEXT(INDEX('Checks'!$C$4:$C$503,_calc!$E$456),"yyyy-mm-dd"),""))</f>
        <v/>
      </c>
      <c r="E454" s="47">
        <f>IF(_calc!$E$456="","",IF(LEN(INDEX('Checks'!$L$4:$L$503,_calc!$E$456))=0,"",INDEX('Checks'!$L$4:$L$503,_calc!$E$456)))</f>
        <v/>
      </c>
      <c r="F454" s="47">
        <f>IF(_calc!$E$456="","",TRIM(IF(LEN(IF(LEN(INDEX('Checks'!$I$4:$I$503,_calc!$E$456))=0,"",INDEX('Checks'!$I$4:$I$503,_calc!$E$456)))=0,"","Contractor: "&amp;IF(LEN(INDEX('Checks'!$I$4:$I$503,_calc!$E$456))=0,"",INDEX('Checks'!$I$4:$I$503,_calc!$E$456))&amp;". ")&amp;IF(LEN(IF(LEN(INDEX('Checks'!$J$4:$J$503,_calc!$E$456))=0,"",INDEX('Checks'!$J$4:$J$503,_calc!$E$456)))=0,"","Ref: "&amp;IF(LEN(INDEX('Checks'!$J$4:$J$503,_calc!$E$456))=0,"",INDEX('Checks'!$J$4:$J$503,_calc!$E$456))&amp;". ")&amp;IF(LEN(IF(ISNUMBER(INDEX('Checks'!$K$4:$K$503,_calc!$E$456)),TEXT(INDEX('Checks'!$K$4:$K$503,_calc!$E$456),"yyyy-mm-dd"),""))=0,"","Copy to tenant: "&amp;IF(ISNUMBER(INDEX('Checks'!$K$4:$K$503,_calc!$E$456)),TEXT(INDEX('Checks'!$K$4:$K$503,_calc!$E$456),"yyyy-mm-dd"),"")&amp;". ")&amp;IF(LEN(IF(LEN(INDEX('Checks'!$P$4:$P$503,_calc!$E$456))=0,"",INDEX('Checks'!$P$4:$P$503,_calc!$E$456)))=0,"",IF(LEN(INDEX('Checks'!$P$4:$P$503,_calc!$E$456))=0,"",INDEX('Checks'!$P$4:$P$503,_calc!$E$456)))))</f>
        <v/>
      </c>
      <c r="G454" s="47">
        <f>IF(_calc!$E$456="","",IF(LEN(INDEX('Checks'!$N$4:$N$503,_calc!$E$456))=0,"",INDEX('Checks'!$N$4:$N$503,_calc!$E$456)))</f>
        <v/>
      </c>
      <c r="K454" s="47">
        <f>IF(_calc!$E$456="","",IF(LEN(INDEX('Checks'!$M$4:$M$503,_calc!$E$456))=0,"",INDEX('Checks'!$M$4:$M$503,_calc!$E$456)))</f>
        <v/>
      </c>
    </row>
    <row r="455">
      <c r="A455" s="47">
        <f>IF(_calc!$E$457="","",IF(LEN(INDEX('Checks'!$B$4:$B$503,_calc!$E$457))=0,"",INDEX('Checks'!$B$4:$B$503,_calc!$E$457))&amp;" – "&amp;IF(LEN(INDEX('Checks'!$A$4:$A$503,_calc!$E$457))=0,"",INDEX('Checks'!$A$4:$A$503,_calc!$E$457)))</f>
        <v/>
      </c>
      <c r="B455" s="47">
        <f>IF(_calc!$E$457="","",IF(ISNUMBER(INDEX('Checks'!$D$4:$D$503,_calc!$E$457)),TEXT(INDEX('Checks'!$D$4:$D$503,_calc!$E$457),"yyyy-mm-dd"),""))</f>
        <v/>
      </c>
      <c r="C455" s="47">
        <f>IF(_calc!$E$457="","",IF(LEN(INDEX('Checks'!$B$4:$B$503,_calc!$E$457))=0,"",INDEX('Checks'!$B$4:$B$503,_calc!$E$457)))</f>
        <v/>
      </c>
      <c r="D455" s="47">
        <f>IF(_calc!$E$457="","",IF(ISNUMBER(INDEX('Checks'!$C$4:$C$503,_calc!$E$457)),TEXT(INDEX('Checks'!$C$4:$C$503,_calc!$E$457),"yyyy-mm-dd"),""))</f>
        <v/>
      </c>
      <c r="E455" s="47">
        <f>IF(_calc!$E$457="","",IF(LEN(INDEX('Checks'!$L$4:$L$503,_calc!$E$457))=0,"",INDEX('Checks'!$L$4:$L$503,_calc!$E$457)))</f>
        <v/>
      </c>
      <c r="F455" s="47">
        <f>IF(_calc!$E$457="","",TRIM(IF(LEN(IF(LEN(INDEX('Checks'!$I$4:$I$503,_calc!$E$457))=0,"",INDEX('Checks'!$I$4:$I$503,_calc!$E$457)))=0,"","Contractor: "&amp;IF(LEN(INDEX('Checks'!$I$4:$I$503,_calc!$E$457))=0,"",INDEX('Checks'!$I$4:$I$503,_calc!$E$457))&amp;". ")&amp;IF(LEN(IF(LEN(INDEX('Checks'!$J$4:$J$503,_calc!$E$457))=0,"",INDEX('Checks'!$J$4:$J$503,_calc!$E$457)))=0,"","Ref: "&amp;IF(LEN(INDEX('Checks'!$J$4:$J$503,_calc!$E$457))=0,"",INDEX('Checks'!$J$4:$J$503,_calc!$E$457))&amp;". ")&amp;IF(LEN(IF(ISNUMBER(INDEX('Checks'!$K$4:$K$503,_calc!$E$457)),TEXT(INDEX('Checks'!$K$4:$K$503,_calc!$E$457),"yyyy-mm-dd"),""))=0,"","Copy to tenant: "&amp;IF(ISNUMBER(INDEX('Checks'!$K$4:$K$503,_calc!$E$457)),TEXT(INDEX('Checks'!$K$4:$K$503,_calc!$E$457),"yyyy-mm-dd"),"")&amp;". ")&amp;IF(LEN(IF(LEN(INDEX('Checks'!$P$4:$P$503,_calc!$E$457))=0,"",INDEX('Checks'!$P$4:$P$503,_calc!$E$457)))=0,"",IF(LEN(INDEX('Checks'!$P$4:$P$503,_calc!$E$457))=0,"",INDEX('Checks'!$P$4:$P$503,_calc!$E$457)))))</f>
        <v/>
      </c>
      <c r="G455" s="47">
        <f>IF(_calc!$E$457="","",IF(LEN(INDEX('Checks'!$N$4:$N$503,_calc!$E$457))=0,"",INDEX('Checks'!$N$4:$N$503,_calc!$E$457)))</f>
        <v/>
      </c>
      <c r="K455" s="47">
        <f>IF(_calc!$E$457="","",IF(LEN(INDEX('Checks'!$M$4:$M$503,_calc!$E$457))=0,"",INDEX('Checks'!$M$4:$M$503,_calc!$E$457)))</f>
        <v/>
      </c>
    </row>
    <row r="456">
      <c r="A456" s="47">
        <f>IF(_calc!$E$458="","",IF(LEN(INDEX('Checks'!$B$4:$B$503,_calc!$E$458))=0,"",INDEX('Checks'!$B$4:$B$503,_calc!$E$458))&amp;" – "&amp;IF(LEN(INDEX('Checks'!$A$4:$A$503,_calc!$E$458))=0,"",INDEX('Checks'!$A$4:$A$503,_calc!$E$458)))</f>
        <v/>
      </c>
      <c r="B456" s="47">
        <f>IF(_calc!$E$458="","",IF(ISNUMBER(INDEX('Checks'!$D$4:$D$503,_calc!$E$458)),TEXT(INDEX('Checks'!$D$4:$D$503,_calc!$E$458),"yyyy-mm-dd"),""))</f>
        <v/>
      </c>
      <c r="C456" s="47">
        <f>IF(_calc!$E$458="","",IF(LEN(INDEX('Checks'!$B$4:$B$503,_calc!$E$458))=0,"",INDEX('Checks'!$B$4:$B$503,_calc!$E$458)))</f>
        <v/>
      </c>
      <c r="D456" s="47">
        <f>IF(_calc!$E$458="","",IF(ISNUMBER(INDEX('Checks'!$C$4:$C$503,_calc!$E$458)),TEXT(INDEX('Checks'!$C$4:$C$503,_calc!$E$458),"yyyy-mm-dd"),""))</f>
        <v/>
      </c>
      <c r="E456" s="47">
        <f>IF(_calc!$E$458="","",IF(LEN(INDEX('Checks'!$L$4:$L$503,_calc!$E$458))=0,"",INDEX('Checks'!$L$4:$L$503,_calc!$E$458)))</f>
        <v/>
      </c>
      <c r="F456" s="47">
        <f>IF(_calc!$E$458="","",TRIM(IF(LEN(IF(LEN(INDEX('Checks'!$I$4:$I$503,_calc!$E$458))=0,"",INDEX('Checks'!$I$4:$I$503,_calc!$E$458)))=0,"","Contractor: "&amp;IF(LEN(INDEX('Checks'!$I$4:$I$503,_calc!$E$458))=0,"",INDEX('Checks'!$I$4:$I$503,_calc!$E$458))&amp;". ")&amp;IF(LEN(IF(LEN(INDEX('Checks'!$J$4:$J$503,_calc!$E$458))=0,"",INDEX('Checks'!$J$4:$J$503,_calc!$E$458)))=0,"","Ref: "&amp;IF(LEN(INDEX('Checks'!$J$4:$J$503,_calc!$E$458))=0,"",INDEX('Checks'!$J$4:$J$503,_calc!$E$458))&amp;". ")&amp;IF(LEN(IF(ISNUMBER(INDEX('Checks'!$K$4:$K$503,_calc!$E$458)),TEXT(INDEX('Checks'!$K$4:$K$503,_calc!$E$458),"yyyy-mm-dd"),""))=0,"","Copy to tenant: "&amp;IF(ISNUMBER(INDEX('Checks'!$K$4:$K$503,_calc!$E$458)),TEXT(INDEX('Checks'!$K$4:$K$503,_calc!$E$458),"yyyy-mm-dd"),"")&amp;". ")&amp;IF(LEN(IF(LEN(INDEX('Checks'!$P$4:$P$503,_calc!$E$458))=0,"",INDEX('Checks'!$P$4:$P$503,_calc!$E$458)))=0,"",IF(LEN(INDEX('Checks'!$P$4:$P$503,_calc!$E$458))=0,"",INDEX('Checks'!$P$4:$P$503,_calc!$E$458)))))</f>
        <v/>
      </c>
      <c r="G456" s="47">
        <f>IF(_calc!$E$458="","",IF(LEN(INDEX('Checks'!$N$4:$N$503,_calc!$E$458))=0,"",INDEX('Checks'!$N$4:$N$503,_calc!$E$458)))</f>
        <v/>
      </c>
      <c r="K456" s="47">
        <f>IF(_calc!$E$458="","",IF(LEN(INDEX('Checks'!$M$4:$M$503,_calc!$E$458))=0,"",INDEX('Checks'!$M$4:$M$503,_calc!$E$458)))</f>
        <v/>
      </c>
    </row>
    <row r="457">
      <c r="A457" s="47">
        <f>IF(_calc!$E$459="","",IF(LEN(INDEX('Checks'!$B$4:$B$503,_calc!$E$459))=0,"",INDEX('Checks'!$B$4:$B$503,_calc!$E$459))&amp;" – "&amp;IF(LEN(INDEX('Checks'!$A$4:$A$503,_calc!$E$459))=0,"",INDEX('Checks'!$A$4:$A$503,_calc!$E$459)))</f>
        <v/>
      </c>
      <c r="B457" s="47">
        <f>IF(_calc!$E$459="","",IF(ISNUMBER(INDEX('Checks'!$D$4:$D$503,_calc!$E$459)),TEXT(INDEX('Checks'!$D$4:$D$503,_calc!$E$459),"yyyy-mm-dd"),""))</f>
        <v/>
      </c>
      <c r="C457" s="47">
        <f>IF(_calc!$E$459="","",IF(LEN(INDEX('Checks'!$B$4:$B$503,_calc!$E$459))=0,"",INDEX('Checks'!$B$4:$B$503,_calc!$E$459)))</f>
        <v/>
      </c>
      <c r="D457" s="47">
        <f>IF(_calc!$E$459="","",IF(ISNUMBER(INDEX('Checks'!$C$4:$C$503,_calc!$E$459)),TEXT(INDEX('Checks'!$C$4:$C$503,_calc!$E$459),"yyyy-mm-dd"),""))</f>
        <v/>
      </c>
      <c r="E457" s="47">
        <f>IF(_calc!$E$459="","",IF(LEN(INDEX('Checks'!$L$4:$L$503,_calc!$E$459))=0,"",INDEX('Checks'!$L$4:$L$503,_calc!$E$459)))</f>
        <v/>
      </c>
      <c r="F457" s="47">
        <f>IF(_calc!$E$459="","",TRIM(IF(LEN(IF(LEN(INDEX('Checks'!$I$4:$I$503,_calc!$E$459))=0,"",INDEX('Checks'!$I$4:$I$503,_calc!$E$459)))=0,"","Contractor: "&amp;IF(LEN(INDEX('Checks'!$I$4:$I$503,_calc!$E$459))=0,"",INDEX('Checks'!$I$4:$I$503,_calc!$E$459))&amp;". ")&amp;IF(LEN(IF(LEN(INDEX('Checks'!$J$4:$J$503,_calc!$E$459))=0,"",INDEX('Checks'!$J$4:$J$503,_calc!$E$459)))=0,"","Ref: "&amp;IF(LEN(INDEX('Checks'!$J$4:$J$503,_calc!$E$459))=0,"",INDEX('Checks'!$J$4:$J$503,_calc!$E$459))&amp;". ")&amp;IF(LEN(IF(ISNUMBER(INDEX('Checks'!$K$4:$K$503,_calc!$E$459)),TEXT(INDEX('Checks'!$K$4:$K$503,_calc!$E$459),"yyyy-mm-dd"),""))=0,"","Copy to tenant: "&amp;IF(ISNUMBER(INDEX('Checks'!$K$4:$K$503,_calc!$E$459)),TEXT(INDEX('Checks'!$K$4:$K$503,_calc!$E$459),"yyyy-mm-dd"),"")&amp;". ")&amp;IF(LEN(IF(LEN(INDEX('Checks'!$P$4:$P$503,_calc!$E$459))=0,"",INDEX('Checks'!$P$4:$P$503,_calc!$E$459)))=0,"",IF(LEN(INDEX('Checks'!$P$4:$P$503,_calc!$E$459))=0,"",INDEX('Checks'!$P$4:$P$503,_calc!$E$459)))))</f>
        <v/>
      </c>
      <c r="G457" s="47">
        <f>IF(_calc!$E$459="","",IF(LEN(INDEX('Checks'!$N$4:$N$503,_calc!$E$459))=0,"",INDEX('Checks'!$N$4:$N$503,_calc!$E$459)))</f>
        <v/>
      </c>
      <c r="K457" s="47">
        <f>IF(_calc!$E$459="","",IF(LEN(INDEX('Checks'!$M$4:$M$503,_calc!$E$459))=0,"",INDEX('Checks'!$M$4:$M$503,_calc!$E$459)))</f>
        <v/>
      </c>
    </row>
    <row r="458">
      <c r="A458" s="47">
        <f>IF(_calc!$E$460="","",IF(LEN(INDEX('Checks'!$B$4:$B$503,_calc!$E$460))=0,"",INDEX('Checks'!$B$4:$B$503,_calc!$E$460))&amp;" – "&amp;IF(LEN(INDEX('Checks'!$A$4:$A$503,_calc!$E$460))=0,"",INDEX('Checks'!$A$4:$A$503,_calc!$E$460)))</f>
        <v/>
      </c>
      <c r="B458" s="47">
        <f>IF(_calc!$E$460="","",IF(ISNUMBER(INDEX('Checks'!$D$4:$D$503,_calc!$E$460)),TEXT(INDEX('Checks'!$D$4:$D$503,_calc!$E$460),"yyyy-mm-dd"),""))</f>
        <v/>
      </c>
      <c r="C458" s="47">
        <f>IF(_calc!$E$460="","",IF(LEN(INDEX('Checks'!$B$4:$B$503,_calc!$E$460))=0,"",INDEX('Checks'!$B$4:$B$503,_calc!$E$460)))</f>
        <v/>
      </c>
      <c r="D458" s="47">
        <f>IF(_calc!$E$460="","",IF(ISNUMBER(INDEX('Checks'!$C$4:$C$503,_calc!$E$460)),TEXT(INDEX('Checks'!$C$4:$C$503,_calc!$E$460),"yyyy-mm-dd"),""))</f>
        <v/>
      </c>
      <c r="E458" s="47">
        <f>IF(_calc!$E$460="","",IF(LEN(INDEX('Checks'!$L$4:$L$503,_calc!$E$460))=0,"",INDEX('Checks'!$L$4:$L$503,_calc!$E$460)))</f>
        <v/>
      </c>
      <c r="F458" s="47">
        <f>IF(_calc!$E$460="","",TRIM(IF(LEN(IF(LEN(INDEX('Checks'!$I$4:$I$503,_calc!$E$460))=0,"",INDEX('Checks'!$I$4:$I$503,_calc!$E$460)))=0,"","Contractor: "&amp;IF(LEN(INDEX('Checks'!$I$4:$I$503,_calc!$E$460))=0,"",INDEX('Checks'!$I$4:$I$503,_calc!$E$460))&amp;". ")&amp;IF(LEN(IF(LEN(INDEX('Checks'!$J$4:$J$503,_calc!$E$460))=0,"",INDEX('Checks'!$J$4:$J$503,_calc!$E$460)))=0,"","Ref: "&amp;IF(LEN(INDEX('Checks'!$J$4:$J$503,_calc!$E$460))=0,"",INDEX('Checks'!$J$4:$J$503,_calc!$E$460))&amp;". ")&amp;IF(LEN(IF(ISNUMBER(INDEX('Checks'!$K$4:$K$503,_calc!$E$460)),TEXT(INDEX('Checks'!$K$4:$K$503,_calc!$E$460),"yyyy-mm-dd"),""))=0,"","Copy to tenant: "&amp;IF(ISNUMBER(INDEX('Checks'!$K$4:$K$503,_calc!$E$460)),TEXT(INDEX('Checks'!$K$4:$K$503,_calc!$E$460),"yyyy-mm-dd"),"")&amp;". ")&amp;IF(LEN(IF(LEN(INDEX('Checks'!$P$4:$P$503,_calc!$E$460))=0,"",INDEX('Checks'!$P$4:$P$503,_calc!$E$460)))=0,"",IF(LEN(INDEX('Checks'!$P$4:$P$503,_calc!$E$460))=0,"",INDEX('Checks'!$P$4:$P$503,_calc!$E$460)))))</f>
        <v/>
      </c>
      <c r="G458" s="47">
        <f>IF(_calc!$E$460="","",IF(LEN(INDEX('Checks'!$N$4:$N$503,_calc!$E$460))=0,"",INDEX('Checks'!$N$4:$N$503,_calc!$E$460)))</f>
        <v/>
      </c>
      <c r="K458" s="47">
        <f>IF(_calc!$E$460="","",IF(LEN(INDEX('Checks'!$M$4:$M$503,_calc!$E$460))=0,"",INDEX('Checks'!$M$4:$M$503,_calc!$E$460)))</f>
        <v/>
      </c>
    </row>
    <row r="459">
      <c r="A459" s="47">
        <f>IF(_calc!$E$461="","",IF(LEN(INDEX('Checks'!$B$4:$B$503,_calc!$E$461))=0,"",INDEX('Checks'!$B$4:$B$503,_calc!$E$461))&amp;" – "&amp;IF(LEN(INDEX('Checks'!$A$4:$A$503,_calc!$E$461))=0,"",INDEX('Checks'!$A$4:$A$503,_calc!$E$461)))</f>
        <v/>
      </c>
      <c r="B459" s="47">
        <f>IF(_calc!$E$461="","",IF(ISNUMBER(INDEX('Checks'!$D$4:$D$503,_calc!$E$461)),TEXT(INDEX('Checks'!$D$4:$D$503,_calc!$E$461),"yyyy-mm-dd"),""))</f>
        <v/>
      </c>
      <c r="C459" s="47">
        <f>IF(_calc!$E$461="","",IF(LEN(INDEX('Checks'!$B$4:$B$503,_calc!$E$461))=0,"",INDEX('Checks'!$B$4:$B$503,_calc!$E$461)))</f>
        <v/>
      </c>
      <c r="D459" s="47">
        <f>IF(_calc!$E$461="","",IF(ISNUMBER(INDEX('Checks'!$C$4:$C$503,_calc!$E$461)),TEXT(INDEX('Checks'!$C$4:$C$503,_calc!$E$461),"yyyy-mm-dd"),""))</f>
        <v/>
      </c>
      <c r="E459" s="47">
        <f>IF(_calc!$E$461="","",IF(LEN(INDEX('Checks'!$L$4:$L$503,_calc!$E$461))=0,"",INDEX('Checks'!$L$4:$L$503,_calc!$E$461)))</f>
        <v/>
      </c>
      <c r="F459" s="47">
        <f>IF(_calc!$E$461="","",TRIM(IF(LEN(IF(LEN(INDEX('Checks'!$I$4:$I$503,_calc!$E$461))=0,"",INDEX('Checks'!$I$4:$I$503,_calc!$E$461)))=0,"","Contractor: "&amp;IF(LEN(INDEX('Checks'!$I$4:$I$503,_calc!$E$461))=0,"",INDEX('Checks'!$I$4:$I$503,_calc!$E$461))&amp;". ")&amp;IF(LEN(IF(LEN(INDEX('Checks'!$J$4:$J$503,_calc!$E$461))=0,"",INDEX('Checks'!$J$4:$J$503,_calc!$E$461)))=0,"","Ref: "&amp;IF(LEN(INDEX('Checks'!$J$4:$J$503,_calc!$E$461))=0,"",INDEX('Checks'!$J$4:$J$503,_calc!$E$461))&amp;". ")&amp;IF(LEN(IF(ISNUMBER(INDEX('Checks'!$K$4:$K$503,_calc!$E$461)),TEXT(INDEX('Checks'!$K$4:$K$503,_calc!$E$461),"yyyy-mm-dd"),""))=0,"","Copy to tenant: "&amp;IF(ISNUMBER(INDEX('Checks'!$K$4:$K$503,_calc!$E$461)),TEXT(INDEX('Checks'!$K$4:$K$503,_calc!$E$461),"yyyy-mm-dd"),"")&amp;". ")&amp;IF(LEN(IF(LEN(INDEX('Checks'!$P$4:$P$503,_calc!$E$461))=0,"",INDEX('Checks'!$P$4:$P$503,_calc!$E$461)))=0,"",IF(LEN(INDEX('Checks'!$P$4:$P$503,_calc!$E$461))=0,"",INDEX('Checks'!$P$4:$P$503,_calc!$E$461)))))</f>
        <v/>
      </c>
      <c r="G459" s="47">
        <f>IF(_calc!$E$461="","",IF(LEN(INDEX('Checks'!$N$4:$N$503,_calc!$E$461))=0,"",INDEX('Checks'!$N$4:$N$503,_calc!$E$461)))</f>
        <v/>
      </c>
      <c r="K459" s="47">
        <f>IF(_calc!$E$461="","",IF(LEN(INDEX('Checks'!$M$4:$M$503,_calc!$E$461))=0,"",INDEX('Checks'!$M$4:$M$503,_calc!$E$461)))</f>
        <v/>
      </c>
    </row>
    <row r="460">
      <c r="A460" s="47">
        <f>IF(_calc!$E$462="","",IF(LEN(INDEX('Checks'!$B$4:$B$503,_calc!$E$462))=0,"",INDEX('Checks'!$B$4:$B$503,_calc!$E$462))&amp;" – "&amp;IF(LEN(INDEX('Checks'!$A$4:$A$503,_calc!$E$462))=0,"",INDEX('Checks'!$A$4:$A$503,_calc!$E$462)))</f>
        <v/>
      </c>
      <c r="B460" s="47">
        <f>IF(_calc!$E$462="","",IF(ISNUMBER(INDEX('Checks'!$D$4:$D$503,_calc!$E$462)),TEXT(INDEX('Checks'!$D$4:$D$503,_calc!$E$462),"yyyy-mm-dd"),""))</f>
        <v/>
      </c>
      <c r="C460" s="47">
        <f>IF(_calc!$E$462="","",IF(LEN(INDEX('Checks'!$B$4:$B$503,_calc!$E$462))=0,"",INDEX('Checks'!$B$4:$B$503,_calc!$E$462)))</f>
        <v/>
      </c>
      <c r="D460" s="47">
        <f>IF(_calc!$E$462="","",IF(ISNUMBER(INDEX('Checks'!$C$4:$C$503,_calc!$E$462)),TEXT(INDEX('Checks'!$C$4:$C$503,_calc!$E$462),"yyyy-mm-dd"),""))</f>
        <v/>
      </c>
      <c r="E460" s="47">
        <f>IF(_calc!$E$462="","",IF(LEN(INDEX('Checks'!$L$4:$L$503,_calc!$E$462))=0,"",INDEX('Checks'!$L$4:$L$503,_calc!$E$462)))</f>
        <v/>
      </c>
      <c r="F460" s="47">
        <f>IF(_calc!$E$462="","",TRIM(IF(LEN(IF(LEN(INDEX('Checks'!$I$4:$I$503,_calc!$E$462))=0,"",INDEX('Checks'!$I$4:$I$503,_calc!$E$462)))=0,"","Contractor: "&amp;IF(LEN(INDEX('Checks'!$I$4:$I$503,_calc!$E$462))=0,"",INDEX('Checks'!$I$4:$I$503,_calc!$E$462))&amp;". ")&amp;IF(LEN(IF(LEN(INDEX('Checks'!$J$4:$J$503,_calc!$E$462))=0,"",INDEX('Checks'!$J$4:$J$503,_calc!$E$462)))=0,"","Ref: "&amp;IF(LEN(INDEX('Checks'!$J$4:$J$503,_calc!$E$462))=0,"",INDEX('Checks'!$J$4:$J$503,_calc!$E$462))&amp;". ")&amp;IF(LEN(IF(ISNUMBER(INDEX('Checks'!$K$4:$K$503,_calc!$E$462)),TEXT(INDEX('Checks'!$K$4:$K$503,_calc!$E$462),"yyyy-mm-dd"),""))=0,"","Copy to tenant: "&amp;IF(ISNUMBER(INDEX('Checks'!$K$4:$K$503,_calc!$E$462)),TEXT(INDEX('Checks'!$K$4:$K$503,_calc!$E$462),"yyyy-mm-dd"),"")&amp;". ")&amp;IF(LEN(IF(LEN(INDEX('Checks'!$P$4:$P$503,_calc!$E$462))=0,"",INDEX('Checks'!$P$4:$P$503,_calc!$E$462)))=0,"",IF(LEN(INDEX('Checks'!$P$4:$P$503,_calc!$E$462))=0,"",INDEX('Checks'!$P$4:$P$503,_calc!$E$462)))))</f>
        <v/>
      </c>
      <c r="G460" s="47">
        <f>IF(_calc!$E$462="","",IF(LEN(INDEX('Checks'!$N$4:$N$503,_calc!$E$462))=0,"",INDEX('Checks'!$N$4:$N$503,_calc!$E$462)))</f>
        <v/>
      </c>
      <c r="K460" s="47">
        <f>IF(_calc!$E$462="","",IF(LEN(INDEX('Checks'!$M$4:$M$503,_calc!$E$462))=0,"",INDEX('Checks'!$M$4:$M$503,_calc!$E$462)))</f>
        <v/>
      </c>
    </row>
    <row r="461">
      <c r="A461" s="47">
        <f>IF(_calc!$E$463="","",IF(LEN(INDEX('Checks'!$B$4:$B$503,_calc!$E$463))=0,"",INDEX('Checks'!$B$4:$B$503,_calc!$E$463))&amp;" – "&amp;IF(LEN(INDEX('Checks'!$A$4:$A$503,_calc!$E$463))=0,"",INDEX('Checks'!$A$4:$A$503,_calc!$E$463)))</f>
        <v/>
      </c>
      <c r="B461" s="47">
        <f>IF(_calc!$E$463="","",IF(ISNUMBER(INDEX('Checks'!$D$4:$D$503,_calc!$E$463)),TEXT(INDEX('Checks'!$D$4:$D$503,_calc!$E$463),"yyyy-mm-dd"),""))</f>
        <v/>
      </c>
      <c r="C461" s="47">
        <f>IF(_calc!$E$463="","",IF(LEN(INDEX('Checks'!$B$4:$B$503,_calc!$E$463))=0,"",INDEX('Checks'!$B$4:$B$503,_calc!$E$463)))</f>
        <v/>
      </c>
      <c r="D461" s="47">
        <f>IF(_calc!$E$463="","",IF(ISNUMBER(INDEX('Checks'!$C$4:$C$503,_calc!$E$463)),TEXT(INDEX('Checks'!$C$4:$C$503,_calc!$E$463),"yyyy-mm-dd"),""))</f>
        <v/>
      </c>
      <c r="E461" s="47">
        <f>IF(_calc!$E$463="","",IF(LEN(INDEX('Checks'!$L$4:$L$503,_calc!$E$463))=0,"",INDEX('Checks'!$L$4:$L$503,_calc!$E$463)))</f>
        <v/>
      </c>
      <c r="F461" s="47">
        <f>IF(_calc!$E$463="","",TRIM(IF(LEN(IF(LEN(INDEX('Checks'!$I$4:$I$503,_calc!$E$463))=0,"",INDEX('Checks'!$I$4:$I$503,_calc!$E$463)))=0,"","Contractor: "&amp;IF(LEN(INDEX('Checks'!$I$4:$I$503,_calc!$E$463))=0,"",INDEX('Checks'!$I$4:$I$503,_calc!$E$463))&amp;". ")&amp;IF(LEN(IF(LEN(INDEX('Checks'!$J$4:$J$503,_calc!$E$463))=0,"",INDEX('Checks'!$J$4:$J$503,_calc!$E$463)))=0,"","Ref: "&amp;IF(LEN(INDEX('Checks'!$J$4:$J$503,_calc!$E$463))=0,"",INDEX('Checks'!$J$4:$J$503,_calc!$E$463))&amp;". ")&amp;IF(LEN(IF(ISNUMBER(INDEX('Checks'!$K$4:$K$503,_calc!$E$463)),TEXT(INDEX('Checks'!$K$4:$K$503,_calc!$E$463),"yyyy-mm-dd"),""))=0,"","Copy to tenant: "&amp;IF(ISNUMBER(INDEX('Checks'!$K$4:$K$503,_calc!$E$463)),TEXT(INDEX('Checks'!$K$4:$K$503,_calc!$E$463),"yyyy-mm-dd"),"")&amp;". ")&amp;IF(LEN(IF(LEN(INDEX('Checks'!$P$4:$P$503,_calc!$E$463))=0,"",INDEX('Checks'!$P$4:$P$503,_calc!$E$463)))=0,"",IF(LEN(INDEX('Checks'!$P$4:$P$503,_calc!$E$463))=0,"",INDEX('Checks'!$P$4:$P$503,_calc!$E$463)))))</f>
        <v/>
      </c>
      <c r="G461" s="47">
        <f>IF(_calc!$E$463="","",IF(LEN(INDEX('Checks'!$N$4:$N$503,_calc!$E$463))=0,"",INDEX('Checks'!$N$4:$N$503,_calc!$E$463)))</f>
        <v/>
      </c>
      <c r="K461" s="47">
        <f>IF(_calc!$E$463="","",IF(LEN(INDEX('Checks'!$M$4:$M$503,_calc!$E$463))=0,"",INDEX('Checks'!$M$4:$M$503,_calc!$E$463)))</f>
        <v/>
      </c>
    </row>
    <row r="462">
      <c r="A462" s="47">
        <f>IF(_calc!$E$464="","",IF(LEN(INDEX('Checks'!$B$4:$B$503,_calc!$E$464))=0,"",INDEX('Checks'!$B$4:$B$503,_calc!$E$464))&amp;" – "&amp;IF(LEN(INDEX('Checks'!$A$4:$A$503,_calc!$E$464))=0,"",INDEX('Checks'!$A$4:$A$503,_calc!$E$464)))</f>
        <v/>
      </c>
      <c r="B462" s="47">
        <f>IF(_calc!$E$464="","",IF(ISNUMBER(INDEX('Checks'!$D$4:$D$503,_calc!$E$464)),TEXT(INDEX('Checks'!$D$4:$D$503,_calc!$E$464),"yyyy-mm-dd"),""))</f>
        <v/>
      </c>
      <c r="C462" s="47">
        <f>IF(_calc!$E$464="","",IF(LEN(INDEX('Checks'!$B$4:$B$503,_calc!$E$464))=0,"",INDEX('Checks'!$B$4:$B$503,_calc!$E$464)))</f>
        <v/>
      </c>
      <c r="D462" s="47">
        <f>IF(_calc!$E$464="","",IF(ISNUMBER(INDEX('Checks'!$C$4:$C$503,_calc!$E$464)),TEXT(INDEX('Checks'!$C$4:$C$503,_calc!$E$464),"yyyy-mm-dd"),""))</f>
        <v/>
      </c>
      <c r="E462" s="47">
        <f>IF(_calc!$E$464="","",IF(LEN(INDEX('Checks'!$L$4:$L$503,_calc!$E$464))=0,"",INDEX('Checks'!$L$4:$L$503,_calc!$E$464)))</f>
        <v/>
      </c>
      <c r="F462" s="47">
        <f>IF(_calc!$E$464="","",TRIM(IF(LEN(IF(LEN(INDEX('Checks'!$I$4:$I$503,_calc!$E$464))=0,"",INDEX('Checks'!$I$4:$I$503,_calc!$E$464)))=0,"","Contractor: "&amp;IF(LEN(INDEX('Checks'!$I$4:$I$503,_calc!$E$464))=0,"",INDEX('Checks'!$I$4:$I$503,_calc!$E$464))&amp;". ")&amp;IF(LEN(IF(LEN(INDEX('Checks'!$J$4:$J$503,_calc!$E$464))=0,"",INDEX('Checks'!$J$4:$J$503,_calc!$E$464)))=0,"","Ref: "&amp;IF(LEN(INDEX('Checks'!$J$4:$J$503,_calc!$E$464))=0,"",INDEX('Checks'!$J$4:$J$503,_calc!$E$464))&amp;". ")&amp;IF(LEN(IF(ISNUMBER(INDEX('Checks'!$K$4:$K$503,_calc!$E$464)),TEXT(INDEX('Checks'!$K$4:$K$503,_calc!$E$464),"yyyy-mm-dd"),""))=0,"","Copy to tenant: "&amp;IF(ISNUMBER(INDEX('Checks'!$K$4:$K$503,_calc!$E$464)),TEXT(INDEX('Checks'!$K$4:$K$503,_calc!$E$464),"yyyy-mm-dd"),"")&amp;". ")&amp;IF(LEN(IF(LEN(INDEX('Checks'!$P$4:$P$503,_calc!$E$464))=0,"",INDEX('Checks'!$P$4:$P$503,_calc!$E$464)))=0,"",IF(LEN(INDEX('Checks'!$P$4:$P$503,_calc!$E$464))=0,"",INDEX('Checks'!$P$4:$P$503,_calc!$E$464)))))</f>
        <v/>
      </c>
      <c r="G462" s="47">
        <f>IF(_calc!$E$464="","",IF(LEN(INDEX('Checks'!$N$4:$N$503,_calc!$E$464))=0,"",INDEX('Checks'!$N$4:$N$503,_calc!$E$464)))</f>
        <v/>
      </c>
      <c r="K462" s="47">
        <f>IF(_calc!$E$464="","",IF(LEN(INDEX('Checks'!$M$4:$M$503,_calc!$E$464))=0,"",INDEX('Checks'!$M$4:$M$503,_calc!$E$464)))</f>
        <v/>
      </c>
    </row>
    <row r="463">
      <c r="A463" s="47">
        <f>IF(_calc!$E$465="","",IF(LEN(INDEX('Checks'!$B$4:$B$503,_calc!$E$465))=0,"",INDEX('Checks'!$B$4:$B$503,_calc!$E$465))&amp;" – "&amp;IF(LEN(INDEX('Checks'!$A$4:$A$503,_calc!$E$465))=0,"",INDEX('Checks'!$A$4:$A$503,_calc!$E$465)))</f>
        <v/>
      </c>
      <c r="B463" s="47">
        <f>IF(_calc!$E$465="","",IF(ISNUMBER(INDEX('Checks'!$D$4:$D$503,_calc!$E$465)),TEXT(INDEX('Checks'!$D$4:$D$503,_calc!$E$465),"yyyy-mm-dd"),""))</f>
        <v/>
      </c>
      <c r="C463" s="47">
        <f>IF(_calc!$E$465="","",IF(LEN(INDEX('Checks'!$B$4:$B$503,_calc!$E$465))=0,"",INDEX('Checks'!$B$4:$B$503,_calc!$E$465)))</f>
        <v/>
      </c>
      <c r="D463" s="47">
        <f>IF(_calc!$E$465="","",IF(ISNUMBER(INDEX('Checks'!$C$4:$C$503,_calc!$E$465)),TEXT(INDEX('Checks'!$C$4:$C$503,_calc!$E$465),"yyyy-mm-dd"),""))</f>
        <v/>
      </c>
      <c r="E463" s="47">
        <f>IF(_calc!$E$465="","",IF(LEN(INDEX('Checks'!$L$4:$L$503,_calc!$E$465))=0,"",INDEX('Checks'!$L$4:$L$503,_calc!$E$465)))</f>
        <v/>
      </c>
      <c r="F463" s="47">
        <f>IF(_calc!$E$465="","",TRIM(IF(LEN(IF(LEN(INDEX('Checks'!$I$4:$I$503,_calc!$E$465))=0,"",INDEX('Checks'!$I$4:$I$503,_calc!$E$465)))=0,"","Contractor: "&amp;IF(LEN(INDEX('Checks'!$I$4:$I$503,_calc!$E$465))=0,"",INDEX('Checks'!$I$4:$I$503,_calc!$E$465))&amp;". ")&amp;IF(LEN(IF(LEN(INDEX('Checks'!$J$4:$J$503,_calc!$E$465))=0,"",INDEX('Checks'!$J$4:$J$503,_calc!$E$465)))=0,"","Ref: "&amp;IF(LEN(INDEX('Checks'!$J$4:$J$503,_calc!$E$465))=0,"",INDEX('Checks'!$J$4:$J$503,_calc!$E$465))&amp;". ")&amp;IF(LEN(IF(ISNUMBER(INDEX('Checks'!$K$4:$K$503,_calc!$E$465)),TEXT(INDEX('Checks'!$K$4:$K$503,_calc!$E$465),"yyyy-mm-dd"),""))=0,"","Copy to tenant: "&amp;IF(ISNUMBER(INDEX('Checks'!$K$4:$K$503,_calc!$E$465)),TEXT(INDEX('Checks'!$K$4:$K$503,_calc!$E$465),"yyyy-mm-dd"),"")&amp;". ")&amp;IF(LEN(IF(LEN(INDEX('Checks'!$P$4:$P$503,_calc!$E$465))=0,"",INDEX('Checks'!$P$4:$P$503,_calc!$E$465)))=0,"",IF(LEN(INDEX('Checks'!$P$4:$P$503,_calc!$E$465))=0,"",INDEX('Checks'!$P$4:$P$503,_calc!$E$465)))))</f>
        <v/>
      </c>
      <c r="G463" s="47">
        <f>IF(_calc!$E$465="","",IF(LEN(INDEX('Checks'!$N$4:$N$503,_calc!$E$465))=0,"",INDEX('Checks'!$N$4:$N$503,_calc!$E$465)))</f>
        <v/>
      </c>
      <c r="K463" s="47">
        <f>IF(_calc!$E$465="","",IF(LEN(INDEX('Checks'!$M$4:$M$503,_calc!$E$465))=0,"",INDEX('Checks'!$M$4:$M$503,_calc!$E$465)))</f>
        <v/>
      </c>
    </row>
    <row r="464">
      <c r="A464" s="47">
        <f>IF(_calc!$E$466="","",IF(LEN(INDEX('Checks'!$B$4:$B$503,_calc!$E$466))=0,"",INDEX('Checks'!$B$4:$B$503,_calc!$E$466))&amp;" – "&amp;IF(LEN(INDEX('Checks'!$A$4:$A$503,_calc!$E$466))=0,"",INDEX('Checks'!$A$4:$A$503,_calc!$E$466)))</f>
        <v/>
      </c>
      <c r="B464" s="47">
        <f>IF(_calc!$E$466="","",IF(ISNUMBER(INDEX('Checks'!$D$4:$D$503,_calc!$E$466)),TEXT(INDEX('Checks'!$D$4:$D$503,_calc!$E$466),"yyyy-mm-dd"),""))</f>
        <v/>
      </c>
      <c r="C464" s="47">
        <f>IF(_calc!$E$466="","",IF(LEN(INDEX('Checks'!$B$4:$B$503,_calc!$E$466))=0,"",INDEX('Checks'!$B$4:$B$503,_calc!$E$466)))</f>
        <v/>
      </c>
      <c r="D464" s="47">
        <f>IF(_calc!$E$466="","",IF(ISNUMBER(INDEX('Checks'!$C$4:$C$503,_calc!$E$466)),TEXT(INDEX('Checks'!$C$4:$C$503,_calc!$E$466),"yyyy-mm-dd"),""))</f>
        <v/>
      </c>
      <c r="E464" s="47">
        <f>IF(_calc!$E$466="","",IF(LEN(INDEX('Checks'!$L$4:$L$503,_calc!$E$466))=0,"",INDEX('Checks'!$L$4:$L$503,_calc!$E$466)))</f>
        <v/>
      </c>
      <c r="F464" s="47">
        <f>IF(_calc!$E$466="","",TRIM(IF(LEN(IF(LEN(INDEX('Checks'!$I$4:$I$503,_calc!$E$466))=0,"",INDEX('Checks'!$I$4:$I$503,_calc!$E$466)))=0,"","Contractor: "&amp;IF(LEN(INDEX('Checks'!$I$4:$I$503,_calc!$E$466))=0,"",INDEX('Checks'!$I$4:$I$503,_calc!$E$466))&amp;". ")&amp;IF(LEN(IF(LEN(INDEX('Checks'!$J$4:$J$503,_calc!$E$466))=0,"",INDEX('Checks'!$J$4:$J$503,_calc!$E$466)))=0,"","Ref: "&amp;IF(LEN(INDEX('Checks'!$J$4:$J$503,_calc!$E$466))=0,"",INDEX('Checks'!$J$4:$J$503,_calc!$E$466))&amp;". ")&amp;IF(LEN(IF(ISNUMBER(INDEX('Checks'!$K$4:$K$503,_calc!$E$466)),TEXT(INDEX('Checks'!$K$4:$K$503,_calc!$E$466),"yyyy-mm-dd"),""))=0,"","Copy to tenant: "&amp;IF(ISNUMBER(INDEX('Checks'!$K$4:$K$503,_calc!$E$466)),TEXT(INDEX('Checks'!$K$4:$K$503,_calc!$E$466),"yyyy-mm-dd"),"")&amp;". ")&amp;IF(LEN(IF(LEN(INDEX('Checks'!$P$4:$P$503,_calc!$E$466))=0,"",INDEX('Checks'!$P$4:$P$503,_calc!$E$466)))=0,"",IF(LEN(INDEX('Checks'!$P$4:$P$503,_calc!$E$466))=0,"",INDEX('Checks'!$P$4:$P$503,_calc!$E$466)))))</f>
        <v/>
      </c>
      <c r="G464" s="47">
        <f>IF(_calc!$E$466="","",IF(LEN(INDEX('Checks'!$N$4:$N$503,_calc!$E$466))=0,"",INDEX('Checks'!$N$4:$N$503,_calc!$E$466)))</f>
        <v/>
      </c>
      <c r="K464" s="47">
        <f>IF(_calc!$E$466="","",IF(LEN(INDEX('Checks'!$M$4:$M$503,_calc!$E$466))=0,"",INDEX('Checks'!$M$4:$M$503,_calc!$E$466)))</f>
        <v/>
      </c>
    </row>
    <row r="465">
      <c r="A465" s="47">
        <f>IF(_calc!$E$467="","",IF(LEN(INDEX('Checks'!$B$4:$B$503,_calc!$E$467))=0,"",INDEX('Checks'!$B$4:$B$503,_calc!$E$467))&amp;" – "&amp;IF(LEN(INDEX('Checks'!$A$4:$A$503,_calc!$E$467))=0,"",INDEX('Checks'!$A$4:$A$503,_calc!$E$467)))</f>
        <v/>
      </c>
      <c r="B465" s="47">
        <f>IF(_calc!$E$467="","",IF(ISNUMBER(INDEX('Checks'!$D$4:$D$503,_calc!$E$467)),TEXT(INDEX('Checks'!$D$4:$D$503,_calc!$E$467),"yyyy-mm-dd"),""))</f>
        <v/>
      </c>
      <c r="C465" s="47">
        <f>IF(_calc!$E$467="","",IF(LEN(INDEX('Checks'!$B$4:$B$503,_calc!$E$467))=0,"",INDEX('Checks'!$B$4:$B$503,_calc!$E$467)))</f>
        <v/>
      </c>
      <c r="D465" s="47">
        <f>IF(_calc!$E$467="","",IF(ISNUMBER(INDEX('Checks'!$C$4:$C$503,_calc!$E$467)),TEXT(INDEX('Checks'!$C$4:$C$503,_calc!$E$467),"yyyy-mm-dd"),""))</f>
        <v/>
      </c>
      <c r="E465" s="47">
        <f>IF(_calc!$E$467="","",IF(LEN(INDEX('Checks'!$L$4:$L$503,_calc!$E$467))=0,"",INDEX('Checks'!$L$4:$L$503,_calc!$E$467)))</f>
        <v/>
      </c>
      <c r="F465" s="47">
        <f>IF(_calc!$E$467="","",TRIM(IF(LEN(IF(LEN(INDEX('Checks'!$I$4:$I$503,_calc!$E$467))=0,"",INDEX('Checks'!$I$4:$I$503,_calc!$E$467)))=0,"","Contractor: "&amp;IF(LEN(INDEX('Checks'!$I$4:$I$503,_calc!$E$467))=0,"",INDEX('Checks'!$I$4:$I$503,_calc!$E$467))&amp;". ")&amp;IF(LEN(IF(LEN(INDEX('Checks'!$J$4:$J$503,_calc!$E$467))=0,"",INDEX('Checks'!$J$4:$J$503,_calc!$E$467)))=0,"","Ref: "&amp;IF(LEN(INDEX('Checks'!$J$4:$J$503,_calc!$E$467))=0,"",INDEX('Checks'!$J$4:$J$503,_calc!$E$467))&amp;". ")&amp;IF(LEN(IF(ISNUMBER(INDEX('Checks'!$K$4:$K$503,_calc!$E$467)),TEXT(INDEX('Checks'!$K$4:$K$503,_calc!$E$467),"yyyy-mm-dd"),""))=0,"","Copy to tenant: "&amp;IF(ISNUMBER(INDEX('Checks'!$K$4:$K$503,_calc!$E$467)),TEXT(INDEX('Checks'!$K$4:$K$503,_calc!$E$467),"yyyy-mm-dd"),"")&amp;". ")&amp;IF(LEN(IF(LEN(INDEX('Checks'!$P$4:$P$503,_calc!$E$467))=0,"",INDEX('Checks'!$P$4:$P$503,_calc!$E$467)))=0,"",IF(LEN(INDEX('Checks'!$P$4:$P$503,_calc!$E$467))=0,"",INDEX('Checks'!$P$4:$P$503,_calc!$E$467)))))</f>
        <v/>
      </c>
      <c r="G465" s="47">
        <f>IF(_calc!$E$467="","",IF(LEN(INDEX('Checks'!$N$4:$N$503,_calc!$E$467))=0,"",INDEX('Checks'!$N$4:$N$503,_calc!$E$467)))</f>
        <v/>
      </c>
      <c r="K465" s="47">
        <f>IF(_calc!$E$467="","",IF(LEN(INDEX('Checks'!$M$4:$M$503,_calc!$E$467))=0,"",INDEX('Checks'!$M$4:$M$503,_calc!$E$467)))</f>
        <v/>
      </c>
    </row>
    <row r="466">
      <c r="A466" s="47">
        <f>IF(_calc!$E$468="","",IF(LEN(INDEX('Checks'!$B$4:$B$503,_calc!$E$468))=0,"",INDEX('Checks'!$B$4:$B$503,_calc!$E$468))&amp;" – "&amp;IF(LEN(INDEX('Checks'!$A$4:$A$503,_calc!$E$468))=0,"",INDEX('Checks'!$A$4:$A$503,_calc!$E$468)))</f>
        <v/>
      </c>
      <c r="B466" s="47">
        <f>IF(_calc!$E$468="","",IF(ISNUMBER(INDEX('Checks'!$D$4:$D$503,_calc!$E$468)),TEXT(INDEX('Checks'!$D$4:$D$503,_calc!$E$468),"yyyy-mm-dd"),""))</f>
        <v/>
      </c>
      <c r="C466" s="47">
        <f>IF(_calc!$E$468="","",IF(LEN(INDEX('Checks'!$B$4:$B$503,_calc!$E$468))=0,"",INDEX('Checks'!$B$4:$B$503,_calc!$E$468)))</f>
        <v/>
      </c>
      <c r="D466" s="47">
        <f>IF(_calc!$E$468="","",IF(ISNUMBER(INDEX('Checks'!$C$4:$C$503,_calc!$E$468)),TEXT(INDEX('Checks'!$C$4:$C$503,_calc!$E$468),"yyyy-mm-dd"),""))</f>
        <v/>
      </c>
      <c r="E466" s="47">
        <f>IF(_calc!$E$468="","",IF(LEN(INDEX('Checks'!$L$4:$L$503,_calc!$E$468))=0,"",INDEX('Checks'!$L$4:$L$503,_calc!$E$468)))</f>
        <v/>
      </c>
      <c r="F466" s="47">
        <f>IF(_calc!$E$468="","",TRIM(IF(LEN(IF(LEN(INDEX('Checks'!$I$4:$I$503,_calc!$E$468))=0,"",INDEX('Checks'!$I$4:$I$503,_calc!$E$468)))=0,"","Contractor: "&amp;IF(LEN(INDEX('Checks'!$I$4:$I$503,_calc!$E$468))=0,"",INDEX('Checks'!$I$4:$I$503,_calc!$E$468))&amp;". ")&amp;IF(LEN(IF(LEN(INDEX('Checks'!$J$4:$J$503,_calc!$E$468))=0,"",INDEX('Checks'!$J$4:$J$503,_calc!$E$468)))=0,"","Ref: "&amp;IF(LEN(INDEX('Checks'!$J$4:$J$503,_calc!$E$468))=0,"",INDEX('Checks'!$J$4:$J$503,_calc!$E$468))&amp;". ")&amp;IF(LEN(IF(ISNUMBER(INDEX('Checks'!$K$4:$K$503,_calc!$E$468)),TEXT(INDEX('Checks'!$K$4:$K$503,_calc!$E$468),"yyyy-mm-dd"),""))=0,"","Copy to tenant: "&amp;IF(ISNUMBER(INDEX('Checks'!$K$4:$K$503,_calc!$E$468)),TEXT(INDEX('Checks'!$K$4:$K$503,_calc!$E$468),"yyyy-mm-dd"),"")&amp;". ")&amp;IF(LEN(IF(LEN(INDEX('Checks'!$P$4:$P$503,_calc!$E$468))=0,"",INDEX('Checks'!$P$4:$P$503,_calc!$E$468)))=0,"",IF(LEN(INDEX('Checks'!$P$4:$P$503,_calc!$E$468))=0,"",INDEX('Checks'!$P$4:$P$503,_calc!$E$468)))))</f>
        <v/>
      </c>
      <c r="G466" s="47">
        <f>IF(_calc!$E$468="","",IF(LEN(INDEX('Checks'!$N$4:$N$503,_calc!$E$468))=0,"",INDEX('Checks'!$N$4:$N$503,_calc!$E$468)))</f>
        <v/>
      </c>
      <c r="K466" s="47">
        <f>IF(_calc!$E$468="","",IF(LEN(INDEX('Checks'!$M$4:$M$503,_calc!$E$468))=0,"",INDEX('Checks'!$M$4:$M$503,_calc!$E$468)))</f>
        <v/>
      </c>
    </row>
    <row r="467">
      <c r="A467" s="47">
        <f>IF(_calc!$E$469="","",IF(LEN(INDEX('Checks'!$B$4:$B$503,_calc!$E$469))=0,"",INDEX('Checks'!$B$4:$B$503,_calc!$E$469))&amp;" – "&amp;IF(LEN(INDEX('Checks'!$A$4:$A$503,_calc!$E$469))=0,"",INDEX('Checks'!$A$4:$A$503,_calc!$E$469)))</f>
        <v/>
      </c>
      <c r="B467" s="47">
        <f>IF(_calc!$E$469="","",IF(ISNUMBER(INDEX('Checks'!$D$4:$D$503,_calc!$E$469)),TEXT(INDEX('Checks'!$D$4:$D$503,_calc!$E$469),"yyyy-mm-dd"),""))</f>
        <v/>
      </c>
      <c r="C467" s="47">
        <f>IF(_calc!$E$469="","",IF(LEN(INDEX('Checks'!$B$4:$B$503,_calc!$E$469))=0,"",INDEX('Checks'!$B$4:$B$503,_calc!$E$469)))</f>
        <v/>
      </c>
      <c r="D467" s="47">
        <f>IF(_calc!$E$469="","",IF(ISNUMBER(INDEX('Checks'!$C$4:$C$503,_calc!$E$469)),TEXT(INDEX('Checks'!$C$4:$C$503,_calc!$E$469),"yyyy-mm-dd"),""))</f>
        <v/>
      </c>
      <c r="E467" s="47">
        <f>IF(_calc!$E$469="","",IF(LEN(INDEX('Checks'!$L$4:$L$503,_calc!$E$469))=0,"",INDEX('Checks'!$L$4:$L$503,_calc!$E$469)))</f>
        <v/>
      </c>
      <c r="F467" s="47">
        <f>IF(_calc!$E$469="","",TRIM(IF(LEN(IF(LEN(INDEX('Checks'!$I$4:$I$503,_calc!$E$469))=0,"",INDEX('Checks'!$I$4:$I$503,_calc!$E$469)))=0,"","Contractor: "&amp;IF(LEN(INDEX('Checks'!$I$4:$I$503,_calc!$E$469))=0,"",INDEX('Checks'!$I$4:$I$503,_calc!$E$469))&amp;". ")&amp;IF(LEN(IF(LEN(INDEX('Checks'!$J$4:$J$503,_calc!$E$469))=0,"",INDEX('Checks'!$J$4:$J$503,_calc!$E$469)))=0,"","Ref: "&amp;IF(LEN(INDEX('Checks'!$J$4:$J$503,_calc!$E$469))=0,"",INDEX('Checks'!$J$4:$J$503,_calc!$E$469))&amp;". ")&amp;IF(LEN(IF(ISNUMBER(INDEX('Checks'!$K$4:$K$503,_calc!$E$469)),TEXT(INDEX('Checks'!$K$4:$K$503,_calc!$E$469),"yyyy-mm-dd"),""))=0,"","Copy to tenant: "&amp;IF(ISNUMBER(INDEX('Checks'!$K$4:$K$503,_calc!$E$469)),TEXT(INDEX('Checks'!$K$4:$K$503,_calc!$E$469),"yyyy-mm-dd"),"")&amp;". ")&amp;IF(LEN(IF(LEN(INDEX('Checks'!$P$4:$P$503,_calc!$E$469))=0,"",INDEX('Checks'!$P$4:$P$503,_calc!$E$469)))=0,"",IF(LEN(INDEX('Checks'!$P$4:$P$503,_calc!$E$469))=0,"",INDEX('Checks'!$P$4:$P$503,_calc!$E$469)))))</f>
        <v/>
      </c>
      <c r="G467" s="47">
        <f>IF(_calc!$E$469="","",IF(LEN(INDEX('Checks'!$N$4:$N$503,_calc!$E$469))=0,"",INDEX('Checks'!$N$4:$N$503,_calc!$E$469)))</f>
        <v/>
      </c>
      <c r="K467" s="47">
        <f>IF(_calc!$E$469="","",IF(LEN(INDEX('Checks'!$M$4:$M$503,_calc!$E$469))=0,"",INDEX('Checks'!$M$4:$M$503,_calc!$E$469)))</f>
        <v/>
      </c>
    </row>
    <row r="468">
      <c r="A468" s="47">
        <f>IF(_calc!$E$470="","",IF(LEN(INDEX('Checks'!$B$4:$B$503,_calc!$E$470))=0,"",INDEX('Checks'!$B$4:$B$503,_calc!$E$470))&amp;" – "&amp;IF(LEN(INDEX('Checks'!$A$4:$A$503,_calc!$E$470))=0,"",INDEX('Checks'!$A$4:$A$503,_calc!$E$470)))</f>
        <v/>
      </c>
      <c r="B468" s="47">
        <f>IF(_calc!$E$470="","",IF(ISNUMBER(INDEX('Checks'!$D$4:$D$503,_calc!$E$470)),TEXT(INDEX('Checks'!$D$4:$D$503,_calc!$E$470),"yyyy-mm-dd"),""))</f>
        <v/>
      </c>
      <c r="C468" s="47">
        <f>IF(_calc!$E$470="","",IF(LEN(INDEX('Checks'!$B$4:$B$503,_calc!$E$470))=0,"",INDEX('Checks'!$B$4:$B$503,_calc!$E$470)))</f>
        <v/>
      </c>
      <c r="D468" s="47">
        <f>IF(_calc!$E$470="","",IF(ISNUMBER(INDEX('Checks'!$C$4:$C$503,_calc!$E$470)),TEXT(INDEX('Checks'!$C$4:$C$503,_calc!$E$470),"yyyy-mm-dd"),""))</f>
        <v/>
      </c>
      <c r="E468" s="47">
        <f>IF(_calc!$E$470="","",IF(LEN(INDEX('Checks'!$L$4:$L$503,_calc!$E$470))=0,"",INDEX('Checks'!$L$4:$L$503,_calc!$E$470)))</f>
        <v/>
      </c>
      <c r="F468" s="47">
        <f>IF(_calc!$E$470="","",TRIM(IF(LEN(IF(LEN(INDEX('Checks'!$I$4:$I$503,_calc!$E$470))=0,"",INDEX('Checks'!$I$4:$I$503,_calc!$E$470)))=0,"","Contractor: "&amp;IF(LEN(INDEX('Checks'!$I$4:$I$503,_calc!$E$470))=0,"",INDEX('Checks'!$I$4:$I$503,_calc!$E$470))&amp;". ")&amp;IF(LEN(IF(LEN(INDEX('Checks'!$J$4:$J$503,_calc!$E$470))=0,"",INDEX('Checks'!$J$4:$J$503,_calc!$E$470)))=0,"","Ref: "&amp;IF(LEN(INDEX('Checks'!$J$4:$J$503,_calc!$E$470))=0,"",INDEX('Checks'!$J$4:$J$503,_calc!$E$470))&amp;". ")&amp;IF(LEN(IF(ISNUMBER(INDEX('Checks'!$K$4:$K$503,_calc!$E$470)),TEXT(INDEX('Checks'!$K$4:$K$503,_calc!$E$470),"yyyy-mm-dd"),""))=0,"","Copy to tenant: "&amp;IF(ISNUMBER(INDEX('Checks'!$K$4:$K$503,_calc!$E$470)),TEXT(INDEX('Checks'!$K$4:$K$503,_calc!$E$470),"yyyy-mm-dd"),"")&amp;". ")&amp;IF(LEN(IF(LEN(INDEX('Checks'!$P$4:$P$503,_calc!$E$470))=0,"",INDEX('Checks'!$P$4:$P$503,_calc!$E$470)))=0,"",IF(LEN(INDEX('Checks'!$P$4:$P$503,_calc!$E$470))=0,"",INDEX('Checks'!$P$4:$P$503,_calc!$E$470)))))</f>
        <v/>
      </c>
      <c r="G468" s="47">
        <f>IF(_calc!$E$470="","",IF(LEN(INDEX('Checks'!$N$4:$N$503,_calc!$E$470))=0,"",INDEX('Checks'!$N$4:$N$503,_calc!$E$470)))</f>
        <v/>
      </c>
      <c r="K468" s="47">
        <f>IF(_calc!$E$470="","",IF(LEN(INDEX('Checks'!$M$4:$M$503,_calc!$E$470))=0,"",INDEX('Checks'!$M$4:$M$503,_calc!$E$470)))</f>
        <v/>
      </c>
    </row>
    <row r="469">
      <c r="A469" s="47">
        <f>IF(_calc!$E$471="","",IF(LEN(INDEX('Checks'!$B$4:$B$503,_calc!$E$471))=0,"",INDEX('Checks'!$B$4:$B$503,_calc!$E$471))&amp;" – "&amp;IF(LEN(INDEX('Checks'!$A$4:$A$503,_calc!$E$471))=0,"",INDEX('Checks'!$A$4:$A$503,_calc!$E$471)))</f>
        <v/>
      </c>
      <c r="B469" s="47">
        <f>IF(_calc!$E$471="","",IF(ISNUMBER(INDEX('Checks'!$D$4:$D$503,_calc!$E$471)),TEXT(INDEX('Checks'!$D$4:$D$503,_calc!$E$471),"yyyy-mm-dd"),""))</f>
        <v/>
      </c>
      <c r="C469" s="47">
        <f>IF(_calc!$E$471="","",IF(LEN(INDEX('Checks'!$B$4:$B$503,_calc!$E$471))=0,"",INDEX('Checks'!$B$4:$B$503,_calc!$E$471)))</f>
        <v/>
      </c>
      <c r="D469" s="47">
        <f>IF(_calc!$E$471="","",IF(ISNUMBER(INDEX('Checks'!$C$4:$C$503,_calc!$E$471)),TEXT(INDEX('Checks'!$C$4:$C$503,_calc!$E$471),"yyyy-mm-dd"),""))</f>
        <v/>
      </c>
      <c r="E469" s="47">
        <f>IF(_calc!$E$471="","",IF(LEN(INDEX('Checks'!$L$4:$L$503,_calc!$E$471))=0,"",INDEX('Checks'!$L$4:$L$503,_calc!$E$471)))</f>
        <v/>
      </c>
      <c r="F469" s="47">
        <f>IF(_calc!$E$471="","",TRIM(IF(LEN(IF(LEN(INDEX('Checks'!$I$4:$I$503,_calc!$E$471))=0,"",INDEX('Checks'!$I$4:$I$503,_calc!$E$471)))=0,"","Contractor: "&amp;IF(LEN(INDEX('Checks'!$I$4:$I$503,_calc!$E$471))=0,"",INDEX('Checks'!$I$4:$I$503,_calc!$E$471))&amp;". ")&amp;IF(LEN(IF(LEN(INDEX('Checks'!$J$4:$J$503,_calc!$E$471))=0,"",INDEX('Checks'!$J$4:$J$503,_calc!$E$471)))=0,"","Ref: "&amp;IF(LEN(INDEX('Checks'!$J$4:$J$503,_calc!$E$471))=0,"",INDEX('Checks'!$J$4:$J$503,_calc!$E$471))&amp;". ")&amp;IF(LEN(IF(ISNUMBER(INDEX('Checks'!$K$4:$K$503,_calc!$E$471)),TEXT(INDEX('Checks'!$K$4:$K$503,_calc!$E$471),"yyyy-mm-dd"),""))=0,"","Copy to tenant: "&amp;IF(ISNUMBER(INDEX('Checks'!$K$4:$K$503,_calc!$E$471)),TEXT(INDEX('Checks'!$K$4:$K$503,_calc!$E$471),"yyyy-mm-dd"),"")&amp;". ")&amp;IF(LEN(IF(LEN(INDEX('Checks'!$P$4:$P$503,_calc!$E$471))=0,"",INDEX('Checks'!$P$4:$P$503,_calc!$E$471)))=0,"",IF(LEN(INDEX('Checks'!$P$4:$P$503,_calc!$E$471))=0,"",INDEX('Checks'!$P$4:$P$503,_calc!$E$471)))))</f>
        <v/>
      </c>
      <c r="G469" s="47">
        <f>IF(_calc!$E$471="","",IF(LEN(INDEX('Checks'!$N$4:$N$503,_calc!$E$471))=0,"",INDEX('Checks'!$N$4:$N$503,_calc!$E$471)))</f>
        <v/>
      </c>
      <c r="K469" s="47">
        <f>IF(_calc!$E$471="","",IF(LEN(INDEX('Checks'!$M$4:$M$503,_calc!$E$471))=0,"",INDEX('Checks'!$M$4:$M$503,_calc!$E$471)))</f>
        <v/>
      </c>
    </row>
    <row r="470">
      <c r="A470" s="47">
        <f>IF(_calc!$E$472="","",IF(LEN(INDEX('Checks'!$B$4:$B$503,_calc!$E$472))=0,"",INDEX('Checks'!$B$4:$B$503,_calc!$E$472))&amp;" – "&amp;IF(LEN(INDEX('Checks'!$A$4:$A$503,_calc!$E$472))=0,"",INDEX('Checks'!$A$4:$A$503,_calc!$E$472)))</f>
        <v/>
      </c>
      <c r="B470" s="47">
        <f>IF(_calc!$E$472="","",IF(ISNUMBER(INDEX('Checks'!$D$4:$D$503,_calc!$E$472)),TEXT(INDEX('Checks'!$D$4:$D$503,_calc!$E$472),"yyyy-mm-dd"),""))</f>
        <v/>
      </c>
      <c r="C470" s="47">
        <f>IF(_calc!$E$472="","",IF(LEN(INDEX('Checks'!$B$4:$B$503,_calc!$E$472))=0,"",INDEX('Checks'!$B$4:$B$503,_calc!$E$472)))</f>
        <v/>
      </c>
      <c r="D470" s="47">
        <f>IF(_calc!$E$472="","",IF(ISNUMBER(INDEX('Checks'!$C$4:$C$503,_calc!$E$472)),TEXT(INDEX('Checks'!$C$4:$C$503,_calc!$E$472),"yyyy-mm-dd"),""))</f>
        <v/>
      </c>
      <c r="E470" s="47">
        <f>IF(_calc!$E$472="","",IF(LEN(INDEX('Checks'!$L$4:$L$503,_calc!$E$472))=0,"",INDEX('Checks'!$L$4:$L$503,_calc!$E$472)))</f>
        <v/>
      </c>
      <c r="F470" s="47">
        <f>IF(_calc!$E$472="","",TRIM(IF(LEN(IF(LEN(INDEX('Checks'!$I$4:$I$503,_calc!$E$472))=0,"",INDEX('Checks'!$I$4:$I$503,_calc!$E$472)))=0,"","Contractor: "&amp;IF(LEN(INDEX('Checks'!$I$4:$I$503,_calc!$E$472))=0,"",INDEX('Checks'!$I$4:$I$503,_calc!$E$472))&amp;". ")&amp;IF(LEN(IF(LEN(INDEX('Checks'!$J$4:$J$503,_calc!$E$472))=0,"",INDEX('Checks'!$J$4:$J$503,_calc!$E$472)))=0,"","Ref: "&amp;IF(LEN(INDEX('Checks'!$J$4:$J$503,_calc!$E$472))=0,"",INDEX('Checks'!$J$4:$J$503,_calc!$E$472))&amp;". ")&amp;IF(LEN(IF(ISNUMBER(INDEX('Checks'!$K$4:$K$503,_calc!$E$472)),TEXT(INDEX('Checks'!$K$4:$K$503,_calc!$E$472),"yyyy-mm-dd"),""))=0,"","Copy to tenant: "&amp;IF(ISNUMBER(INDEX('Checks'!$K$4:$K$503,_calc!$E$472)),TEXT(INDEX('Checks'!$K$4:$K$503,_calc!$E$472),"yyyy-mm-dd"),"")&amp;". ")&amp;IF(LEN(IF(LEN(INDEX('Checks'!$P$4:$P$503,_calc!$E$472))=0,"",INDEX('Checks'!$P$4:$P$503,_calc!$E$472)))=0,"",IF(LEN(INDEX('Checks'!$P$4:$P$503,_calc!$E$472))=0,"",INDEX('Checks'!$P$4:$P$503,_calc!$E$472)))))</f>
        <v/>
      </c>
      <c r="G470" s="47">
        <f>IF(_calc!$E$472="","",IF(LEN(INDEX('Checks'!$N$4:$N$503,_calc!$E$472))=0,"",INDEX('Checks'!$N$4:$N$503,_calc!$E$472)))</f>
        <v/>
      </c>
      <c r="K470" s="47">
        <f>IF(_calc!$E$472="","",IF(LEN(INDEX('Checks'!$M$4:$M$503,_calc!$E$472))=0,"",INDEX('Checks'!$M$4:$M$503,_calc!$E$472)))</f>
        <v/>
      </c>
    </row>
    <row r="471">
      <c r="A471" s="47">
        <f>IF(_calc!$E$473="","",IF(LEN(INDEX('Checks'!$B$4:$B$503,_calc!$E$473))=0,"",INDEX('Checks'!$B$4:$B$503,_calc!$E$473))&amp;" – "&amp;IF(LEN(INDEX('Checks'!$A$4:$A$503,_calc!$E$473))=0,"",INDEX('Checks'!$A$4:$A$503,_calc!$E$473)))</f>
        <v/>
      </c>
      <c r="B471" s="47">
        <f>IF(_calc!$E$473="","",IF(ISNUMBER(INDEX('Checks'!$D$4:$D$503,_calc!$E$473)),TEXT(INDEX('Checks'!$D$4:$D$503,_calc!$E$473),"yyyy-mm-dd"),""))</f>
        <v/>
      </c>
      <c r="C471" s="47">
        <f>IF(_calc!$E$473="","",IF(LEN(INDEX('Checks'!$B$4:$B$503,_calc!$E$473))=0,"",INDEX('Checks'!$B$4:$B$503,_calc!$E$473)))</f>
        <v/>
      </c>
      <c r="D471" s="47">
        <f>IF(_calc!$E$473="","",IF(ISNUMBER(INDEX('Checks'!$C$4:$C$503,_calc!$E$473)),TEXT(INDEX('Checks'!$C$4:$C$503,_calc!$E$473),"yyyy-mm-dd"),""))</f>
        <v/>
      </c>
      <c r="E471" s="47">
        <f>IF(_calc!$E$473="","",IF(LEN(INDEX('Checks'!$L$4:$L$503,_calc!$E$473))=0,"",INDEX('Checks'!$L$4:$L$503,_calc!$E$473)))</f>
        <v/>
      </c>
      <c r="F471" s="47">
        <f>IF(_calc!$E$473="","",TRIM(IF(LEN(IF(LEN(INDEX('Checks'!$I$4:$I$503,_calc!$E$473))=0,"",INDEX('Checks'!$I$4:$I$503,_calc!$E$473)))=0,"","Contractor: "&amp;IF(LEN(INDEX('Checks'!$I$4:$I$503,_calc!$E$473))=0,"",INDEX('Checks'!$I$4:$I$503,_calc!$E$473))&amp;". ")&amp;IF(LEN(IF(LEN(INDEX('Checks'!$J$4:$J$503,_calc!$E$473))=0,"",INDEX('Checks'!$J$4:$J$503,_calc!$E$473)))=0,"","Ref: "&amp;IF(LEN(INDEX('Checks'!$J$4:$J$503,_calc!$E$473))=0,"",INDEX('Checks'!$J$4:$J$503,_calc!$E$473))&amp;". ")&amp;IF(LEN(IF(ISNUMBER(INDEX('Checks'!$K$4:$K$503,_calc!$E$473)),TEXT(INDEX('Checks'!$K$4:$K$503,_calc!$E$473),"yyyy-mm-dd"),""))=0,"","Copy to tenant: "&amp;IF(ISNUMBER(INDEX('Checks'!$K$4:$K$503,_calc!$E$473)),TEXT(INDEX('Checks'!$K$4:$K$503,_calc!$E$473),"yyyy-mm-dd"),"")&amp;". ")&amp;IF(LEN(IF(LEN(INDEX('Checks'!$P$4:$P$503,_calc!$E$473))=0,"",INDEX('Checks'!$P$4:$P$503,_calc!$E$473)))=0,"",IF(LEN(INDEX('Checks'!$P$4:$P$503,_calc!$E$473))=0,"",INDEX('Checks'!$P$4:$P$503,_calc!$E$473)))))</f>
        <v/>
      </c>
      <c r="G471" s="47">
        <f>IF(_calc!$E$473="","",IF(LEN(INDEX('Checks'!$N$4:$N$503,_calc!$E$473))=0,"",INDEX('Checks'!$N$4:$N$503,_calc!$E$473)))</f>
        <v/>
      </c>
      <c r="K471" s="47">
        <f>IF(_calc!$E$473="","",IF(LEN(INDEX('Checks'!$M$4:$M$503,_calc!$E$473))=0,"",INDEX('Checks'!$M$4:$M$503,_calc!$E$473)))</f>
        <v/>
      </c>
    </row>
    <row r="472">
      <c r="A472" s="47">
        <f>IF(_calc!$E$474="","",IF(LEN(INDEX('Checks'!$B$4:$B$503,_calc!$E$474))=0,"",INDEX('Checks'!$B$4:$B$503,_calc!$E$474))&amp;" – "&amp;IF(LEN(INDEX('Checks'!$A$4:$A$503,_calc!$E$474))=0,"",INDEX('Checks'!$A$4:$A$503,_calc!$E$474)))</f>
        <v/>
      </c>
      <c r="B472" s="47">
        <f>IF(_calc!$E$474="","",IF(ISNUMBER(INDEX('Checks'!$D$4:$D$503,_calc!$E$474)),TEXT(INDEX('Checks'!$D$4:$D$503,_calc!$E$474),"yyyy-mm-dd"),""))</f>
        <v/>
      </c>
      <c r="C472" s="47">
        <f>IF(_calc!$E$474="","",IF(LEN(INDEX('Checks'!$B$4:$B$503,_calc!$E$474))=0,"",INDEX('Checks'!$B$4:$B$503,_calc!$E$474)))</f>
        <v/>
      </c>
      <c r="D472" s="47">
        <f>IF(_calc!$E$474="","",IF(ISNUMBER(INDEX('Checks'!$C$4:$C$503,_calc!$E$474)),TEXT(INDEX('Checks'!$C$4:$C$503,_calc!$E$474),"yyyy-mm-dd"),""))</f>
        <v/>
      </c>
      <c r="E472" s="47">
        <f>IF(_calc!$E$474="","",IF(LEN(INDEX('Checks'!$L$4:$L$503,_calc!$E$474))=0,"",INDEX('Checks'!$L$4:$L$503,_calc!$E$474)))</f>
        <v/>
      </c>
      <c r="F472" s="47">
        <f>IF(_calc!$E$474="","",TRIM(IF(LEN(IF(LEN(INDEX('Checks'!$I$4:$I$503,_calc!$E$474))=0,"",INDEX('Checks'!$I$4:$I$503,_calc!$E$474)))=0,"","Contractor: "&amp;IF(LEN(INDEX('Checks'!$I$4:$I$503,_calc!$E$474))=0,"",INDEX('Checks'!$I$4:$I$503,_calc!$E$474))&amp;". ")&amp;IF(LEN(IF(LEN(INDEX('Checks'!$J$4:$J$503,_calc!$E$474))=0,"",INDEX('Checks'!$J$4:$J$503,_calc!$E$474)))=0,"","Ref: "&amp;IF(LEN(INDEX('Checks'!$J$4:$J$503,_calc!$E$474))=0,"",INDEX('Checks'!$J$4:$J$503,_calc!$E$474))&amp;". ")&amp;IF(LEN(IF(ISNUMBER(INDEX('Checks'!$K$4:$K$503,_calc!$E$474)),TEXT(INDEX('Checks'!$K$4:$K$503,_calc!$E$474),"yyyy-mm-dd"),""))=0,"","Copy to tenant: "&amp;IF(ISNUMBER(INDEX('Checks'!$K$4:$K$503,_calc!$E$474)),TEXT(INDEX('Checks'!$K$4:$K$503,_calc!$E$474),"yyyy-mm-dd"),"")&amp;". ")&amp;IF(LEN(IF(LEN(INDEX('Checks'!$P$4:$P$503,_calc!$E$474))=0,"",INDEX('Checks'!$P$4:$P$503,_calc!$E$474)))=0,"",IF(LEN(INDEX('Checks'!$P$4:$P$503,_calc!$E$474))=0,"",INDEX('Checks'!$P$4:$P$503,_calc!$E$474)))))</f>
        <v/>
      </c>
      <c r="G472" s="47">
        <f>IF(_calc!$E$474="","",IF(LEN(INDEX('Checks'!$N$4:$N$503,_calc!$E$474))=0,"",INDEX('Checks'!$N$4:$N$503,_calc!$E$474)))</f>
        <v/>
      </c>
      <c r="K472" s="47">
        <f>IF(_calc!$E$474="","",IF(LEN(INDEX('Checks'!$M$4:$M$503,_calc!$E$474))=0,"",INDEX('Checks'!$M$4:$M$503,_calc!$E$474)))</f>
        <v/>
      </c>
    </row>
    <row r="473">
      <c r="A473" s="47">
        <f>IF(_calc!$E$475="","",IF(LEN(INDEX('Checks'!$B$4:$B$503,_calc!$E$475))=0,"",INDEX('Checks'!$B$4:$B$503,_calc!$E$475))&amp;" – "&amp;IF(LEN(INDEX('Checks'!$A$4:$A$503,_calc!$E$475))=0,"",INDEX('Checks'!$A$4:$A$503,_calc!$E$475)))</f>
        <v/>
      </c>
      <c r="B473" s="47">
        <f>IF(_calc!$E$475="","",IF(ISNUMBER(INDEX('Checks'!$D$4:$D$503,_calc!$E$475)),TEXT(INDEX('Checks'!$D$4:$D$503,_calc!$E$475),"yyyy-mm-dd"),""))</f>
        <v/>
      </c>
      <c r="C473" s="47">
        <f>IF(_calc!$E$475="","",IF(LEN(INDEX('Checks'!$B$4:$B$503,_calc!$E$475))=0,"",INDEX('Checks'!$B$4:$B$503,_calc!$E$475)))</f>
        <v/>
      </c>
      <c r="D473" s="47">
        <f>IF(_calc!$E$475="","",IF(ISNUMBER(INDEX('Checks'!$C$4:$C$503,_calc!$E$475)),TEXT(INDEX('Checks'!$C$4:$C$503,_calc!$E$475),"yyyy-mm-dd"),""))</f>
        <v/>
      </c>
      <c r="E473" s="47">
        <f>IF(_calc!$E$475="","",IF(LEN(INDEX('Checks'!$L$4:$L$503,_calc!$E$475))=0,"",INDEX('Checks'!$L$4:$L$503,_calc!$E$475)))</f>
        <v/>
      </c>
      <c r="F473" s="47">
        <f>IF(_calc!$E$475="","",TRIM(IF(LEN(IF(LEN(INDEX('Checks'!$I$4:$I$503,_calc!$E$475))=0,"",INDEX('Checks'!$I$4:$I$503,_calc!$E$475)))=0,"","Contractor: "&amp;IF(LEN(INDEX('Checks'!$I$4:$I$503,_calc!$E$475))=0,"",INDEX('Checks'!$I$4:$I$503,_calc!$E$475))&amp;". ")&amp;IF(LEN(IF(LEN(INDEX('Checks'!$J$4:$J$503,_calc!$E$475))=0,"",INDEX('Checks'!$J$4:$J$503,_calc!$E$475)))=0,"","Ref: "&amp;IF(LEN(INDEX('Checks'!$J$4:$J$503,_calc!$E$475))=0,"",INDEX('Checks'!$J$4:$J$503,_calc!$E$475))&amp;". ")&amp;IF(LEN(IF(ISNUMBER(INDEX('Checks'!$K$4:$K$503,_calc!$E$475)),TEXT(INDEX('Checks'!$K$4:$K$503,_calc!$E$475),"yyyy-mm-dd"),""))=0,"","Copy to tenant: "&amp;IF(ISNUMBER(INDEX('Checks'!$K$4:$K$503,_calc!$E$475)),TEXT(INDEX('Checks'!$K$4:$K$503,_calc!$E$475),"yyyy-mm-dd"),"")&amp;". ")&amp;IF(LEN(IF(LEN(INDEX('Checks'!$P$4:$P$503,_calc!$E$475))=0,"",INDEX('Checks'!$P$4:$P$503,_calc!$E$475)))=0,"",IF(LEN(INDEX('Checks'!$P$4:$P$503,_calc!$E$475))=0,"",INDEX('Checks'!$P$4:$P$503,_calc!$E$475)))))</f>
        <v/>
      </c>
      <c r="G473" s="47">
        <f>IF(_calc!$E$475="","",IF(LEN(INDEX('Checks'!$N$4:$N$503,_calc!$E$475))=0,"",INDEX('Checks'!$N$4:$N$503,_calc!$E$475)))</f>
        <v/>
      </c>
      <c r="K473" s="47">
        <f>IF(_calc!$E$475="","",IF(LEN(INDEX('Checks'!$M$4:$M$503,_calc!$E$475))=0,"",INDEX('Checks'!$M$4:$M$503,_calc!$E$475)))</f>
        <v/>
      </c>
    </row>
    <row r="474">
      <c r="A474" s="47">
        <f>IF(_calc!$E$476="","",IF(LEN(INDEX('Checks'!$B$4:$B$503,_calc!$E$476))=0,"",INDEX('Checks'!$B$4:$B$503,_calc!$E$476))&amp;" – "&amp;IF(LEN(INDEX('Checks'!$A$4:$A$503,_calc!$E$476))=0,"",INDEX('Checks'!$A$4:$A$503,_calc!$E$476)))</f>
        <v/>
      </c>
      <c r="B474" s="47">
        <f>IF(_calc!$E$476="","",IF(ISNUMBER(INDEX('Checks'!$D$4:$D$503,_calc!$E$476)),TEXT(INDEX('Checks'!$D$4:$D$503,_calc!$E$476),"yyyy-mm-dd"),""))</f>
        <v/>
      </c>
      <c r="C474" s="47">
        <f>IF(_calc!$E$476="","",IF(LEN(INDEX('Checks'!$B$4:$B$503,_calc!$E$476))=0,"",INDEX('Checks'!$B$4:$B$503,_calc!$E$476)))</f>
        <v/>
      </c>
      <c r="D474" s="47">
        <f>IF(_calc!$E$476="","",IF(ISNUMBER(INDEX('Checks'!$C$4:$C$503,_calc!$E$476)),TEXT(INDEX('Checks'!$C$4:$C$503,_calc!$E$476),"yyyy-mm-dd"),""))</f>
        <v/>
      </c>
      <c r="E474" s="47">
        <f>IF(_calc!$E$476="","",IF(LEN(INDEX('Checks'!$L$4:$L$503,_calc!$E$476))=0,"",INDEX('Checks'!$L$4:$L$503,_calc!$E$476)))</f>
        <v/>
      </c>
      <c r="F474" s="47">
        <f>IF(_calc!$E$476="","",TRIM(IF(LEN(IF(LEN(INDEX('Checks'!$I$4:$I$503,_calc!$E$476))=0,"",INDEX('Checks'!$I$4:$I$503,_calc!$E$476)))=0,"","Contractor: "&amp;IF(LEN(INDEX('Checks'!$I$4:$I$503,_calc!$E$476))=0,"",INDEX('Checks'!$I$4:$I$503,_calc!$E$476))&amp;". ")&amp;IF(LEN(IF(LEN(INDEX('Checks'!$J$4:$J$503,_calc!$E$476))=0,"",INDEX('Checks'!$J$4:$J$503,_calc!$E$476)))=0,"","Ref: "&amp;IF(LEN(INDEX('Checks'!$J$4:$J$503,_calc!$E$476))=0,"",INDEX('Checks'!$J$4:$J$503,_calc!$E$476))&amp;". ")&amp;IF(LEN(IF(ISNUMBER(INDEX('Checks'!$K$4:$K$503,_calc!$E$476)),TEXT(INDEX('Checks'!$K$4:$K$503,_calc!$E$476),"yyyy-mm-dd"),""))=0,"","Copy to tenant: "&amp;IF(ISNUMBER(INDEX('Checks'!$K$4:$K$503,_calc!$E$476)),TEXT(INDEX('Checks'!$K$4:$K$503,_calc!$E$476),"yyyy-mm-dd"),"")&amp;". ")&amp;IF(LEN(IF(LEN(INDEX('Checks'!$P$4:$P$503,_calc!$E$476))=0,"",INDEX('Checks'!$P$4:$P$503,_calc!$E$476)))=0,"",IF(LEN(INDEX('Checks'!$P$4:$P$503,_calc!$E$476))=0,"",INDEX('Checks'!$P$4:$P$503,_calc!$E$476)))))</f>
        <v/>
      </c>
      <c r="G474" s="47">
        <f>IF(_calc!$E$476="","",IF(LEN(INDEX('Checks'!$N$4:$N$503,_calc!$E$476))=0,"",INDEX('Checks'!$N$4:$N$503,_calc!$E$476)))</f>
        <v/>
      </c>
      <c r="K474" s="47">
        <f>IF(_calc!$E$476="","",IF(LEN(INDEX('Checks'!$M$4:$M$503,_calc!$E$476))=0,"",INDEX('Checks'!$M$4:$M$503,_calc!$E$476)))</f>
        <v/>
      </c>
    </row>
    <row r="475">
      <c r="A475" s="47">
        <f>IF(_calc!$E$477="","",IF(LEN(INDEX('Checks'!$B$4:$B$503,_calc!$E$477))=0,"",INDEX('Checks'!$B$4:$B$503,_calc!$E$477))&amp;" – "&amp;IF(LEN(INDEX('Checks'!$A$4:$A$503,_calc!$E$477))=0,"",INDEX('Checks'!$A$4:$A$503,_calc!$E$477)))</f>
        <v/>
      </c>
      <c r="B475" s="47">
        <f>IF(_calc!$E$477="","",IF(ISNUMBER(INDEX('Checks'!$D$4:$D$503,_calc!$E$477)),TEXT(INDEX('Checks'!$D$4:$D$503,_calc!$E$477),"yyyy-mm-dd"),""))</f>
        <v/>
      </c>
      <c r="C475" s="47">
        <f>IF(_calc!$E$477="","",IF(LEN(INDEX('Checks'!$B$4:$B$503,_calc!$E$477))=0,"",INDEX('Checks'!$B$4:$B$503,_calc!$E$477)))</f>
        <v/>
      </c>
      <c r="D475" s="47">
        <f>IF(_calc!$E$477="","",IF(ISNUMBER(INDEX('Checks'!$C$4:$C$503,_calc!$E$477)),TEXT(INDEX('Checks'!$C$4:$C$503,_calc!$E$477),"yyyy-mm-dd"),""))</f>
        <v/>
      </c>
      <c r="E475" s="47">
        <f>IF(_calc!$E$477="","",IF(LEN(INDEX('Checks'!$L$4:$L$503,_calc!$E$477))=0,"",INDEX('Checks'!$L$4:$L$503,_calc!$E$477)))</f>
        <v/>
      </c>
      <c r="F475" s="47">
        <f>IF(_calc!$E$477="","",TRIM(IF(LEN(IF(LEN(INDEX('Checks'!$I$4:$I$503,_calc!$E$477))=0,"",INDEX('Checks'!$I$4:$I$503,_calc!$E$477)))=0,"","Contractor: "&amp;IF(LEN(INDEX('Checks'!$I$4:$I$503,_calc!$E$477))=0,"",INDEX('Checks'!$I$4:$I$503,_calc!$E$477))&amp;". ")&amp;IF(LEN(IF(LEN(INDEX('Checks'!$J$4:$J$503,_calc!$E$477))=0,"",INDEX('Checks'!$J$4:$J$503,_calc!$E$477)))=0,"","Ref: "&amp;IF(LEN(INDEX('Checks'!$J$4:$J$503,_calc!$E$477))=0,"",INDEX('Checks'!$J$4:$J$503,_calc!$E$477))&amp;". ")&amp;IF(LEN(IF(ISNUMBER(INDEX('Checks'!$K$4:$K$503,_calc!$E$477)),TEXT(INDEX('Checks'!$K$4:$K$503,_calc!$E$477),"yyyy-mm-dd"),""))=0,"","Copy to tenant: "&amp;IF(ISNUMBER(INDEX('Checks'!$K$4:$K$503,_calc!$E$477)),TEXT(INDEX('Checks'!$K$4:$K$503,_calc!$E$477),"yyyy-mm-dd"),"")&amp;". ")&amp;IF(LEN(IF(LEN(INDEX('Checks'!$P$4:$P$503,_calc!$E$477))=0,"",INDEX('Checks'!$P$4:$P$503,_calc!$E$477)))=0,"",IF(LEN(INDEX('Checks'!$P$4:$P$503,_calc!$E$477))=0,"",INDEX('Checks'!$P$4:$P$503,_calc!$E$477)))))</f>
        <v/>
      </c>
      <c r="G475" s="47">
        <f>IF(_calc!$E$477="","",IF(LEN(INDEX('Checks'!$N$4:$N$503,_calc!$E$477))=0,"",INDEX('Checks'!$N$4:$N$503,_calc!$E$477)))</f>
        <v/>
      </c>
      <c r="K475" s="47">
        <f>IF(_calc!$E$477="","",IF(LEN(INDEX('Checks'!$M$4:$M$503,_calc!$E$477))=0,"",INDEX('Checks'!$M$4:$M$503,_calc!$E$477)))</f>
        <v/>
      </c>
    </row>
    <row r="476">
      <c r="A476" s="47">
        <f>IF(_calc!$E$478="","",IF(LEN(INDEX('Checks'!$B$4:$B$503,_calc!$E$478))=0,"",INDEX('Checks'!$B$4:$B$503,_calc!$E$478))&amp;" – "&amp;IF(LEN(INDEX('Checks'!$A$4:$A$503,_calc!$E$478))=0,"",INDEX('Checks'!$A$4:$A$503,_calc!$E$478)))</f>
        <v/>
      </c>
      <c r="B476" s="47">
        <f>IF(_calc!$E$478="","",IF(ISNUMBER(INDEX('Checks'!$D$4:$D$503,_calc!$E$478)),TEXT(INDEX('Checks'!$D$4:$D$503,_calc!$E$478),"yyyy-mm-dd"),""))</f>
        <v/>
      </c>
      <c r="C476" s="47">
        <f>IF(_calc!$E$478="","",IF(LEN(INDEX('Checks'!$B$4:$B$503,_calc!$E$478))=0,"",INDEX('Checks'!$B$4:$B$503,_calc!$E$478)))</f>
        <v/>
      </c>
      <c r="D476" s="47">
        <f>IF(_calc!$E$478="","",IF(ISNUMBER(INDEX('Checks'!$C$4:$C$503,_calc!$E$478)),TEXT(INDEX('Checks'!$C$4:$C$503,_calc!$E$478),"yyyy-mm-dd"),""))</f>
        <v/>
      </c>
      <c r="E476" s="47">
        <f>IF(_calc!$E$478="","",IF(LEN(INDEX('Checks'!$L$4:$L$503,_calc!$E$478))=0,"",INDEX('Checks'!$L$4:$L$503,_calc!$E$478)))</f>
        <v/>
      </c>
      <c r="F476" s="47">
        <f>IF(_calc!$E$478="","",TRIM(IF(LEN(IF(LEN(INDEX('Checks'!$I$4:$I$503,_calc!$E$478))=0,"",INDEX('Checks'!$I$4:$I$503,_calc!$E$478)))=0,"","Contractor: "&amp;IF(LEN(INDEX('Checks'!$I$4:$I$503,_calc!$E$478))=0,"",INDEX('Checks'!$I$4:$I$503,_calc!$E$478))&amp;". ")&amp;IF(LEN(IF(LEN(INDEX('Checks'!$J$4:$J$503,_calc!$E$478))=0,"",INDEX('Checks'!$J$4:$J$503,_calc!$E$478)))=0,"","Ref: "&amp;IF(LEN(INDEX('Checks'!$J$4:$J$503,_calc!$E$478))=0,"",INDEX('Checks'!$J$4:$J$503,_calc!$E$478))&amp;". ")&amp;IF(LEN(IF(ISNUMBER(INDEX('Checks'!$K$4:$K$503,_calc!$E$478)),TEXT(INDEX('Checks'!$K$4:$K$503,_calc!$E$478),"yyyy-mm-dd"),""))=0,"","Copy to tenant: "&amp;IF(ISNUMBER(INDEX('Checks'!$K$4:$K$503,_calc!$E$478)),TEXT(INDEX('Checks'!$K$4:$K$503,_calc!$E$478),"yyyy-mm-dd"),"")&amp;". ")&amp;IF(LEN(IF(LEN(INDEX('Checks'!$P$4:$P$503,_calc!$E$478))=0,"",INDEX('Checks'!$P$4:$P$503,_calc!$E$478)))=0,"",IF(LEN(INDEX('Checks'!$P$4:$P$503,_calc!$E$478))=0,"",INDEX('Checks'!$P$4:$P$503,_calc!$E$478)))))</f>
        <v/>
      </c>
      <c r="G476" s="47">
        <f>IF(_calc!$E$478="","",IF(LEN(INDEX('Checks'!$N$4:$N$503,_calc!$E$478))=0,"",INDEX('Checks'!$N$4:$N$503,_calc!$E$478)))</f>
        <v/>
      </c>
      <c r="K476" s="47">
        <f>IF(_calc!$E$478="","",IF(LEN(INDEX('Checks'!$M$4:$M$503,_calc!$E$478))=0,"",INDEX('Checks'!$M$4:$M$503,_calc!$E$478)))</f>
        <v/>
      </c>
    </row>
    <row r="477">
      <c r="A477" s="47">
        <f>IF(_calc!$E$479="","",IF(LEN(INDEX('Checks'!$B$4:$B$503,_calc!$E$479))=0,"",INDEX('Checks'!$B$4:$B$503,_calc!$E$479))&amp;" – "&amp;IF(LEN(INDEX('Checks'!$A$4:$A$503,_calc!$E$479))=0,"",INDEX('Checks'!$A$4:$A$503,_calc!$E$479)))</f>
        <v/>
      </c>
      <c r="B477" s="47">
        <f>IF(_calc!$E$479="","",IF(ISNUMBER(INDEX('Checks'!$D$4:$D$503,_calc!$E$479)),TEXT(INDEX('Checks'!$D$4:$D$503,_calc!$E$479),"yyyy-mm-dd"),""))</f>
        <v/>
      </c>
      <c r="C477" s="47">
        <f>IF(_calc!$E$479="","",IF(LEN(INDEX('Checks'!$B$4:$B$503,_calc!$E$479))=0,"",INDEX('Checks'!$B$4:$B$503,_calc!$E$479)))</f>
        <v/>
      </c>
      <c r="D477" s="47">
        <f>IF(_calc!$E$479="","",IF(ISNUMBER(INDEX('Checks'!$C$4:$C$503,_calc!$E$479)),TEXT(INDEX('Checks'!$C$4:$C$503,_calc!$E$479),"yyyy-mm-dd"),""))</f>
        <v/>
      </c>
      <c r="E477" s="47">
        <f>IF(_calc!$E$479="","",IF(LEN(INDEX('Checks'!$L$4:$L$503,_calc!$E$479))=0,"",INDEX('Checks'!$L$4:$L$503,_calc!$E$479)))</f>
        <v/>
      </c>
      <c r="F477" s="47">
        <f>IF(_calc!$E$479="","",TRIM(IF(LEN(IF(LEN(INDEX('Checks'!$I$4:$I$503,_calc!$E$479))=0,"",INDEX('Checks'!$I$4:$I$503,_calc!$E$479)))=0,"","Contractor: "&amp;IF(LEN(INDEX('Checks'!$I$4:$I$503,_calc!$E$479))=0,"",INDEX('Checks'!$I$4:$I$503,_calc!$E$479))&amp;". ")&amp;IF(LEN(IF(LEN(INDEX('Checks'!$J$4:$J$503,_calc!$E$479))=0,"",INDEX('Checks'!$J$4:$J$503,_calc!$E$479)))=0,"","Ref: "&amp;IF(LEN(INDEX('Checks'!$J$4:$J$503,_calc!$E$479))=0,"",INDEX('Checks'!$J$4:$J$503,_calc!$E$479))&amp;". ")&amp;IF(LEN(IF(ISNUMBER(INDEX('Checks'!$K$4:$K$503,_calc!$E$479)),TEXT(INDEX('Checks'!$K$4:$K$503,_calc!$E$479),"yyyy-mm-dd"),""))=0,"","Copy to tenant: "&amp;IF(ISNUMBER(INDEX('Checks'!$K$4:$K$503,_calc!$E$479)),TEXT(INDEX('Checks'!$K$4:$K$503,_calc!$E$479),"yyyy-mm-dd"),"")&amp;". ")&amp;IF(LEN(IF(LEN(INDEX('Checks'!$P$4:$P$503,_calc!$E$479))=0,"",INDEX('Checks'!$P$4:$P$503,_calc!$E$479)))=0,"",IF(LEN(INDEX('Checks'!$P$4:$P$503,_calc!$E$479))=0,"",INDEX('Checks'!$P$4:$P$503,_calc!$E$479)))))</f>
        <v/>
      </c>
      <c r="G477" s="47">
        <f>IF(_calc!$E$479="","",IF(LEN(INDEX('Checks'!$N$4:$N$503,_calc!$E$479))=0,"",INDEX('Checks'!$N$4:$N$503,_calc!$E$479)))</f>
        <v/>
      </c>
      <c r="K477" s="47">
        <f>IF(_calc!$E$479="","",IF(LEN(INDEX('Checks'!$M$4:$M$503,_calc!$E$479))=0,"",INDEX('Checks'!$M$4:$M$503,_calc!$E$479)))</f>
        <v/>
      </c>
    </row>
    <row r="478">
      <c r="A478" s="47">
        <f>IF(_calc!$E$480="","",IF(LEN(INDEX('Checks'!$B$4:$B$503,_calc!$E$480))=0,"",INDEX('Checks'!$B$4:$B$503,_calc!$E$480))&amp;" – "&amp;IF(LEN(INDEX('Checks'!$A$4:$A$503,_calc!$E$480))=0,"",INDEX('Checks'!$A$4:$A$503,_calc!$E$480)))</f>
        <v/>
      </c>
      <c r="B478" s="47">
        <f>IF(_calc!$E$480="","",IF(ISNUMBER(INDEX('Checks'!$D$4:$D$503,_calc!$E$480)),TEXT(INDEX('Checks'!$D$4:$D$503,_calc!$E$480),"yyyy-mm-dd"),""))</f>
        <v/>
      </c>
      <c r="C478" s="47">
        <f>IF(_calc!$E$480="","",IF(LEN(INDEX('Checks'!$B$4:$B$503,_calc!$E$480))=0,"",INDEX('Checks'!$B$4:$B$503,_calc!$E$480)))</f>
        <v/>
      </c>
      <c r="D478" s="47">
        <f>IF(_calc!$E$480="","",IF(ISNUMBER(INDEX('Checks'!$C$4:$C$503,_calc!$E$480)),TEXT(INDEX('Checks'!$C$4:$C$503,_calc!$E$480),"yyyy-mm-dd"),""))</f>
        <v/>
      </c>
      <c r="E478" s="47">
        <f>IF(_calc!$E$480="","",IF(LEN(INDEX('Checks'!$L$4:$L$503,_calc!$E$480))=0,"",INDEX('Checks'!$L$4:$L$503,_calc!$E$480)))</f>
        <v/>
      </c>
      <c r="F478" s="47">
        <f>IF(_calc!$E$480="","",TRIM(IF(LEN(IF(LEN(INDEX('Checks'!$I$4:$I$503,_calc!$E$480))=0,"",INDEX('Checks'!$I$4:$I$503,_calc!$E$480)))=0,"","Contractor: "&amp;IF(LEN(INDEX('Checks'!$I$4:$I$503,_calc!$E$480))=0,"",INDEX('Checks'!$I$4:$I$503,_calc!$E$480))&amp;". ")&amp;IF(LEN(IF(LEN(INDEX('Checks'!$J$4:$J$503,_calc!$E$480))=0,"",INDEX('Checks'!$J$4:$J$503,_calc!$E$480)))=0,"","Ref: "&amp;IF(LEN(INDEX('Checks'!$J$4:$J$503,_calc!$E$480))=0,"",INDEX('Checks'!$J$4:$J$503,_calc!$E$480))&amp;". ")&amp;IF(LEN(IF(ISNUMBER(INDEX('Checks'!$K$4:$K$503,_calc!$E$480)),TEXT(INDEX('Checks'!$K$4:$K$503,_calc!$E$480),"yyyy-mm-dd"),""))=0,"","Copy to tenant: "&amp;IF(ISNUMBER(INDEX('Checks'!$K$4:$K$503,_calc!$E$480)),TEXT(INDEX('Checks'!$K$4:$K$503,_calc!$E$480),"yyyy-mm-dd"),"")&amp;". ")&amp;IF(LEN(IF(LEN(INDEX('Checks'!$P$4:$P$503,_calc!$E$480))=0,"",INDEX('Checks'!$P$4:$P$503,_calc!$E$480)))=0,"",IF(LEN(INDEX('Checks'!$P$4:$P$503,_calc!$E$480))=0,"",INDEX('Checks'!$P$4:$P$503,_calc!$E$480)))))</f>
        <v/>
      </c>
      <c r="G478" s="47">
        <f>IF(_calc!$E$480="","",IF(LEN(INDEX('Checks'!$N$4:$N$503,_calc!$E$480))=0,"",INDEX('Checks'!$N$4:$N$503,_calc!$E$480)))</f>
        <v/>
      </c>
      <c r="K478" s="47">
        <f>IF(_calc!$E$480="","",IF(LEN(INDEX('Checks'!$M$4:$M$503,_calc!$E$480))=0,"",INDEX('Checks'!$M$4:$M$503,_calc!$E$480)))</f>
        <v/>
      </c>
    </row>
    <row r="479">
      <c r="A479" s="47">
        <f>IF(_calc!$E$481="","",IF(LEN(INDEX('Checks'!$B$4:$B$503,_calc!$E$481))=0,"",INDEX('Checks'!$B$4:$B$503,_calc!$E$481))&amp;" – "&amp;IF(LEN(INDEX('Checks'!$A$4:$A$503,_calc!$E$481))=0,"",INDEX('Checks'!$A$4:$A$503,_calc!$E$481)))</f>
        <v/>
      </c>
      <c r="B479" s="47">
        <f>IF(_calc!$E$481="","",IF(ISNUMBER(INDEX('Checks'!$D$4:$D$503,_calc!$E$481)),TEXT(INDEX('Checks'!$D$4:$D$503,_calc!$E$481),"yyyy-mm-dd"),""))</f>
        <v/>
      </c>
      <c r="C479" s="47">
        <f>IF(_calc!$E$481="","",IF(LEN(INDEX('Checks'!$B$4:$B$503,_calc!$E$481))=0,"",INDEX('Checks'!$B$4:$B$503,_calc!$E$481)))</f>
        <v/>
      </c>
      <c r="D479" s="47">
        <f>IF(_calc!$E$481="","",IF(ISNUMBER(INDEX('Checks'!$C$4:$C$503,_calc!$E$481)),TEXT(INDEX('Checks'!$C$4:$C$503,_calc!$E$481),"yyyy-mm-dd"),""))</f>
        <v/>
      </c>
      <c r="E479" s="47">
        <f>IF(_calc!$E$481="","",IF(LEN(INDEX('Checks'!$L$4:$L$503,_calc!$E$481))=0,"",INDEX('Checks'!$L$4:$L$503,_calc!$E$481)))</f>
        <v/>
      </c>
      <c r="F479" s="47">
        <f>IF(_calc!$E$481="","",TRIM(IF(LEN(IF(LEN(INDEX('Checks'!$I$4:$I$503,_calc!$E$481))=0,"",INDEX('Checks'!$I$4:$I$503,_calc!$E$481)))=0,"","Contractor: "&amp;IF(LEN(INDEX('Checks'!$I$4:$I$503,_calc!$E$481))=0,"",INDEX('Checks'!$I$4:$I$503,_calc!$E$481))&amp;". ")&amp;IF(LEN(IF(LEN(INDEX('Checks'!$J$4:$J$503,_calc!$E$481))=0,"",INDEX('Checks'!$J$4:$J$503,_calc!$E$481)))=0,"","Ref: "&amp;IF(LEN(INDEX('Checks'!$J$4:$J$503,_calc!$E$481))=0,"",INDEX('Checks'!$J$4:$J$503,_calc!$E$481))&amp;". ")&amp;IF(LEN(IF(ISNUMBER(INDEX('Checks'!$K$4:$K$503,_calc!$E$481)),TEXT(INDEX('Checks'!$K$4:$K$503,_calc!$E$481),"yyyy-mm-dd"),""))=0,"","Copy to tenant: "&amp;IF(ISNUMBER(INDEX('Checks'!$K$4:$K$503,_calc!$E$481)),TEXT(INDEX('Checks'!$K$4:$K$503,_calc!$E$481),"yyyy-mm-dd"),"")&amp;". ")&amp;IF(LEN(IF(LEN(INDEX('Checks'!$P$4:$P$503,_calc!$E$481))=0,"",INDEX('Checks'!$P$4:$P$503,_calc!$E$481)))=0,"",IF(LEN(INDEX('Checks'!$P$4:$P$503,_calc!$E$481))=0,"",INDEX('Checks'!$P$4:$P$503,_calc!$E$481)))))</f>
        <v/>
      </c>
      <c r="G479" s="47">
        <f>IF(_calc!$E$481="","",IF(LEN(INDEX('Checks'!$N$4:$N$503,_calc!$E$481))=0,"",INDEX('Checks'!$N$4:$N$503,_calc!$E$481)))</f>
        <v/>
      </c>
      <c r="K479" s="47">
        <f>IF(_calc!$E$481="","",IF(LEN(INDEX('Checks'!$M$4:$M$503,_calc!$E$481))=0,"",INDEX('Checks'!$M$4:$M$503,_calc!$E$481)))</f>
        <v/>
      </c>
    </row>
    <row r="480">
      <c r="A480" s="47">
        <f>IF(_calc!$E$482="","",IF(LEN(INDEX('Checks'!$B$4:$B$503,_calc!$E$482))=0,"",INDEX('Checks'!$B$4:$B$503,_calc!$E$482))&amp;" – "&amp;IF(LEN(INDEX('Checks'!$A$4:$A$503,_calc!$E$482))=0,"",INDEX('Checks'!$A$4:$A$503,_calc!$E$482)))</f>
        <v/>
      </c>
      <c r="B480" s="47">
        <f>IF(_calc!$E$482="","",IF(ISNUMBER(INDEX('Checks'!$D$4:$D$503,_calc!$E$482)),TEXT(INDEX('Checks'!$D$4:$D$503,_calc!$E$482),"yyyy-mm-dd"),""))</f>
        <v/>
      </c>
      <c r="C480" s="47">
        <f>IF(_calc!$E$482="","",IF(LEN(INDEX('Checks'!$B$4:$B$503,_calc!$E$482))=0,"",INDEX('Checks'!$B$4:$B$503,_calc!$E$482)))</f>
        <v/>
      </c>
      <c r="D480" s="47">
        <f>IF(_calc!$E$482="","",IF(ISNUMBER(INDEX('Checks'!$C$4:$C$503,_calc!$E$482)),TEXT(INDEX('Checks'!$C$4:$C$503,_calc!$E$482),"yyyy-mm-dd"),""))</f>
        <v/>
      </c>
      <c r="E480" s="47">
        <f>IF(_calc!$E$482="","",IF(LEN(INDEX('Checks'!$L$4:$L$503,_calc!$E$482))=0,"",INDEX('Checks'!$L$4:$L$503,_calc!$E$482)))</f>
        <v/>
      </c>
      <c r="F480" s="47">
        <f>IF(_calc!$E$482="","",TRIM(IF(LEN(IF(LEN(INDEX('Checks'!$I$4:$I$503,_calc!$E$482))=0,"",INDEX('Checks'!$I$4:$I$503,_calc!$E$482)))=0,"","Contractor: "&amp;IF(LEN(INDEX('Checks'!$I$4:$I$503,_calc!$E$482))=0,"",INDEX('Checks'!$I$4:$I$503,_calc!$E$482))&amp;". ")&amp;IF(LEN(IF(LEN(INDEX('Checks'!$J$4:$J$503,_calc!$E$482))=0,"",INDEX('Checks'!$J$4:$J$503,_calc!$E$482)))=0,"","Ref: "&amp;IF(LEN(INDEX('Checks'!$J$4:$J$503,_calc!$E$482))=0,"",INDEX('Checks'!$J$4:$J$503,_calc!$E$482))&amp;". ")&amp;IF(LEN(IF(ISNUMBER(INDEX('Checks'!$K$4:$K$503,_calc!$E$482)),TEXT(INDEX('Checks'!$K$4:$K$503,_calc!$E$482),"yyyy-mm-dd"),""))=0,"","Copy to tenant: "&amp;IF(ISNUMBER(INDEX('Checks'!$K$4:$K$503,_calc!$E$482)),TEXT(INDEX('Checks'!$K$4:$K$503,_calc!$E$482),"yyyy-mm-dd"),"")&amp;". ")&amp;IF(LEN(IF(LEN(INDEX('Checks'!$P$4:$P$503,_calc!$E$482))=0,"",INDEX('Checks'!$P$4:$P$503,_calc!$E$482)))=0,"",IF(LEN(INDEX('Checks'!$P$4:$P$503,_calc!$E$482))=0,"",INDEX('Checks'!$P$4:$P$503,_calc!$E$482)))))</f>
        <v/>
      </c>
      <c r="G480" s="47">
        <f>IF(_calc!$E$482="","",IF(LEN(INDEX('Checks'!$N$4:$N$503,_calc!$E$482))=0,"",INDEX('Checks'!$N$4:$N$503,_calc!$E$482)))</f>
        <v/>
      </c>
      <c r="K480" s="47">
        <f>IF(_calc!$E$482="","",IF(LEN(INDEX('Checks'!$M$4:$M$503,_calc!$E$482))=0,"",INDEX('Checks'!$M$4:$M$503,_calc!$E$482)))</f>
        <v/>
      </c>
    </row>
    <row r="481">
      <c r="A481" s="47">
        <f>IF(_calc!$E$483="","",IF(LEN(INDEX('Checks'!$B$4:$B$503,_calc!$E$483))=0,"",INDEX('Checks'!$B$4:$B$503,_calc!$E$483))&amp;" – "&amp;IF(LEN(INDEX('Checks'!$A$4:$A$503,_calc!$E$483))=0,"",INDEX('Checks'!$A$4:$A$503,_calc!$E$483)))</f>
        <v/>
      </c>
      <c r="B481" s="47">
        <f>IF(_calc!$E$483="","",IF(ISNUMBER(INDEX('Checks'!$D$4:$D$503,_calc!$E$483)),TEXT(INDEX('Checks'!$D$4:$D$503,_calc!$E$483),"yyyy-mm-dd"),""))</f>
        <v/>
      </c>
      <c r="C481" s="47">
        <f>IF(_calc!$E$483="","",IF(LEN(INDEX('Checks'!$B$4:$B$503,_calc!$E$483))=0,"",INDEX('Checks'!$B$4:$B$503,_calc!$E$483)))</f>
        <v/>
      </c>
      <c r="D481" s="47">
        <f>IF(_calc!$E$483="","",IF(ISNUMBER(INDEX('Checks'!$C$4:$C$503,_calc!$E$483)),TEXT(INDEX('Checks'!$C$4:$C$503,_calc!$E$483),"yyyy-mm-dd"),""))</f>
        <v/>
      </c>
      <c r="E481" s="47">
        <f>IF(_calc!$E$483="","",IF(LEN(INDEX('Checks'!$L$4:$L$503,_calc!$E$483))=0,"",INDEX('Checks'!$L$4:$L$503,_calc!$E$483)))</f>
        <v/>
      </c>
      <c r="F481" s="47">
        <f>IF(_calc!$E$483="","",TRIM(IF(LEN(IF(LEN(INDEX('Checks'!$I$4:$I$503,_calc!$E$483))=0,"",INDEX('Checks'!$I$4:$I$503,_calc!$E$483)))=0,"","Contractor: "&amp;IF(LEN(INDEX('Checks'!$I$4:$I$503,_calc!$E$483))=0,"",INDEX('Checks'!$I$4:$I$503,_calc!$E$483))&amp;". ")&amp;IF(LEN(IF(LEN(INDEX('Checks'!$J$4:$J$503,_calc!$E$483))=0,"",INDEX('Checks'!$J$4:$J$503,_calc!$E$483)))=0,"","Ref: "&amp;IF(LEN(INDEX('Checks'!$J$4:$J$503,_calc!$E$483))=0,"",INDEX('Checks'!$J$4:$J$503,_calc!$E$483))&amp;". ")&amp;IF(LEN(IF(ISNUMBER(INDEX('Checks'!$K$4:$K$503,_calc!$E$483)),TEXT(INDEX('Checks'!$K$4:$K$503,_calc!$E$483),"yyyy-mm-dd"),""))=0,"","Copy to tenant: "&amp;IF(ISNUMBER(INDEX('Checks'!$K$4:$K$503,_calc!$E$483)),TEXT(INDEX('Checks'!$K$4:$K$503,_calc!$E$483),"yyyy-mm-dd"),"")&amp;". ")&amp;IF(LEN(IF(LEN(INDEX('Checks'!$P$4:$P$503,_calc!$E$483))=0,"",INDEX('Checks'!$P$4:$P$503,_calc!$E$483)))=0,"",IF(LEN(INDEX('Checks'!$P$4:$P$503,_calc!$E$483))=0,"",INDEX('Checks'!$P$4:$P$503,_calc!$E$483)))))</f>
        <v/>
      </c>
      <c r="G481" s="47">
        <f>IF(_calc!$E$483="","",IF(LEN(INDEX('Checks'!$N$4:$N$503,_calc!$E$483))=0,"",INDEX('Checks'!$N$4:$N$503,_calc!$E$483)))</f>
        <v/>
      </c>
      <c r="K481" s="47">
        <f>IF(_calc!$E$483="","",IF(LEN(INDEX('Checks'!$M$4:$M$503,_calc!$E$483))=0,"",INDEX('Checks'!$M$4:$M$503,_calc!$E$483)))</f>
        <v/>
      </c>
    </row>
    <row r="482">
      <c r="A482" s="47">
        <f>IF(_calc!$E$484="","",IF(LEN(INDEX('Checks'!$B$4:$B$503,_calc!$E$484))=0,"",INDEX('Checks'!$B$4:$B$503,_calc!$E$484))&amp;" – "&amp;IF(LEN(INDEX('Checks'!$A$4:$A$503,_calc!$E$484))=0,"",INDEX('Checks'!$A$4:$A$503,_calc!$E$484)))</f>
        <v/>
      </c>
      <c r="B482" s="47">
        <f>IF(_calc!$E$484="","",IF(ISNUMBER(INDEX('Checks'!$D$4:$D$503,_calc!$E$484)),TEXT(INDEX('Checks'!$D$4:$D$503,_calc!$E$484),"yyyy-mm-dd"),""))</f>
        <v/>
      </c>
      <c r="C482" s="47">
        <f>IF(_calc!$E$484="","",IF(LEN(INDEX('Checks'!$B$4:$B$503,_calc!$E$484))=0,"",INDEX('Checks'!$B$4:$B$503,_calc!$E$484)))</f>
        <v/>
      </c>
      <c r="D482" s="47">
        <f>IF(_calc!$E$484="","",IF(ISNUMBER(INDEX('Checks'!$C$4:$C$503,_calc!$E$484)),TEXT(INDEX('Checks'!$C$4:$C$503,_calc!$E$484),"yyyy-mm-dd"),""))</f>
        <v/>
      </c>
      <c r="E482" s="47">
        <f>IF(_calc!$E$484="","",IF(LEN(INDEX('Checks'!$L$4:$L$503,_calc!$E$484))=0,"",INDEX('Checks'!$L$4:$L$503,_calc!$E$484)))</f>
        <v/>
      </c>
      <c r="F482" s="47">
        <f>IF(_calc!$E$484="","",TRIM(IF(LEN(IF(LEN(INDEX('Checks'!$I$4:$I$503,_calc!$E$484))=0,"",INDEX('Checks'!$I$4:$I$503,_calc!$E$484)))=0,"","Contractor: "&amp;IF(LEN(INDEX('Checks'!$I$4:$I$503,_calc!$E$484))=0,"",INDEX('Checks'!$I$4:$I$503,_calc!$E$484))&amp;". ")&amp;IF(LEN(IF(LEN(INDEX('Checks'!$J$4:$J$503,_calc!$E$484))=0,"",INDEX('Checks'!$J$4:$J$503,_calc!$E$484)))=0,"","Ref: "&amp;IF(LEN(INDEX('Checks'!$J$4:$J$503,_calc!$E$484))=0,"",INDEX('Checks'!$J$4:$J$503,_calc!$E$484))&amp;". ")&amp;IF(LEN(IF(ISNUMBER(INDEX('Checks'!$K$4:$K$503,_calc!$E$484)),TEXT(INDEX('Checks'!$K$4:$K$503,_calc!$E$484),"yyyy-mm-dd"),""))=0,"","Copy to tenant: "&amp;IF(ISNUMBER(INDEX('Checks'!$K$4:$K$503,_calc!$E$484)),TEXT(INDEX('Checks'!$K$4:$K$503,_calc!$E$484),"yyyy-mm-dd"),"")&amp;". ")&amp;IF(LEN(IF(LEN(INDEX('Checks'!$P$4:$P$503,_calc!$E$484))=0,"",INDEX('Checks'!$P$4:$P$503,_calc!$E$484)))=0,"",IF(LEN(INDEX('Checks'!$P$4:$P$503,_calc!$E$484))=0,"",INDEX('Checks'!$P$4:$P$503,_calc!$E$484)))))</f>
        <v/>
      </c>
      <c r="G482" s="47">
        <f>IF(_calc!$E$484="","",IF(LEN(INDEX('Checks'!$N$4:$N$503,_calc!$E$484))=0,"",INDEX('Checks'!$N$4:$N$503,_calc!$E$484)))</f>
        <v/>
      </c>
      <c r="K482" s="47">
        <f>IF(_calc!$E$484="","",IF(LEN(INDEX('Checks'!$M$4:$M$503,_calc!$E$484))=0,"",INDEX('Checks'!$M$4:$M$503,_calc!$E$484)))</f>
        <v/>
      </c>
    </row>
    <row r="483">
      <c r="A483" s="47">
        <f>IF(_calc!$E$485="","",IF(LEN(INDEX('Checks'!$B$4:$B$503,_calc!$E$485))=0,"",INDEX('Checks'!$B$4:$B$503,_calc!$E$485))&amp;" – "&amp;IF(LEN(INDEX('Checks'!$A$4:$A$503,_calc!$E$485))=0,"",INDEX('Checks'!$A$4:$A$503,_calc!$E$485)))</f>
        <v/>
      </c>
      <c r="B483" s="47">
        <f>IF(_calc!$E$485="","",IF(ISNUMBER(INDEX('Checks'!$D$4:$D$503,_calc!$E$485)),TEXT(INDEX('Checks'!$D$4:$D$503,_calc!$E$485),"yyyy-mm-dd"),""))</f>
        <v/>
      </c>
      <c r="C483" s="47">
        <f>IF(_calc!$E$485="","",IF(LEN(INDEX('Checks'!$B$4:$B$503,_calc!$E$485))=0,"",INDEX('Checks'!$B$4:$B$503,_calc!$E$485)))</f>
        <v/>
      </c>
      <c r="D483" s="47">
        <f>IF(_calc!$E$485="","",IF(ISNUMBER(INDEX('Checks'!$C$4:$C$503,_calc!$E$485)),TEXT(INDEX('Checks'!$C$4:$C$503,_calc!$E$485),"yyyy-mm-dd"),""))</f>
        <v/>
      </c>
      <c r="E483" s="47">
        <f>IF(_calc!$E$485="","",IF(LEN(INDEX('Checks'!$L$4:$L$503,_calc!$E$485))=0,"",INDEX('Checks'!$L$4:$L$503,_calc!$E$485)))</f>
        <v/>
      </c>
      <c r="F483" s="47">
        <f>IF(_calc!$E$485="","",TRIM(IF(LEN(IF(LEN(INDEX('Checks'!$I$4:$I$503,_calc!$E$485))=0,"",INDEX('Checks'!$I$4:$I$503,_calc!$E$485)))=0,"","Contractor: "&amp;IF(LEN(INDEX('Checks'!$I$4:$I$503,_calc!$E$485))=0,"",INDEX('Checks'!$I$4:$I$503,_calc!$E$485))&amp;". ")&amp;IF(LEN(IF(LEN(INDEX('Checks'!$J$4:$J$503,_calc!$E$485))=0,"",INDEX('Checks'!$J$4:$J$503,_calc!$E$485)))=0,"","Ref: "&amp;IF(LEN(INDEX('Checks'!$J$4:$J$503,_calc!$E$485))=0,"",INDEX('Checks'!$J$4:$J$503,_calc!$E$485))&amp;". ")&amp;IF(LEN(IF(ISNUMBER(INDEX('Checks'!$K$4:$K$503,_calc!$E$485)),TEXT(INDEX('Checks'!$K$4:$K$503,_calc!$E$485),"yyyy-mm-dd"),""))=0,"","Copy to tenant: "&amp;IF(ISNUMBER(INDEX('Checks'!$K$4:$K$503,_calc!$E$485)),TEXT(INDEX('Checks'!$K$4:$K$503,_calc!$E$485),"yyyy-mm-dd"),"")&amp;". ")&amp;IF(LEN(IF(LEN(INDEX('Checks'!$P$4:$P$503,_calc!$E$485))=0,"",INDEX('Checks'!$P$4:$P$503,_calc!$E$485)))=0,"",IF(LEN(INDEX('Checks'!$P$4:$P$503,_calc!$E$485))=0,"",INDEX('Checks'!$P$4:$P$503,_calc!$E$485)))))</f>
        <v/>
      </c>
      <c r="G483" s="47">
        <f>IF(_calc!$E$485="","",IF(LEN(INDEX('Checks'!$N$4:$N$503,_calc!$E$485))=0,"",INDEX('Checks'!$N$4:$N$503,_calc!$E$485)))</f>
        <v/>
      </c>
      <c r="K483" s="47">
        <f>IF(_calc!$E$485="","",IF(LEN(INDEX('Checks'!$M$4:$M$503,_calc!$E$485))=0,"",INDEX('Checks'!$M$4:$M$503,_calc!$E$485)))</f>
        <v/>
      </c>
    </row>
    <row r="484">
      <c r="A484" s="47">
        <f>IF(_calc!$E$486="","",IF(LEN(INDEX('Checks'!$B$4:$B$503,_calc!$E$486))=0,"",INDEX('Checks'!$B$4:$B$503,_calc!$E$486))&amp;" – "&amp;IF(LEN(INDEX('Checks'!$A$4:$A$503,_calc!$E$486))=0,"",INDEX('Checks'!$A$4:$A$503,_calc!$E$486)))</f>
        <v/>
      </c>
      <c r="B484" s="47">
        <f>IF(_calc!$E$486="","",IF(ISNUMBER(INDEX('Checks'!$D$4:$D$503,_calc!$E$486)),TEXT(INDEX('Checks'!$D$4:$D$503,_calc!$E$486),"yyyy-mm-dd"),""))</f>
        <v/>
      </c>
      <c r="C484" s="47">
        <f>IF(_calc!$E$486="","",IF(LEN(INDEX('Checks'!$B$4:$B$503,_calc!$E$486))=0,"",INDEX('Checks'!$B$4:$B$503,_calc!$E$486)))</f>
        <v/>
      </c>
      <c r="D484" s="47">
        <f>IF(_calc!$E$486="","",IF(ISNUMBER(INDEX('Checks'!$C$4:$C$503,_calc!$E$486)),TEXT(INDEX('Checks'!$C$4:$C$503,_calc!$E$486),"yyyy-mm-dd"),""))</f>
        <v/>
      </c>
      <c r="E484" s="47">
        <f>IF(_calc!$E$486="","",IF(LEN(INDEX('Checks'!$L$4:$L$503,_calc!$E$486))=0,"",INDEX('Checks'!$L$4:$L$503,_calc!$E$486)))</f>
        <v/>
      </c>
      <c r="F484" s="47">
        <f>IF(_calc!$E$486="","",TRIM(IF(LEN(IF(LEN(INDEX('Checks'!$I$4:$I$503,_calc!$E$486))=0,"",INDEX('Checks'!$I$4:$I$503,_calc!$E$486)))=0,"","Contractor: "&amp;IF(LEN(INDEX('Checks'!$I$4:$I$503,_calc!$E$486))=0,"",INDEX('Checks'!$I$4:$I$503,_calc!$E$486))&amp;". ")&amp;IF(LEN(IF(LEN(INDEX('Checks'!$J$4:$J$503,_calc!$E$486))=0,"",INDEX('Checks'!$J$4:$J$503,_calc!$E$486)))=0,"","Ref: "&amp;IF(LEN(INDEX('Checks'!$J$4:$J$503,_calc!$E$486))=0,"",INDEX('Checks'!$J$4:$J$503,_calc!$E$486))&amp;". ")&amp;IF(LEN(IF(ISNUMBER(INDEX('Checks'!$K$4:$K$503,_calc!$E$486)),TEXT(INDEX('Checks'!$K$4:$K$503,_calc!$E$486),"yyyy-mm-dd"),""))=0,"","Copy to tenant: "&amp;IF(ISNUMBER(INDEX('Checks'!$K$4:$K$503,_calc!$E$486)),TEXT(INDEX('Checks'!$K$4:$K$503,_calc!$E$486),"yyyy-mm-dd"),"")&amp;". ")&amp;IF(LEN(IF(LEN(INDEX('Checks'!$P$4:$P$503,_calc!$E$486))=0,"",INDEX('Checks'!$P$4:$P$503,_calc!$E$486)))=0,"",IF(LEN(INDEX('Checks'!$P$4:$P$503,_calc!$E$486))=0,"",INDEX('Checks'!$P$4:$P$503,_calc!$E$486)))))</f>
        <v/>
      </c>
      <c r="G484" s="47">
        <f>IF(_calc!$E$486="","",IF(LEN(INDEX('Checks'!$N$4:$N$503,_calc!$E$486))=0,"",INDEX('Checks'!$N$4:$N$503,_calc!$E$486)))</f>
        <v/>
      </c>
      <c r="K484" s="47">
        <f>IF(_calc!$E$486="","",IF(LEN(INDEX('Checks'!$M$4:$M$503,_calc!$E$486))=0,"",INDEX('Checks'!$M$4:$M$503,_calc!$E$486)))</f>
        <v/>
      </c>
    </row>
    <row r="485">
      <c r="A485" s="47">
        <f>IF(_calc!$E$487="","",IF(LEN(INDEX('Checks'!$B$4:$B$503,_calc!$E$487))=0,"",INDEX('Checks'!$B$4:$B$503,_calc!$E$487))&amp;" – "&amp;IF(LEN(INDEX('Checks'!$A$4:$A$503,_calc!$E$487))=0,"",INDEX('Checks'!$A$4:$A$503,_calc!$E$487)))</f>
        <v/>
      </c>
      <c r="B485" s="47">
        <f>IF(_calc!$E$487="","",IF(ISNUMBER(INDEX('Checks'!$D$4:$D$503,_calc!$E$487)),TEXT(INDEX('Checks'!$D$4:$D$503,_calc!$E$487),"yyyy-mm-dd"),""))</f>
        <v/>
      </c>
      <c r="C485" s="47">
        <f>IF(_calc!$E$487="","",IF(LEN(INDEX('Checks'!$B$4:$B$503,_calc!$E$487))=0,"",INDEX('Checks'!$B$4:$B$503,_calc!$E$487)))</f>
        <v/>
      </c>
      <c r="D485" s="47">
        <f>IF(_calc!$E$487="","",IF(ISNUMBER(INDEX('Checks'!$C$4:$C$503,_calc!$E$487)),TEXT(INDEX('Checks'!$C$4:$C$503,_calc!$E$487),"yyyy-mm-dd"),""))</f>
        <v/>
      </c>
      <c r="E485" s="47">
        <f>IF(_calc!$E$487="","",IF(LEN(INDEX('Checks'!$L$4:$L$503,_calc!$E$487))=0,"",INDEX('Checks'!$L$4:$L$503,_calc!$E$487)))</f>
        <v/>
      </c>
      <c r="F485" s="47">
        <f>IF(_calc!$E$487="","",TRIM(IF(LEN(IF(LEN(INDEX('Checks'!$I$4:$I$503,_calc!$E$487))=0,"",INDEX('Checks'!$I$4:$I$503,_calc!$E$487)))=0,"","Contractor: "&amp;IF(LEN(INDEX('Checks'!$I$4:$I$503,_calc!$E$487))=0,"",INDEX('Checks'!$I$4:$I$503,_calc!$E$487))&amp;". ")&amp;IF(LEN(IF(LEN(INDEX('Checks'!$J$4:$J$503,_calc!$E$487))=0,"",INDEX('Checks'!$J$4:$J$503,_calc!$E$487)))=0,"","Ref: "&amp;IF(LEN(INDEX('Checks'!$J$4:$J$503,_calc!$E$487))=0,"",INDEX('Checks'!$J$4:$J$503,_calc!$E$487))&amp;". ")&amp;IF(LEN(IF(ISNUMBER(INDEX('Checks'!$K$4:$K$503,_calc!$E$487)),TEXT(INDEX('Checks'!$K$4:$K$503,_calc!$E$487),"yyyy-mm-dd"),""))=0,"","Copy to tenant: "&amp;IF(ISNUMBER(INDEX('Checks'!$K$4:$K$503,_calc!$E$487)),TEXT(INDEX('Checks'!$K$4:$K$503,_calc!$E$487),"yyyy-mm-dd"),"")&amp;". ")&amp;IF(LEN(IF(LEN(INDEX('Checks'!$P$4:$P$503,_calc!$E$487))=0,"",INDEX('Checks'!$P$4:$P$503,_calc!$E$487)))=0,"",IF(LEN(INDEX('Checks'!$P$4:$P$503,_calc!$E$487))=0,"",INDEX('Checks'!$P$4:$P$503,_calc!$E$487)))))</f>
        <v/>
      </c>
      <c r="G485" s="47">
        <f>IF(_calc!$E$487="","",IF(LEN(INDEX('Checks'!$N$4:$N$503,_calc!$E$487))=0,"",INDEX('Checks'!$N$4:$N$503,_calc!$E$487)))</f>
        <v/>
      </c>
      <c r="K485" s="47">
        <f>IF(_calc!$E$487="","",IF(LEN(INDEX('Checks'!$M$4:$M$503,_calc!$E$487))=0,"",INDEX('Checks'!$M$4:$M$503,_calc!$E$487)))</f>
        <v/>
      </c>
    </row>
    <row r="486">
      <c r="A486" s="47">
        <f>IF(_calc!$E$488="","",IF(LEN(INDEX('Checks'!$B$4:$B$503,_calc!$E$488))=0,"",INDEX('Checks'!$B$4:$B$503,_calc!$E$488))&amp;" – "&amp;IF(LEN(INDEX('Checks'!$A$4:$A$503,_calc!$E$488))=0,"",INDEX('Checks'!$A$4:$A$503,_calc!$E$488)))</f>
        <v/>
      </c>
      <c r="B486" s="47">
        <f>IF(_calc!$E$488="","",IF(ISNUMBER(INDEX('Checks'!$D$4:$D$503,_calc!$E$488)),TEXT(INDEX('Checks'!$D$4:$D$503,_calc!$E$488),"yyyy-mm-dd"),""))</f>
        <v/>
      </c>
      <c r="C486" s="47">
        <f>IF(_calc!$E$488="","",IF(LEN(INDEX('Checks'!$B$4:$B$503,_calc!$E$488))=0,"",INDEX('Checks'!$B$4:$B$503,_calc!$E$488)))</f>
        <v/>
      </c>
      <c r="D486" s="47">
        <f>IF(_calc!$E$488="","",IF(ISNUMBER(INDEX('Checks'!$C$4:$C$503,_calc!$E$488)),TEXT(INDEX('Checks'!$C$4:$C$503,_calc!$E$488),"yyyy-mm-dd"),""))</f>
        <v/>
      </c>
      <c r="E486" s="47">
        <f>IF(_calc!$E$488="","",IF(LEN(INDEX('Checks'!$L$4:$L$503,_calc!$E$488))=0,"",INDEX('Checks'!$L$4:$L$503,_calc!$E$488)))</f>
        <v/>
      </c>
      <c r="F486" s="47">
        <f>IF(_calc!$E$488="","",TRIM(IF(LEN(IF(LEN(INDEX('Checks'!$I$4:$I$503,_calc!$E$488))=0,"",INDEX('Checks'!$I$4:$I$503,_calc!$E$488)))=0,"","Contractor: "&amp;IF(LEN(INDEX('Checks'!$I$4:$I$503,_calc!$E$488))=0,"",INDEX('Checks'!$I$4:$I$503,_calc!$E$488))&amp;". ")&amp;IF(LEN(IF(LEN(INDEX('Checks'!$J$4:$J$503,_calc!$E$488))=0,"",INDEX('Checks'!$J$4:$J$503,_calc!$E$488)))=0,"","Ref: "&amp;IF(LEN(INDEX('Checks'!$J$4:$J$503,_calc!$E$488))=0,"",INDEX('Checks'!$J$4:$J$503,_calc!$E$488))&amp;". ")&amp;IF(LEN(IF(ISNUMBER(INDEX('Checks'!$K$4:$K$503,_calc!$E$488)),TEXT(INDEX('Checks'!$K$4:$K$503,_calc!$E$488),"yyyy-mm-dd"),""))=0,"","Copy to tenant: "&amp;IF(ISNUMBER(INDEX('Checks'!$K$4:$K$503,_calc!$E$488)),TEXT(INDEX('Checks'!$K$4:$K$503,_calc!$E$488),"yyyy-mm-dd"),"")&amp;". ")&amp;IF(LEN(IF(LEN(INDEX('Checks'!$P$4:$P$503,_calc!$E$488))=0,"",INDEX('Checks'!$P$4:$P$503,_calc!$E$488)))=0,"",IF(LEN(INDEX('Checks'!$P$4:$P$503,_calc!$E$488))=0,"",INDEX('Checks'!$P$4:$P$503,_calc!$E$488)))))</f>
        <v/>
      </c>
      <c r="G486" s="47">
        <f>IF(_calc!$E$488="","",IF(LEN(INDEX('Checks'!$N$4:$N$503,_calc!$E$488))=0,"",INDEX('Checks'!$N$4:$N$503,_calc!$E$488)))</f>
        <v/>
      </c>
      <c r="K486" s="47">
        <f>IF(_calc!$E$488="","",IF(LEN(INDEX('Checks'!$M$4:$M$503,_calc!$E$488))=0,"",INDEX('Checks'!$M$4:$M$503,_calc!$E$488)))</f>
        <v/>
      </c>
    </row>
    <row r="487">
      <c r="A487" s="47">
        <f>IF(_calc!$E$489="","",IF(LEN(INDEX('Checks'!$B$4:$B$503,_calc!$E$489))=0,"",INDEX('Checks'!$B$4:$B$503,_calc!$E$489))&amp;" – "&amp;IF(LEN(INDEX('Checks'!$A$4:$A$503,_calc!$E$489))=0,"",INDEX('Checks'!$A$4:$A$503,_calc!$E$489)))</f>
        <v/>
      </c>
      <c r="B487" s="47">
        <f>IF(_calc!$E$489="","",IF(ISNUMBER(INDEX('Checks'!$D$4:$D$503,_calc!$E$489)),TEXT(INDEX('Checks'!$D$4:$D$503,_calc!$E$489),"yyyy-mm-dd"),""))</f>
        <v/>
      </c>
      <c r="C487" s="47">
        <f>IF(_calc!$E$489="","",IF(LEN(INDEX('Checks'!$B$4:$B$503,_calc!$E$489))=0,"",INDEX('Checks'!$B$4:$B$503,_calc!$E$489)))</f>
        <v/>
      </c>
      <c r="D487" s="47">
        <f>IF(_calc!$E$489="","",IF(ISNUMBER(INDEX('Checks'!$C$4:$C$503,_calc!$E$489)),TEXT(INDEX('Checks'!$C$4:$C$503,_calc!$E$489),"yyyy-mm-dd"),""))</f>
        <v/>
      </c>
      <c r="E487" s="47">
        <f>IF(_calc!$E$489="","",IF(LEN(INDEX('Checks'!$L$4:$L$503,_calc!$E$489))=0,"",INDEX('Checks'!$L$4:$L$503,_calc!$E$489)))</f>
        <v/>
      </c>
      <c r="F487" s="47">
        <f>IF(_calc!$E$489="","",TRIM(IF(LEN(IF(LEN(INDEX('Checks'!$I$4:$I$503,_calc!$E$489))=0,"",INDEX('Checks'!$I$4:$I$503,_calc!$E$489)))=0,"","Contractor: "&amp;IF(LEN(INDEX('Checks'!$I$4:$I$503,_calc!$E$489))=0,"",INDEX('Checks'!$I$4:$I$503,_calc!$E$489))&amp;". ")&amp;IF(LEN(IF(LEN(INDEX('Checks'!$J$4:$J$503,_calc!$E$489))=0,"",INDEX('Checks'!$J$4:$J$503,_calc!$E$489)))=0,"","Ref: "&amp;IF(LEN(INDEX('Checks'!$J$4:$J$503,_calc!$E$489))=0,"",INDEX('Checks'!$J$4:$J$503,_calc!$E$489))&amp;". ")&amp;IF(LEN(IF(ISNUMBER(INDEX('Checks'!$K$4:$K$503,_calc!$E$489)),TEXT(INDEX('Checks'!$K$4:$K$503,_calc!$E$489),"yyyy-mm-dd"),""))=0,"","Copy to tenant: "&amp;IF(ISNUMBER(INDEX('Checks'!$K$4:$K$503,_calc!$E$489)),TEXT(INDEX('Checks'!$K$4:$K$503,_calc!$E$489),"yyyy-mm-dd"),"")&amp;". ")&amp;IF(LEN(IF(LEN(INDEX('Checks'!$P$4:$P$503,_calc!$E$489))=0,"",INDEX('Checks'!$P$4:$P$503,_calc!$E$489)))=0,"",IF(LEN(INDEX('Checks'!$P$4:$P$503,_calc!$E$489))=0,"",INDEX('Checks'!$P$4:$P$503,_calc!$E$489)))))</f>
        <v/>
      </c>
      <c r="G487" s="47">
        <f>IF(_calc!$E$489="","",IF(LEN(INDEX('Checks'!$N$4:$N$503,_calc!$E$489))=0,"",INDEX('Checks'!$N$4:$N$503,_calc!$E$489)))</f>
        <v/>
      </c>
      <c r="K487" s="47">
        <f>IF(_calc!$E$489="","",IF(LEN(INDEX('Checks'!$M$4:$M$503,_calc!$E$489))=0,"",INDEX('Checks'!$M$4:$M$503,_calc!$E$489)))</f>
        <v/>
      </c>
    </row>
    <row r="488">
      <c r="A488" s="47">
        <f>IF(_calc!$E$490="","",IF(LEN(INDEX('Checks'!$B$4:$B$503,_calc!$E$490))=0,"",INDEX('Checks'!$B$4:$B$503,_calc!$E$490))&amp;" – "&amp;IF(LEN(INDEX('Checks'!$A$4:$A$503,_calc!$E$490))=0,"",INDEX('Checks'!$A$4:$A$503,_calc!$E$490)))</f>
        <v/>
      </c>
      <c r="B488" s="47">
        <f>IF(_calc!$E$490="","",IF(ISNUMBER(INDEX('Checks'!$D$4:$D$503,_calc!$E$490)),TEXT(INDEX('Checks'!$D$4:$D$503,_calc!$E$490),"yyyy-mm-dd"),""))</f>
        <v/>
      </c>
      <c r="C488" s="47">
        <f>IF(_calc!$E$490="","",IF(LEN(INDEX('Checks'!$B$4:$B$503,_calc!$E$490))=0,"",INDEX('Checks'!$B$4:$B$503,_calc!$E$490)))</f>
        <v/>
      </c>
      <c r="D488" s="47">
        <f>IF(_calc!$E$490="","",IF(ISNUMBER(INDEX('Checks'!$C$4:$C$503,_calc!$E$490)),TEXT(INDEX('Checks'!$C$4:$C$503,_calc!$E$490),"yyyy-mm-dd"),""))</f>
        <v/>
      </c>
      <c r="E488" s="47">
        <f>IF(_calc!$E$490="","",IF(LEN(INDEX('Checks'!$L$4:$L$503,_calc!$E$490))=0,"",INDEX('Checks'!$L$4:$L$503,_calc!$E$490)))</f>
        <v/>
      </c>
      <c r="F488" s="47">
        <f>IF(_calc!$E$490="","",TRIM(IF(LEN(IF(LEN(INDEX('Checks'!$I$4:$I$503,_calc!$E$490))=0,"",INDEX('Checks'!$I$4:$I$503,_calc!$E$490)))=0,"","Contractor: "&amp;IF(LEN(INDEX('Checks'!$I$4:$I$503,_calc!$E$490))=0,"",INDEX('Checks'!$I$4:$I$503,_calc!$E$490))&amp;". ")&amp;IF(LEN(IF(LEN(INDEX('Checks'!$J$4:$J$503,_calc!$E$490))=0,"",INDEX('Checks'!$J$4:$J$503,_calc!$E$490)))=0,"","Ref: "&amp;IF(LEN(INDEX('Checks'!$J$4:$J$503,_calc!$E$490))=0,"",INDEX('Checks'!$J$4:$J$503,_calc!$E$490))&amp;". ")&amp;IF(LEN(IF(ISNUMBER(INDEX('Checks'!$K$4:$K$503,_calc!$E$490)),TEXT(INDEX('Checks'!$K$4:$K$503,_calc!$E$490),"yyyy-mm-dd"),""))=0,"","Copy to tenant: "&amp;IF(ISNUMBER(INDEX('Checks'!$K$4:$K$503,_calc!$E$490)),TEXT(INDEX('Checks'!$K$4:$K$503,_calc!$E$490),"yyyy-mm-dd"),"")&amp;". ")&amp;IF(LEN(IF(LEN(INDEX('Checks'!$P$4:$P$503,_calc!$E$490))=0,"",INDEX('Checks'!$P$4:$P$503,_calc!$E$490)))=0,"",IF(LEN(INDEX('Checks'!$P$4:$P$503,_calc!$E$490))=0,"",INDEX('Checks'!$P$4:$P$503,_calc!$E$490)))))</f>
        <v/>
      </c>
      <c r="G488" s="47">
        <f>IF(_calc!$E$490="","",IF(LEN(INDEX('Checks'!$N$4:$N$503,_calc!$E$490))=0,"",INDEX('Checks'!$N$4:$N$503,_calc!$E$490)))</f>
        <v/>
      </c>
      <c r="K488" s="47">
        <f>IF(_calc!$E$490="","",IF(LEN(INDEX('Checks'!$M$4:$M$503,_calc!$E$490))=0,"",INDEX('Checks'!$M$4:$M$503,_calc!$E$490)))</f>
        <v/>
      </c>
    </row>
    <row r="489">
      <c r="A489" s="47">
        <f>IF(_calc!$E$491="","",IF(LEN(INDEX('Checks'!$B$4:$B$503,_calc!$E$491))=0,"",INDEX('Checks'!$B$4:$B$503,_calc!$E$491))&amp;" – "&amp;IF(LEN(INDEX('Checks'!$A$4:$A$503,_calc!$E$491))=0,"",INDEX('Checks'!$A$4:$A$503,_calc!$E$491)))</f>
        <v/>
      </c>
      <c r="B489" s="47">
        <f>IF(_calc!$E$491="","",IF(ISNUMBER(INDEX('Checks'!$D$4:$D$503,_calc!$E$491)),TEXT(INDEX('Checks'!$D$4:$D$503,_calc!$E$491),"yyyy-mm-dd"),""))</f>
        <v/>
      </c>
      <c r="C489" s="47">
        <f>IF(_calc!$E$491="","",IF(LEN(INDEX('Checks'!$B$4:$B$503,_calc!$E$491))=0,"",INDEX('Checks'!$B$4:$B$503,_calc!$E$491)))</f>
        <v/>
      </c>
      <c r="D489" s="47">
        <f>IF(_calc!$E$491="","",IF(ISNUMBER(INDEX('Checks'!$C$4:$C$503,_calc!$E$491)),TEXT(INDEX('Checks'!$C$4:$C$503,_calc!$E$491),"yyyy-mm-dd"),""))</f>
        <v/>
      </c>
      <c r="E489" s="47">
        <f>IF(_calc!$E$491="","",IF(LEN(INDEX('Checks'!$L$4:$L$503,_calc!$E$491))=0,"",INDEX('Checks'!$L$4:$L$503,_calc!$E$491)))</f>
        <v/>
      </c>
      <c r="F489" s="47">
        <f>IF(_calc!$E$491="","",TRIM(IF(LEN(IF(LEN(INDEX('Checks'!$I$4:$I$503,_calc!$E$491))=0,"",INDEX('Checks'!$I$4:$I$503,_calc!$E$491)))=0,"","Contractor: "&amp;IF(LEN(INDEX('Checks'!$I$4:$I$503,_calc!$E$491))=0,"",INDEX('Checks'!$I$4:$I$503,_calc!$E$491))&amp;". ")&amp;IF(LEN(IF(LEN(INDEX('Checks'!$J$4:$J$503,_calc!$E$491))=0,"",INDEX('Checks'!$J$4:$J$503,_calc!$E$491)))=0,"","Ref: "&amp;IF(LEN(INDEX('Checks'!$J$4:$J$503,_calc!$E$491))=0,"",INDEX('Checks'!$J$4:$J$503,_calc!$E$491))&amp;". ")&amp;IF(LEN(IF(ISNUMBER(INDEX('Checks'!$K$4:$K$503,_calc!$E$491)),TEXT(INDEX('Checks'!$K$4:$K$503,_calc!$E$491),"yyyy-mm-dd"),""))=0,"","Copy to tenant: "&amp;IF(ISNUMBER(INDEX('Checks'!$K$4:$K$503,_calc!$E$491)),TEXT(INDEX('Checks'!$K$4:$K$503,_calc!$E$491),"yyyy-mm-dd"),"")&amp;". ")&amp;IF(LEN(IF(LEN(INDEX('Checks'!$P$4:$P$503,_calc!$E$491))=0,"",INDEX('Checks'!$P$4:$P$503,_calc!$E$491)))=0,"",IF(LEN(INDEX('Checks'!$P$4:$P$503,_calc!$E$491))=0,"",INDEX('Checks'!$P$4:$P$503,_calc!$E$491)))))</f>
        <v/>
      </c>
      <c r="G489" s="47">
        <f>IF(_calc!$E$491="","",IF(LEN(INDEX('Checks'!$N$4:$N$503,_calc!$E$491))=0,"",INDEX('Checks'!$N$4:$N$503,_calc!$E$491)))</f>
        <v/>
      </c>
      <c r="K489" s="47">
        <f>IF(_calc!$E$491="","",IF(LEN(INDEX('Checks'!$M$4:$M$503,_calc!$E$491))=0,"",INDEX('Checks'!$M$4:$M$503,_calc!$E$491)))</f>
        <v/>
      </c>
    </row>
    <row r="490">
      <c r="A490" s="47">
        <f>IF(_calc!$E$492="","",IF(LEN(INDEX('Checks'!$B$4:$B$503,_calc!$E$492))=0,"",INDEX('Checks'!$B$4:$B$503,_calc!$E$492))&amp;" – "&amp;IF(LEN(INDEX('Checks'!$A$4:$A$503,_calc!$E$492))=0,"",INDEX('Checks'!$A$4:$A$503,_calc!$E$492)))</f>
        <v/>
      </c>
      <c r="B490" s="47">
        <f>IF(_calc!$E$492="","",IF(ISNUMBER(INDEX('Checks'!$D$4:$D$503,_calc!$E$492)),TEXT(INDEX('Checks'!$D$4:$D$503,_calc!$E$492),"yyyy-mm-dd"),""))</f>
        <v/>
      </c>
      <c r="C490" s="47">
        <f>IF(_calc!$E$492="","",IF(LEN(INDEX('Checks'!$B$4:$B$503,_calc!$E$492))=0,"",INDEX('Checks'!$B$4:$B$503,_calc!$E$492)))</f>
        <v/>
      </c>
      <c r="D490" s="47">
        <f>IF(_calc!$E$492="","",IF(ISNUMBER(INDEX('Checks'!$C$4:$C$503,_calc!$E$492)),TEXT(INDEX('Checks'!$C$4:$C$503,_calc!$E$492),"yyyy-mm-dd"),""))</f>
        <v/>
      </c>
      <c r="E490" s="47">
        <f>IF(_calc!$E$492="","",IF(LEN(INDEX('Checks'!$L$4:$L$503,_calc!$E$492))=0,"",INDEX('Checks'!$L$4:$L$503,_calc!$E$492)))</f>
        <v/>
      </c>
      <c r="F490" s="47">
        <f>IF(_calc!$E$492="","",TRIM(IF(LEN(IF(LEN(INDEX('Checks'!$I$4:$I$503,_calc!$E$492))=0,"",INDEX('Checks'!$I$4:$I$503,_calc!$E$492)))=0,"","Contractor: "&amp;IF(LEN(INDEX('Checks'!$I$4:$I$503,_calc!$E$492))=0,"",INDEX('Checks'!$I$4:$I$503,_calc!$E$492))&amp;". ")&amp;IF(LEN(IF(LEN(INDEX('Checks'!$J$4:$J$503,_calc!$E$492))=0,"",INDEX('Checks'!$J$4:$J$503,_calc!$E$492)))=0,"","Ref: "&amp;IF(LEN(INDEX('Checks'!$J$4:$J$503,_calc!$E$492))=0,"",INDEX('Checks'!$J$4:$J$503,_calc!$E$492))&amp;". ")&amp;IF(LEN(IF(ISNUMBER(INDEX('Checks'!$K$4:$K$503,_calc!$E$492)),TEXT(INDEX('Checks'!$K$4:$K$503,_calc!$E$492),"yyyy-mm-dd"),""))=0,"","Copy to tenant: "&amp;IF(ISNUMBER(INDEX('Checks'!$K$4:$K$503,_calc!$E$492)),TEXT(INDEX('Checks'!$K$4:$K$503,_calc!$E$492),"yyyy-mm-dd"),"")&amp;". ")&amp;IF(LEN(IF(LEN(INDEX('Checks'!$P$4:$P$503,_calc!$E$492))=0,"",INDEX('Checks'!$P$4:$P$503,_calc!$E$492)))=0,"",IF(LEN(INDEX('Checks'!$P$4:$P$503,_calc!$E$492))=0,"",INDEX('Checks'!$P$4:$P$503,_calc!$E$492)))))</f>
        <v/>
      </c>
      <c r="G490" s="47">
        <f>IF(_calc!$E$492="","",IF(LEN(INDEX('Checks'!$N$4:$N$503,_calc!$E$492))=0,"",INDEX('Checks'!$N$4:$N$503,_calc!$E$492)))</f>
        <v/>
      </c>
      <c r="K490" s="47">
        <f>IF(_calc!$E$492="","",IF(LEN(INDEX('Checks'!$M$4:$M$503,_calc!$E$492))=0,"",INDEX('Checks'!$M$4:$M$503,_calc!$E$492)))</f>
        <v/>
      </c>
    </row>
    <row r="491">
      <c r="A491" s="47">
        <f>IF(_calc!$E$493="","",IF(LEN(INDEX('Checks'!$B$4:$B$503,_calc!$E$493))=0,"",INDEX('Checks'!$B$4:$B$503,_calc!$E$493))&amp;" – "&amp;IF(LEN(INDEX('Checks'!$A$4:$A$503,_calc!$E$493))=0,"",INDEX('Checks'!$A$4:$A$503,_calc!$E$493)))</f>
        <v/>
      </c>
      <c r="B491" s="47">
        <f>IF(_calc!$E$493="","",IF(ISNUMBER(INDEX('Checks'!$D$4:$D$503,_calc!$E$493)),TEXT(INDEX('Checks'!$D$4:$D$503,_calc!$E$493),"yyyy-mm-dd"),""))</f>
        <v/>
      </c>
      <c r="C491" s="47">
        <f>IF(_calc!$E$493="","",IF(LEN(INDEX('Checks'!$B$4:$B$503,_calc!$E$493))=0,"",INDEX('Checks'!$B$4:$B$503,_calc!$E$493)))</f>
        <v/>
      </c>
      <c r="D491" s="47">
        <f>IF(_calc!$E$493="","",IF(ISNUMBER(INDEX('Checks'!$C$4:$C$503,_calc!$E$493)),TEXT(INDEX('Checks'!$C$4:$C$503,_calc!$E$493),"yyyy-mm-dd"),""))</f>
        <v/>
      </c>
      <c r="E491" s="47">
        <f>IF(_calc!$E$493="","",IF(LEN(INDEX('Checks'!$L$4:$L$503,_calc!$E$493))=0,"",INDEX('Checks'!$L$4:$L$503,_calc!$E$493)))</f>
        <v/>
      </c>
      <c r="F491" s="47">
        <f>IF(_calc!$E$493="","",TRIM(IF(LEN(IF(LEN(INDEX('Checks'!$I$4:$I$503,_calc!$E$493))=0,"",INDEX('Checks'!$I$4:$I$503,_calc!$E$493)))=0,"","Contractor: "&amp;IF(LEN(INDEX('Checks'!$I$4:$I$503,_calc!$E$493))=0,"",INDEX('Checks'!$I$4:$I$503,_calc!$E$493))&amp;". ")&amp;IF(LEN(IF(LEN(INDEX('Checks'!$J$4:$J$503,_calc!$E$493))=0,"",INDEX('Checks'!$J$4:$J$503,_calc!$E$493)))=0,"","Ref: "&amp;IF(LEN(INDEX('Checks'!$J$4:$J$503,_calc!$E$493))=0,"",INDEX('Checks'!$J$4:$J$503,_calc!$E$493))&amp;". ")&amp;IF(LEN(IF(ISNUMBER(INDEX('Checks'!$K$4:$K$503,_calc!$E$493)),TEXT(INDEX('Checks'!$K$4:$K$503,_calc!$E$493),"yyyy-mm-dd"),""))=0,"","Copy to tenant: "&amp;IF(ISNUMBER(INDEX('Checks'!$K$4:$K$503,_calc!$E$493)),TEXT(INDEX('Checks'!$K$4:$K$503,_calc!$E$493),"yyyy-mm-dd"),"")&amp;". ")&amp;IF(LEN(IF(LEN(INDEX('Checks'!$P$4:$P$503,_calc!$E$493))=0,"",INDEX('Checks'!$P$4:$P$503,_calc!$E$493)))=0,"",IF(LEN(INDEX('Checks'!$P$4:$P$503,_calc!$E$493))=0,"",INDEX('Checks'!$P$4:$P$503,_calc!$E$493)))))</f>
        <v/>
      </c>
      <c r="G491" s="47">
        <f>IF(_calc!$E$493="","",IF(LEN(INDEX('Checks'!$N$4:$N$503,_calc!$E$493))=0,"",INDEX('Checks'!$N$4:$N$503,_calc!$E$493)))</f>
        <v/>
      </c>
      <c r="K491" s="47">
        <f>IF(_calc!$E$493="","",IF(LEN(INDEX('Checks'!$M$4:$M$503,_calc!$E$493))=0,"",INDEX('Checks'!$M$4:$M$503,_calc!$E$493)))</f>
        <v/>
      </c>
    </row>
    <row r="492">
      <c r="A492" s="47">
        <f>IF(_calc!$E$494="","",IF(LEN(INDEX('Checks'!$B$4:$B$503,_calc!$E$494))=0,"",INDEX('Checks'!$B$4:$B$503,_calc!$E$494))&amp;" – "&amp;IF(LEN(INDEX('Checks'!$A$4:$A$503,_calc!$E$494))=0,"",INDEX('Checks'!$A$4:$A$503,_calc!$E$494)))</f>
        <v/>
      </c>
      <c r="B492" s="47">
        <f>IF(_calc!$E$494="","",IF(ISNUMBER(INDEX('Checks'!$D$4:$D$503,_calc!$E$494)),TEXT(INDEX('Checks'!$D$4:$D$503,_calc!$E$494),"yyyy-mm-dd"),""))</f>
        <v/>
      </c>
      <c r="C492" s="47">
        <f>IF(_calc!$E$494="","",IF(LEN(INDEX('Checks'!$B$4:$B$503,_calc!$E$494))=0,"",INDEX('Checks'!$B$4:$B$503,_calc!$E$494)))</f>
        <v/>
      </c>
      <c r="D492" s="47">
        <f>IF(_calc!$E$494="","",IF(ISNUMBER(INDEX('Checks'!$C$4:$C$503,_calc!$E$494)),TEXT(INDEX('Checks'!$C$4:$C$503,_calc!$E$494),"yyyy-mm-dd"),""))</f>
        <v/>
      </c>
      <c r="E492" s="47">
        <f>IF(_calc!$E$494="","",IF(LEN(INDEX('Checks'!$L$4:$L$503,_calc!$E$494))=0,"",INDEX('Checks'!$L$4:$L$503,_calc!$E$494)))</f>
        <v/>
      </c>
      <c r="F492" s="47">
        <f>IF(_calc!$E$494="","",TRIM(IF(LEN(IF(LEN(INDEX('Checks'!$I$4:$I$503,_calc!$E$494))=0,"",INDEX('Checks'!$I$4:$I$503,_calc!$E$494)))=0,"","Contractor: "&amp;IF(LEN(INDEX('Checks'!$I$4:$I$503,_calc!$E$494))=0,"",INDEX('Checks'!$I$4:$I$503,_calc!$E$494))&amp;". ")&amp;IF(LEN(IF(LEN(INDEX('Checks'!$J$4:$J$503,_calc!$E$494))=0,"",INDEX('Checks'!$J$4:$J$503,_calc!$E$494)))=0,"","Ref: "&amp;IF(LEN(INDEX('Checks'!$J$4:$J$503,_calc!$E$494))=0,"",INDEX('Checks'!$J$4:$J$503,_calc!$E$494))&amp;". ")&amp;IF(LEN(IF(ISNUMBER(INDEX('Checks'!$K$4:$K$503,_calc!$E$494)),TEXT(INDEX('Checks'!$K$4:$K$503,_calc!$E$494),"yyyy-mm-dd"),""))=0,"","Copy to tenant: "&amp;IF(ISNUMBER(INDEX('Checks'!$K$4:$K$503,_calc!$E$494)),TEXT(INDEX('Checks'!$K$4:$K$503,_calc!$E$494),"yyyy-mm-dd"),"")&amp;". ")&amp;IF(LEN(IF(LEN(INDEX('Checks'!$P$4:$P$503,_calc!$E$494))=0,"",INDEX('Checks'!$P$4:$P$503,_calc!$E$494)))=0,"",IF(LEN(INDEX('Checks'!$P$4:$P$503,_calc!$E$494))=0,"",INDEX('Checks'!$P$4:$P$503,_calc!$E$494)))))</f>
        <v/>
      </c>
      <c r="G492" s="47">
        <f>IF(_calc!$E$494="","",IF(LEN(INDEX('Checks'!$N$4:$N$503,_calc!$E$494))=0,"",INDEX('Checks'!$N$4:$N$503,_calc!$E$494)))</f>
        <v/>
      </c>
      <c r="K492" s="47">
        <f>IF(_calc!$E$494="","",IF(LEN(INDEX('Checks'!$M$4:$M$503,_calc!$E$494))=0,"",INDEX('Checks'!$M$4:$M$503,_calc!$E$494)))</f>
        <v/>
      </c>
    </row>
    <row r="493">
      <c r="A493" s="47">
        <f>IF(_calc!$E$495="","",IF(LEN(INDEX('Checks'!$B$4:$B$503,_calc!$E$495))=0,"",INDEX('Checks'!$B$4:$B$503,_calc!$E$495))&amp;" – "&amp;IF(LEN(INDEX('Checks'!$A$4:$A$503,_calc!$E$495))=0,"",INDEX('Checks'!$A$4:$A$503,_calc!$E$495)))</f>
        <v/>
      </c>
      <c r="B493" s="47">
        <f>IF(_calc!$E$495="","",IF(ISNUMBER(INDEX('Checks'!$D$4:$D$503,_calc!$E$495)),TEXT(INDEX('Checks'!$D$4:$D$503,_calc!$E$495),"yyyy-mm-dd"),""))</f>
        <v/>
      </c>
      <c r="C493" s="47">
        <f>IF(_calc!$E$495="","",IF(LEN(INDEX('Checks'!$B$4:$B$503,_calc!$E$495))=0,"",INDEX('Checks'!$B$4:$B$503,_calc!$E$495)))</f>
        <v/>
      </c>
      <c r="D493" s="47">
        <f>IF(_calc!$E$495="","",IF(ISNUMBER(INDEX('Checks'!$C$4:$C$503,_calc!$E$495)),TEXT(INDEX('Checks'!$C$4:$C$503,_calc!$E$495),"yyyy-mm-dd"),""))</f>
        <v/>
      </c>
      <c r="E493" s="47">
        <f>IF(_calc!$E$495="","",IF(LEN(INDEX('Checks'!$L$4:$L$503,_calc!$E$495))=0,"",INDEX('Checks'!$L$4:$L$503,_calc!$E$495)))</f>
        <v/>
      </c>
      <c r="F493" s="47">
        <f>IF(_calc!$E$495="","",TRIM(IF(LEN(IF(LEN(INDEX('Checks'!$I$4:$I$503,_calc!$E$495))=0,"",INDEX('Checks'!$I$4:$I$503,_calc!$E$495)))=0,"","Contractor: "&amp;IF(LEN(INDEX('Checks'!$I$4:$I$503,_calc!$E$495))=0,"",INDEX('Checks'!$I$4:$I$503,_calc!$E$495))&amp;". ")&amp;IF(LEN(IF(LEN(INDEX('Checks'!$J$4:$J$503,_calc!$E$495))=0,"",INDEX('Checks'!$J$4:$J$503,_calc!$E$495)))=0,"","Ref: "&amp;IF(LEN(INDEX('Checks'!$J$4:$J$503,_calc!$E$495))=0,"",INDEX('Checks'!$J$4:$J$503,_calc!$E$495))&amp;". ")&amp;IF(LEN(IF(ISNUMBER(INDEX('Checks'!$K$4:$K$503,_calc!$E$495)),TEXT(INDEX('Checks'!$K$4:$K$503,_calc!$E$495),"yyyy-mm-dd"),""))=0,"","Copy to tenant: "&amp;IF(ISNUMBER(INDEX('Checks'!$K$4:$K$503,_calc!$E$495)),TEXT(INDEX('Checks'!$K$4:$K$503,_calc!$E$495),"yyyy-mm-dd"),"")&amp;". ")&amp;IF(LEN(IF(LEN(INDEX('Checks'!$P$4:$P$503,_calc!$E$495))=0,"",INDEX('Checks'!$P$4:$P$503,_calc!$E$495)))=0,"",IF(LEN(INDEX('Checks'!$P$4:$P$503,_calc!$E$495))=0,"",INDEX('Checks'!$P$4:$P$503,_calc!$E$495)))))</f>
        <v/>
      </c>
      <c r="G493" s="47">
        <f>IF(_calc!$E$495="","",IF(LEN(INDEX('Checks'!$N$4:$N$503,_calc!$E$495))=0,"",INDEX('Checks'!$N$4:$N$503,_calc!$E$495)))</f>
        <v/>
      </c>
      <c r="K493" s="47">
        <f>IF(_calc!$E$495="","",IF(LEN(INDEX('Checks'!$M$4:$M$503,_calc!$E$495))=0,"",INDEX('Checks'!$M$4:$M$503,_calc!$E$495)))</f>
        <v/>
      </c>
    </row>
    <row r="494">
      <c r="A494" s="47">
        <f>IF(_calc!$E$496="","",IF(LEN(INDEX('Checks'!$B$4:$B$503,_calc!$E$496))=0,"",INDEX('Checks'!$B$4:$B$503,_calc!$E$496))&amp;" – "&amp;IF(LEN(INDEX('Checks'!$A$4:$A$503,_calc!$E$496))=0,"",INDEX('Checks'!$A$4:$A$503,_calc!$E$496)))</f>
        <v/>
      </c>
      <c r="B494" s="47">
        <f>IF(_calc!$E$496="","",IF(ISNUMBER(INDEX('Checks'!$D$4:$D$503,_calc!$E$496)),TEXT(INDEX('Checks'!$D$4:$D$503,_calc!$E$496),"yyyy-mm-dd"),""))</f>
        <v/>
      </c>
      <c r="C494" s="47">
        <f>IF(_calc!$E$496="","",IF(LEN(INDEX('Checks'!$B$4:$B$503,_calc!$E$496))=0,"",INDEX('Checks'!$B$4:$B$503,_calc!$E$496)))</f>
        <v/>
      </c>
      <c r="D494" s="47">
        <f>IF(_calc!$E$496="","",IF(ISNUMBER(INDEX('Checks'!$C$4:$C$503,_calc!$E$496)),TEXT(INDEX('Checks'!$C$4:$C$503,_calc!$E$496),"yyyy-mm-dd"),""))</f>
        <v/>
      </c>
      <c r="E494" s="47">
        <f>IF(_calc!$E$496="","",IF(LEN(INDEX('Checks'!$L$4:$L$503,_calc!$E$496))=0,"",INDEX('Checks'!$L$4:$L$503,_calc!$E$496)))</f>
        <v/>
      </c>
      <c r="F494" s="47">
        <f>IF(_calc!$E$496="","",TRIM(IF(LEN(IF(LEN(INDEX('Checks'!$I$4:$I$503,_calc!$E$496))=0,"",INDEX('Checks'!$I$4:$I$503,_calc!$E$496)))=0,"","Contractor: "&amp;IF(LEN(INDEX('Checks'!$I$4:$I$503,_calc!$E$496))=0,"",INDEX('Checks'!$I$4:$I$503,_calc!$E$496))&amp;". ")&amp;IF(LEN(IF(LEN(INDEX('Checks'!$J$4:$J$503,_calc!$E$496))=0,"",INDEX('Checks'!$J$4:$J$503,_calc!$E$496)))=0,"","Ref: "&amp;IF(LEN(INDEX('Checks'!$J$4:$J$503,_calc!$E$496))=0,"",INDEX('Checks'!$J$4:$J$503,_calc!$E$496))&amp;". ")&amp;IF(LEN(IF(ISNUMBER(INDEX('Checks'!$K$4:$K$503,_calc!$E$496)),TEXT(INDEX('Checks'!$K$4:$K$503,_calc!$E$496),"yyyy-mm-dd"),""))=0,"","Copy to tenant: "&amp;IF(ISNUMBER(INDEX('Checks'!$K$4:$K$503,_calc!$E$496)),TEXT(INDEX('Checks'!$K$4:$K$503,_calc!$E$496),"yyyy-mm-dd"),"")&amp;". ")&amp;IF(LEN(IF(LEN(INDEX('Checks'!$P$4:$P$503,_calc!$E$496))=0,"",INDEX('Checks'!$P$4:$P$503,_calc!$E$496)))=0,"",IF(LEN(INDEX('Checks'!$P$4:$P$503,_calc!$E$496))=0,"",INDEX('Checks'!$P$4:$P$503,_calc!$E$496)))))</f>
        <v/>
      </c>
      <c r="G494" s="47">
        <f>IF(_calc!$E$496="","",IF(LEN(INDEX('Checks'!$N$4:$N$503,_calc!$E$496))=0,"",INDEX('Checks'!$N$4:$N$503,_calc!$E$496)))</f>
        <v/>
      </c>
      <c r="K494" s="47">
        <f>IF(_calc!$E$496="","",IF(LEN(INDEX('Checks'!$M$4:$M$503,_calc!$E$496))=0,"",INDEX('Checks'!$M$4:$M$503,_calc!$E$496)))</f>
        <v/>
      </c>
    </row>
    <row r="495">
      <c r="A495" s="47">
        <f>IF(_calc!$E$497="","",IF(LEN(INDEX('Checks'!$B$4:$B$503,_calc!$E$497))=0,"",INDEX('Checks'!$B$4:$B$503,_calc!$E$497))&amp;" – "&amp;IF(LEN(INDEX('Checks'!$A$4:$A$503,_calc!$E$497))=0,"",INDEX('Checks'!$A$4:$A$503,_calc!$E$497)))</f>
        <v/>
      </c>
      <c r="B495" s="47">
        <f>IF(_calc!$E$497="","",IF(ISNUMBER(INDEX('Checks'!$D$4:$D$503,_calc!$E$497)),TEXT(INDEX('Checks'!$D$4:$D$503,_calc!$E$497),"yyyy-mm-dd"),""))</f>
        <v/>
      </c>
      <c r="C495" s="47">
        <f>IF(_calc!$E$497="","",IF(LEN(INDEX('Checks'!$B$4:$B$503,_calc!$E$497))=0,"",INDEX('Checks'!$B$4:$B$503,_calc!$E$497)))</f>
        <v/>
      </c>
      <c r="D495" s="47">
        <f>IF(_calc!$E$497="","",IF(ISNUMBER(INDEX('Checks'!$C$4:$C$503,_calc!$E$497)),TEXT(INDEX('Checks'!$C$4:$C$503,_calc!$E$497),"yyyy-mm-dd"),""))</f>
        <v/>
      </c>
      <c r="E495" s="47">
        <f>IF(_calc!$E$497="","",IF(LEN(INDEX('Checks'!$L$4:$L$503,_calc!$E$497))=0,"",INDEX('Checks'!$L$4:$L$503,_calc!$E$497)))</f>
        <v/>
      </c>
      <c r="F495" s="47">
        <f>IF(_calc!$E$497="","",TRIM(IF(LEN(IF(LEN(INDEX('Checks'!$I$4:$I$503,_calc!$E$497))=0,"",INDEX('Checks'!$I$4:$I$503,_calc!$E$497)))=0,"","Contractor: "&amp;IF(LEN(INDEX('Checks'!$I$4:$I$503,_calc!$E$497))=0,"",INDEX('Checks'!$I$4:$I$503,_calc!$E$497))&amp;". ")&amp;IF(LEN(IF(LEN(INDEX('Checks'!$J$4:$J$503,_calc!$E$497))=0,"",INDEX('Checks'!$J$4:$J$503,_calc!$E$497)))=0,"","Ref: "&amp;IF(LEN(INDEX('Checks'!$J$4:$J$503,_calc!$E$497))=0,"",INDEX('Checks'!$J$4:$J$503,_calc!$E$497))&amp;". ")&amp;IF(LEN(IF(ISNUMBER(INDEX('Checks'!$K$4:$K$503,_calc!$E$497)),TEXT(INDEX('Checks'!$K$4:$K$503,_calc!$E$497),"yyyy-mm-dd"),""))=0,"","Copy to tenant: "&amp;IF(ISNUMBER(INDEX('Checks'!$K$4:$K$503,_calc!$E$497)),TEXT(INDEX('Checks'!$K$4:$K$503,_calc!$E$497),"yyyy-mm-dd"),"")&amp;". ")&amp;IF(LEN(IF(LEN(INDEX('Checks'!$P$4:$P$503,_calc!$E$497))=0,"",INDEX('Checks'!$P$4:$P$503,_calc!$E$497)))=0,"",IF(LEN(INDEX('Checks'!$P$4:$P$503,_calc!$E$497))=0,"",INDEX('Checks'!$P$4:$P$503,_calc!$E$497)))))</f>
        <v/>
      </c>
      <c r="G495" s="47">
        <f>IF(_calc!$E$497="","",IF(LEN(INDEX('Checks'!$N$4:$N$503,_calc!$E$497))=0,"",INDEX('Checks'!$N$4:$N$503,_calc!$E$497)))</f>
        <v/>
      </c>
      <c r="K495" s="47">
        <f>IF(_calc!$E$497="","",IF(LEN(INDEX('Checks'!$M$4:$M$503,_calc!$E$497))=0,"",INDEX('Checks'!$M$4:$M$503,_calc!$E$497)))</f>
        <v/>
      </c>
    </row>
    <row r="496">
      <c r="A496" s="47">
        <f>IF(_calc!$E$498="","",IF(LEN(INDEX('Checks'!$B$4:$B$503,_calc!$E$498))=0,"",INDEX('Checks'!$B$4:$B$503,_calc!$E$498))&amp;" – "&amp;IF(LEN(INDEX('Checks'!$A$4:$A$503,_calc!$E$498))=0,"",INDEX('Checks'!$A$4:$A$503,_calc!$E$498)))</f>
        <v/>
      </c>
      <c r="B496" s="47">
        <f>IF(_calc!$E$498="","",IF(ISNUMBER(INDEX('Checks'!$D$4:$D$503,_calc!$E$498)),TEXT(INDEX('Checks'!$D$4:$D$503,_calc!$E$498),"yyyy-mm-dd"),""))</f>
        <v/>
      </c>
      <c r="C496" s="47">
        <f>IF(_calc!$E$498="","",IF(LEN(INDEX('Checks'!$B$4:$B$503,_calc!$E$498))=0,"",INDEX('Checks'!$B$4:$B$503,_calc!$E$498)))</f>
        <v/>
      </c>
      <c r="D496" s="47">
        <f>IF(_calc!$E$498="","",IF(ISNUMBER(INDEX('Checks'!$C$4:$C$503,_calc!$E$498)),TEXT(INDEX('Checks'!$C$4:$C$503,_calc!$E$498),"yyyy-mm-dd"),""))</f>
        <v/>
      </c>
      <c r="E496" s="47">
        <f>IF(_calc!$E$498="","",IF(LEN(INDEX('Checks'!$L$4:$L$503,_calc!$E$498))=0,"",INDEX('Checks'!$L$4:$L$503,_calc!$E$498)))</f>
        <v/>
      </c>
      <c r="F496" s="47">
        <f>IF(_calc!$E$498="","",TRIM(IF(LEN(IF(LEN(INDEX('Checks'!$I$4:$I$503,_calc!$E$498))=0,"",INDEX('Checks'!$I$4:$I$503,_calc!$E$498)))=0,"","Contractor: "&amp;IF(LEN(INDEX('Checks'!$I$4:$I$503,_calc!$E$498))=0,"",INDEX('Checks'!$I$4:$I$503,_calc!$E$498))&amp;". ")&amp;IF(LEN(IF(LEN(INDEX('Checks'!$J$4:$J$503,_calc!$E$498))=0,"",INDEX('Checks'!$J$4:$J$503,_calc!$E$498)))=0,"","Ref: "&amp;IF(LEN(INDEX('Checks'!$J$4:$J$503,_calc!$E$498))=0,"",INDEX('Checks'!$J$4:$J$503,_calc!$E$498))&amp;". ")&amp;IF(LEN(IF(ISNUMBER(INDEX('Checks'!$K$4:$K$503,_calc!$E$498)),TEXT(INDEX('Checks'!$K$4:$K$503,_calc!$E$498),"yyyy-mm-dd"),""))=0,"","Copy to tenant: "&amp;IF(ISNUMBER(INDEX('Checks'!$K$4:$K$503,_calc!$E$498)),TEXT(INDEX('Checks'!$K$4:$K$503,_calc!$E$498),"yyyy-mm-dd"),"")&amp;". ")&amp;IF(LEN(IF(LEN(INDEX('Checks'!$P$4:$P$503,_calc!$E$498))=0,"",INDEX('Checks'!$P$4:$P$503,_calc!$E$498)))=0,"",IF(LEN(INDEX('Checks'!$P$4:$P$503,_calc!$E$498))=0,"",INDEX('Checks'!$P$4:$P$503,_calc!$E$498)))))</f>
        <v/>
      </c>
      <c r="G496" s="47">
        <f>IF(_calc!$E$498="","",IF(LEN(INDEX('Checks'!$N$4:$N$503,_calc!$E$498))=0,"",INDEX('Checks'!$N$4:$N$503,_calc!$E$498)))</f>
        <v/>
      </c>
      <c r="K496" s="47">
        <f>IF(_calc!$E$498="","",IF(LEN(INDEX('Checks'!$M$4:$M$503,_calc!$E$498))=0,"",INDEX('Checks'!$M$4:$M$503,_calc!$E$498)))</f>
        <v/>
      </c>
    </row>
    <row r="497">
      <c r="A497" s="47">
        <f>IF(_calc!$E$499="","",IF(LEN(INDEX('Checks'!$B$4:$B$503,_calc!$E$499))=0,"",INDEX('Checks'!$B$4:$B$503,_calc!$E$499))&amp;" – "&amp;IF(LEN(INDEX('Checks'!$A$4:$A$503,_calc!$E$499))=0,"",INDEX('Checks'!$A$4:$A$503,_calc!$E$499)))</f>
        <v/>
      </c>
      <c r="B497" s="47">
        <f>IF(_calc!$E$499="","",IF(ISNUMBER(INDEX('Checks'!$D$4:$D$503,_calc!$E$499)),TEXT(INDEX('Checks'!$D$4:$D$503,_calc!$E$499),"yyyy-mm-dd"),""))</f>
        <v/>
      </c>
      <c r="C497" s="47">
        <f>IF(_calc!$E$499="","",IF(LEN(INDEX('Checks'!$B$4:$B$503,_calc!$E$499))=0,"",INDEX('Checks'!$B$4:$B$503,_calc!$E$499)))</f>
        <v/>
      </c>
      <c r="D497" s="47">
        <f>IF(_calc!$E$499="","",IF(ISNUMBER(INDEX('Checks'!$C$4:$C$503,_calc!$E$499)),TEXT(INDEX('Checks'!$C$4:$C$503,_calc!$E$499),"yyyy-mm-dd"),""))</f>
        <v/>
      </c>
      <c r="E497" s="47">
        <f>IF(_calc!$E$499="","",IF(LEN(INDEX('Checks'!$L$4:$L$503,_calc!$E$499))=0,"",INDEX('Checks'!$L$4:$L$503,_calc!$E$499)))</f>
        <v/>
      </c>
      <c r="F497" s="47">
        <f>IF(_calc!$E$499="","",TRIM(IF(LEN(IF(LEN(INDEX('Checks'!$I$4:$I$503,_calc!$E$499))=0,"",INDEX('Checks'!$I$4:$I$503,_calc!$E$499)))=0,"","Contractor: "&amp;IF(LEN(INDEX('Checks'!$I$4:$I$503,_calc!$E$499))=0,"",INDEX('Checks'!$I$4:$I$503,_calc!$E$499))&amp;". ")&amp;IF(LEN(IF(LEN(INDEX('Checks'!$J$4:$J$503,_calc!$E$499))=0,"",INDEX('Checks'!$J$4:$J$503,_calc!$E$499)))=0,"","Ref: "&amp;IF(LEN(INDEX('Checks'!$J$4:$J$503,_calc!$E$499))=0,"",INDEX('Checks'!$J$4:$J$503,_calc!$E$499))&amp;". ")&amp;IF(LEN(IF(ISNUMBER(INDEX('Checks'!$K$4:$K$503,_calc!$E$499)),TEXT(INDEX('Checks'!$K$4:$K$503,_calc!$E$499),"yyyy-mm-dd"),""))=0,"","Copy to tenant: "&amp;IF(ISNUMBER(INDEX('Checks'!$K$4:$K$503,_calc!$E$499)),TEXT(INDEX('Checks'!$K$4:$K$503,_calc!$E$499),"yyyy-mm-dd"),"")&amp;". ")&amp;IF(LEN(IF(LEN(INDEX('Checks'!$P$4:$P$503,_calc!$E$499))=0,"",INDEX('Checks'!$P$4:$P$503,_calc!$E$499)))=0,"",IF(LEN(INDEX('Checks'!$P$4:$P$503,_calc!$E$499))=0,"",INDEX('Checks'!$P$4:$P$503,_calc!$E$499)))))</f>
        <v/>
      </c>
      <c r="G497" s="47">
        <f>IF(_calc!$E$499="","",IF(LEN(INDEX('Checks'!$N$4:$N$503,_calc!$E$499))=0,"",INDEX('Checks'!$N$4:$N$503,_calc!$E$499)))</f>
        <v/>
      </c>
      <c r="K497" s="47">
        <f>IF(_calc!$E$499="","",IF(LEN(INDEX('Checks'!$M$4:$M$503,_calc!$E$499))=0,"",INDEX('Checks'!$M$4:$M$503,_calc!$E$499)))</f>
        <v/>
      </c>
    </row>
    <row r="498">
      <c r="A498" s="47">
        <f>IF(_calc!$E$500="","",IF(LEN(INDEX('Checks'!$B$4:$B$503,_calc!$E$500))=0,"",INDEX('Checks'!$B$4:$B$503,_calc!$E$500))&amp;" – "&amp;IF(LEN(INDEX('Checks'!$A$4:$A$503,_calc!$E$500))=0,"",INDEX('Checks'!$A$4:$A$503,_calc!$E$500)))</f>
        <v/>
      </c>
      <c r="B498" s="47">
        <f>IF(_calc!$E$500="","",IF(ISNUMBER(INDEX('Checks'!$D$4:$D$503,_calc!$E$500)),TEXT(INDEX('Checks'!$D$4:$D$503,_calc!$E$500),"yyyy-mm-dd"),""))</f>
        <v/>
      </c>
      <c r="C498" s="47">
        <f>IF(_calc!$E$500="","",IF(LEN(INDEX('Checks'!$B$4:$B$503,_calc!$E$500))=0,"",INDEX('Checks'!$B$4:$B$503,_calc!$E$500)))</f>
        <v/>
      </c>
      <c r="D498" s="47">
        <f>IF(_calc!$E$500="","",IF(ISNUMBER(INDEX('Checks'!$C$4:$C$503,_calc!$E$500)),TEXT(INDEX('Checks'!$C$4:$C$503,_calc!$E$500),"yyyy-mm-dd"),""))</f>
        <v/>
      </c>
      <c r="E498" s="47">
        <f>IF(_calc!$E$500="","",IF(LEN(INDEX('Checks'!$L$4:$L$503,_calc!$E$500))=0,"",INDEX('Checks'!$L$4:$L$503,_calc!$E$500)))</f>
        <v/>
      </c>
      <c r="F498" s="47">
        <f>IF(_calc!$E$500="","",TRIM(IF(LEN(IF(LEN(INDEX('Checks'!$I$4:$I$503,_calc!$E$500))=0,"",INDEX('Checks'!$I$4:$I$503,_calc!$E$500)))=0,"","Contractor: "&amp;IF(LEN(INDEX('Checks'!$I$4:$I$503,_calc!$E$500))=0,"",INDEX('Checks'!$I$4:$I$503,_calc!$E$500))&amp;". ")&amp;IF(LEN(IF(LEN(INDEX('Checks'!$J$4:$J$503,_calc!$E$500))=0,"",INDEX('Checks'!$J$4:$J$503,_calc!$E$500)))=0,"","Ref: "&amp;IF(LEN(INDEX('Checks'!$J$4:$J$503,_calc!$E$500))=0,"",INDEX('Checks'!$J$4:$J$503,_calc!$E$500))&amp;". ")&amp;IF(LEN(IF(ISNUMBER(INDEX('Checks'!$K$4:$K$503,_calc!$E$500)),TEXT(INDEX('Checks'!$K$4:$K$503,_calc!$E$500),"yyyy-mm-dd"),""))=0,"","Copy to tenant: "&amp;IF(ISNUMBER(INDEX('Checks'!$K$4:$K$503,_calc!$E$500)),TEXT(INDEX('Checks'!$K$4:$K$503,_calc!$E$500),"yyyy-mm-dd"),"")&amp;". ")&amp;IF(LEN(IF(LEN(INDEX('Checks'!$P$4:$P$503,_calc!$E$500))=0,"",INDEX('Checks'!$P$4:$P$503,_calc!$E$500)))=0,"",IF(LEN(INDEX('Checks'!$P$4:$P$503,_calc!$E$500))=0,"",INDEX('Checks'!$P$4:$P$503,_calc!$E$500)))))</f>
        <v/>
      </c>
      <c r="G498" s="47">
        <f>IF(_calc!$E$500="","",IF(LEN(INDEX('Checks'!$N$4:$N$503,_calc!$E$500))=0,"",INDEX('Checks'!$N$4:$N$503,_calc!$E$500)))</f>
        <v/>
      </c>
      <c r="K498" s="47">
        <f>IF(_calc!$E$500="","",IF(LEN(INDEX('Checks'!$M$4:$M$503,_calc!$E$500))=0,"",INDEX('Checks'!$M$4:$M$503,_calc!$E$500)))</f>
        <v/>
      </c>
    </row>
    <row r="499">
      <c r="A499" s="47">
        <f>IF(_calc!$E$501="","",IF(LEN(INDEX('Checks'!$B$4:$B$503,_calc!$E$501))=0,"",INDEX('Checks'!$B$4:$B$503,_calc!$E$501))&amp;" – "&amp;IF(LEN(INDEX('Checks'!$A$4:$A$503,_calc!$E$501))=0,"",INDEX('Checks'!$A$4:$A$503,_calc!$E$501)))</f>
        <v/>
      </c>
      <c r="B499" s="47">
        <f>IF(_calc!$E$501="","",IF(ISNUMBER(INDEX('Checks'!$D$4:$D$503,_calc!$E$501)),TEXT(INDEX('Checks'!$D$4:$D$503,_calc!$E$501),"yyyy-mm-dd"),""))</f>
        <v/>
      </c>
      <c r="C499" s="47">
        <f>IF(_calc!$E$501="","",IF(LEN(INDEX('Checks'!$B$4:$B$503,_calc!$E$501))=0,"",INDEX('Checks'!$B$4:$B$503,_calc!$E$501)))</f>
        <v/>
      </c>
      <c r="D499" s="47">
        <f>IF(_calc!$E$501="","",IF(ISNUMBER(INDEX('Checks'!$C$4:$C$503,_calc!$E$501)),TEXT(INDEX('Checks'!$C$4:$C$503,_calc!$E$501),"yyyy-mm-dd"),""))</f>
        <v/>
      </c>
      <c r="E499" s="47">
        <f>IF(_calc!$E$501="","",IF(LEN(INDEX('Checks'!$L$4:$L$503,_calc!$E$501))=0,"",INDEX('Checks'!$L$4:$L$503,_calc!$E$501)))</f>
        <v/>
      </c>
      <c r="F499" s="47">
        <f>IF(_calc!$E$501="","",TRIM(IF(LEN(IF(LEN(INDEX('Checks'!$I$4:$I$503,_calc!$E$501))=0,"",INDEX('Checks'!$I$4:$I$503,_calc!$E$501)))=0,"","Contractor: "&amp;IF(LEN(INDEX('Checks'!$I$4:$I$503,_calc!$E$501))=0,"",INDEX('Checks'!$I$4:$I$503,_calc!$E$501))&amp;". ")&amp;IF(LEN(IF(LEN(INDEX('Checks'!$J$4:$J$503,_calc!$E$501))=0,"",INDEX('Checks'!$J$4:$J$503,_calc!$E$501)))=0,"","Ref: "&amp;IF(LEN(INDEX('Checks'!$J$4:$J$503,_calc!$E$501))=0,"",INDEX('Checks'!$J$4:$J$503,_calc!$E$501))&amp;". ")&amp;IF(LEN(IF(ISNUMBER(INDEX('Checks'!$K$4:$K$503,_calc!$E$501)),TEXT(INDEX('Checks'!$K$4:$K$503,_calc!$E$501),"yyyy-mm-dd"),""))=0,"","Copy to tenant: "&amp;IF(ISNUMBER(INDEX('Checks'!$K$4:$K$503,_calc!$E$501)),TEXT(INDEX('Checks'!$K$4:$K$503,_calc!$E$501),"yyyy-mm-dd"),"")&amp;". ")&amp;IF(LEN(IF(LEN(INDEX('Checks'!$P$4:$P$503,_calc!$E$501))=0,"",INDEX('Checks'!$P$4:$P$503,_calc!$E$501)))=0,"",IF(LEN(INDEX('Checks'!$P$4:$P$503,_calc!$E$501))=0,"",INDEX('Checks'!$P$4:$P$503,_calc!$E$501)))))</f>
        <v/>
      </c>
      <c r="G499" s="47">
        <f>IF(_calc!$E$501="","",IF(LEN(INDEX('Checks'!$N$4:$N$503,_calc!$E$501))=0,"",INDEX('Checks'!$N$4:$N$503,_calc!$E$501)))</f>
        <v/>
      </c>
      <c r="K499" s="47">
        <f>IF(_calc!$E$501="","",IF(LEN(INDEX('Checks'!$M$4:$M$503,_calc!$E$501))=0,"",INDEX('Checks'!$M$4:$M$503,_calc!$E$501)))</f>
        <v/>
      </c>
    </row>
    <row r="500">
      <c r="A500" s="47">
        <f>IF(_calc!$E$502="","",IF(LEN(INDEX('Checks'!$B$4:$B$503,_calc!$E$502))=0,"",INDEX('Checks'!$B$4:$B$503,_calc!$E$502))&amp;" – "&amp;IF(LEN(INDEX('Checks'!$A$4:$A$503,_calc!$E$502))=0,"",INDEX('Checks'!$A$4:$A$503,_calc!$E$502)))</f>
        <v/>
      </c>
      <c r="B500" s="47">
        <f>IF(_calc!$E$502="","",IF(ISNUMBER(INDEX('Checks'!$D$4:$D$503,_calc!$E$502)),TEXT(INDEX('Checks'!$D$4:$D$503,_calc!$E$502),"yyyy-mm-dd"),""))</f>
        <v/>
      </c>
      <c r="C500" s="47">
        <f>IF(_calc!$E$502="","",IF(LEN(INDEX('Checks'!$B$4:$B$503,_calc!$E$502))=0,"",INDEX('Checks'!$B$4:$B$503,_calc!$E$502)))</f>
        <v/>
      </c>
      <c r="D500" s="47">
        <f>IF(_calc!$E$502="","",IF(ISNUMBER(INDEX('Checks'!$C$4:$C$503,_calc!$E$502)),TEXT(INDEX('Checks'!$C$4:$C$503,_calc!$E$502),"yyyy-mm-dd"),""))</f>
        <v/>
      </c>
      <c r="E500" s="47">
        <f>IF(_calc!$E$502="","",IF(LEN(INDEX('Checks'!$L$4:$L$503,_calc!$E$502))=0,"",INDEX('Checks'!$L$4:$L$503,_calc!$E$502)))</f>
        <v/>
      </c>
      <c r="F500" s="47">
        <f>IF(_calc!$E$502="","",TRIM(IF(LEN(IF(LEN(INDEX('Checks'!$I$4:$I$503,_calc!$E$502))=0,"",INDEX('Checks'!$I$4:$I$503,_calc!$E$502)))=0,"","Contractor: "&amp;IF(LEN(INDEX('Checks'!$I$4:$I$503,_calc!$E$502))=0,"",INDEX('Checks'!$I$4:$I$503,_calc!$E$502))&amp;". ")&amp;IF(LEN(IF(LEN(INDEX('Checks'!$J$4:$J$503,_calc!$E$502))=0,"",INDEX('Checks'!$J$4:$J$503,_calc!$E$502)))=0,"","Ref: "&amp;IF(LEN(INDEX('Checks'!$J$4:$J$503,_calc!$E$502))=0,"",INDEX('Checks'!$J$4:$J$503,_calc!$E$502))&amp;". ")&amp;IF(LEN(IF(ISNUMBER(INDEX('Checks'!$K$4:$K$503,_calc!$E$502)),TEXT(INDEX('Checks'!$K$4:$K$503,_calc!$E$502),"yyyy-mm-dd"),""))=0,"","Copy to tenant: "&amp;IF(ISNUMBER(INDEX('Checks'!$K$4:$K$503,_calc!$E$502)),TEXT(INDEX('Checks'!$K$4:$K$503,_calc!$E$502),"yyyy-mm-dd"),"")&amp;". ")&amp;IF(LEN(IF(LEN(INDEX('Checks'!$P$4:$P$503,_calc!$E$502))=0,"",INDEX('Checks'!$P$4:$P$503,_calc!$E$502)))=0,"",IF(LEN(INDEX('Checks'!$P$4:$P$503,_calc!$E$502))=0,"",INDEX('Checks'!$P$4:$P$503,_calc!$E$502)))))</f>
        <v/>
      </c>
      <c r="G500" s="47">
        <f>IF(_calc!$E$502="","",IF(LEN(INDEX('Checks'!$N$4:$N$503,_calc!$E$502))=0,"",INDEX('Checks'!$N$4:$N$503,_calc!$E$502)))</f>
        <v/>
      </c>
      <c r="K500" s="47">
        <f>IF(_calc!$E$502="","",IF(LEN(INDEX('Checks'!$M$4:$M$503,_calc!$E$502))=0,"",INDEX('Checks'!$M$4:$M$503,_calc!$E$502)))</f>
        <v/>
      </c>
    </row>
    <row r="501">
      <c r="A501" s="47">
        <f>IF(_calc!$E$503="","",IF(LEN(INDEX('Checks'!$B$4:$B$503,_calc!$E$503))=0,"",INDEX('Checks'!$B$4:$B$503,_calc!$E$503))&amp;" – "&amp;IF(LEN(INDEX('Checks'!$A$4:$A$503,_calc!$E$503))=0,"",INDEX('Checks'!$A$4:$A$503,_calc!$E$503)))</f>
        <v/>
      </c>
      <c r="B501" s="47">
        <f>IF(_calc!$E$503="","",IF(ISNUMBER(INDEX('Checks'!$D$4:$D$503,_calc!$E$503)),TEXT(INDEX('Checks'!$D$4:$D$503,_calc!$E$503),"yyyy-mm-dd"),""))</f>
        <v/>
      </c>
      <c r="C501" s="47">
        <f>IF(_calc!$E$503="","",IF(LEN(INDEX('Checks'!$B$4:$B$503,_calc!$E$503))=0,"",INDEX('Checks'!$B$4:$B$503,_calc!$E$503)))</f>
        <v/>
      </c>
      <c r="D501" s="47">
        <f>IF(_calc!$E$503="","",IF(ISNUMBER(INDEX('Checks'!$C$4:$C$503,_calc!$E$503)),TEXT(INDEX('Checks'!$C$4:$C$503,_calc!$E$503),"yyyy-mm-dd"),""))</f>
        <v/>
      </c>
      <c r="E501" s="47">
        <f>IF(_calc!$E$503="","",IF(LEN(INDEX('Checks'!$L$4:$L$503,_calc!$E$503))=0,"",INDEX('Checks'!$L$4:$L$503,_calc!$E$503)))</f>
        <v/>
      </c>
      <c r="F501" s="47">
        <f>IF(_calc!$E$503="","",TRIM(IF(LEN(IF(LEN(INDEX('Checks'!$I$4:$I$503,_calc!$E$503))=0,"",INDEX('Checks'!$I$4:$I$503,_calc!$E$503)))=0,"","Contractor: "&amp;IF(LEN(INDEX('Checks'!$I$4:$I$503,_calc!$E$503))=0,"",INDEX('Checks'!$I$4:$I$503,_calc!$E$503))&amp;". ")&amp;IF(LEN(IF(LEN(INDEX('Checks'!$J$4:$J$503,_calc!$E$503))=0,"",INDEX('Checks'!$J$4:$J$503,_calc!$E$503)))=0,"","Ref: "&amp;IF(LEN(INDEX('Checks'!$J$4:$J$503,_calc!$E$503))=0,"",INDEX('Checks'!$J$4:$J$503,_calc!$E$503))&amp;". ")&amp;IF(LEN(IF(ISNUMBER(INDEX('Checks'!$K$4:$K$503,_calc!$E$503)),TEXT(INDEX('Checks'!$K$4:$K$503,_calc!$E$503),"yyyy-mm-dd"),""))=0,"","Copy to tenant: "&amp;IF(ISNUMBER(INDEX('Checks'!$K$4:$K$503,_calc!$E$503)),TEXT(INDEX('Checks'!$K$4:$K$503,_calc!$E$503),"yyyy-mm-dd"),"")&amp;". ")&amp;IF(LEN(IF(LEN(INDEX('Checks'!$P$4:$P$503,_calc!$E$503))=0,"",INDEX('Checks'!$P$4:$P$503,_calc!$E$503)))=0,"",IF(LEN(INDEX('Checks'!$P$4:$P$503,_calc!$E$503))=0,"",INDEX('Checks'!$P$4:$P$503,_calc!$E$503)))))</f>
        <v/>
      </c>
      <c r="G501" s="47">
        <f>IF(_calc!$E$503="","",IF(LEN(INDEX('Checks'!$N$4:$N$503,_calc!$E$503))=0,"",INDEX('Checks'!$N$4:$N$503,_calc!$E$503)))</f>
        <v/>
      </c>
      <c r="K501" s="47">
        <f>IF(_calc!$E$503="","",IF(LEN(INDEX('Checks'!$M$4:$M$503,_calc!$E$503))=0,"",INDEX('Checks'!$M$4:$M$503,_calc!$E$503)))</f>
        <v/>
      </c>
    </row>
  </sheetData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52" customWidth="1" min="2" max="2"/>
    <col width="16" customWidth="1" min="4" max="4"/>
    <col width="50" customWidth="1" min="6" max="6"/>
  </cols>
  <sheetData>
    <row r="1">
      <c r="A1" s="13" t="inlineStr">
        <is>
          <t>Check</t>
        </is>
      </c>
      <c r="B1" s="13" t="inlineStr">
        <is>
          <t>Guide (expiryedge.com)</t>
        </is>
      </c>
      <c r="D1" s="13" t="inlineStr">
        <is>
          <t>Priority</t>
        </is>
      </c>
      <c r="F1" s="48" t="inlineStr">
        <is>
          <t>About these lists</t>
        </is>
      </c>
    </row>
    <row r="2">
      <c r="A2" s="47" t="inlineStr">
        <is>
          <t>Gas safety record</t>
        </is>
      </c>
      <c r="B2" s="3" t="inlineStr">
        <is>
          <t>https://expiryedge.com/validity/gas-safety-certificate/</t>
        </is>
      </c>
      <c r="D2" s="47" t="inlineStr">
        <is>
          <t>Low</t>
        </is>
      </c>
      <c r="F2" s="49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47" t="inlineStr">
        <is>
          <t>EICR (electrical)</t>
        </is>
      </c>
      <c r="B3" s="3" t="inlineStr">
        <is>
          <t>https://expiryedge.com/validity/eicr/</t>
        </is>
      </c>
      <c r="D3" s="47" t="inlineStr">
        <is>
          <t>Medium</t>
        </is>
      </c>
    </row>
    <row r="4">
      <c r="A4" s="47" t="inlineStr">
        <is>
          <t>EPC</t>
        </is>
      </c>
      <c r="B4" s="3" t="inlineStr">
        <is>
          <t>https://expiryedge.com/validity/epc/</t>
        </is>
      </c>
      <c r="D4" s="47" t="inlineStr">
        <is>
          <t>High</t>
        </is>
      </c>
    </row>
    <row r="5">
      <c r="A5" s="47" t="inlineStr">
        <is>
          <t>Smoke &amp; CO alarm check</t>
        </is>
      </c>
      <c r="B5" s="3" t="inlineStr">
        <is>
          <t>https://expiryedge.com/validity/smoke-and-co-alarms/</t>
        </is>
      </c>
    </row>
    <row r="6">
      <c r="A6" s="47" t="inlineStr">
        <is>
          <t>HMO licence</t>
        </is>
      </c>
      <c r="B6" s="3" t="inlineStr">
        <is>
          <t>https://expiryedge.com/validity/hmo-licence/</t>
        </is>
      </c>
    </row>
    <row r="7">
      <c r="A7" s="47" t="inlineStr">
        <is>
          <t>Legionella risk assessment</t>
        </is>
      </c>
      <c r="B7" s="3" t="inlineStr">
        <is>
          <t>https://expiryedge.com/validity/legionella-risk-assessment/</t>
        </is>
      </c>
    </row>
    <row r="8">
      <c r="A8" s="47" t="inlineStr">
        <is>
          <t>Fire risk assessment</t>
        </is>
      </c>
      <c r="B8" s="3" t="inlineStr">
        <is>
          <t>https://expiryedge.com/validity/fire-risk-assessment/</t>
        </is>
      </c>
    </row>
    <row r="9">
      <c r="A9" s="47" t="inlineStr">
        <is>
          <t>Selective / additional licence</t>
        </is>
      </c>
      <c r="B9" s="3" t="inlineStr"/>
    </row>
    <row r="10">
      <c r="A10" s="47" t="inlineStr">
        <is>
          <t>PAT testing</t>
        </is>
      </c>
      <c r="B10" s="3" t="inlineStr">
        <is>
          <t>https://expiryedge.com/validity/pat-testing/</t>
        </is>
      </c>
    </row>
    <row r="11">
      <c r="A11" s="47" t="inlineStr">
        <is>
          <t>Landlord insurance</t>
        </is>
      </c>
      <c r="B11" s="3" t="inlineStr"/>
    </row>
    <row r="12">
      <c r="A12" s="47" t="inlineStr">
        <is>
          <t>Other</t>
        </is>
      </c>
      <c r="B12" s="3" t="inlineStr"/>
    </row>
  </sheetData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3:E5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</row>
    <row r="4">
      <c r="A4">
        <f>IF(AND(LEN('Checks'!A4)&gt;0,ISNUMBER('Checks'!D4)),'Checks'!D4+1/100000,"")</f>
        <v/>
      </c>
      <c r="B4">
        <f>IF(AND(LEN('Checks'!A4)&gt;0,ISNUMBER('Checks'!D4)),MAX($B$3:B3)+1,"")</f>
        <v/>
      </c>
      <c r="C4">
        <f>IFERROR(SMALL($A$4:$A$503,1),"")</f>
        <v/>
      </c>
      <c r="D4">
        <f>IF(C4="","",MATCH(C4,$A$4:$A$503,0))</f>
        <v/>
      </c>
      <c r="E4">
        <f>IFERROR(MATCH(1,$B$4:$B$503,0),"")</f>
        <v/>
      </c>
    </row>
    <row r="5">
      <c r="A5">
        <f>IF(AND(LEN('Checks'!A5)&gt;0,ISNUMBER('Checks'!D5)),'Checks'!D5+2/100000,"")</f>
        <v/>
      </c>
      <c r="B5">
        <f>IF(AND(LEN('Checks'!A5)&gt;0,ISNUMBER('Checks'!D5)),MAX($B$3:B4)+1,"")</f>
        <v/>
      </c>
      <c r="C5">
        <f>IFERROR(SMALL($A$4:$A$503,2),"")</f>
        <v/>
      </c>
      <c r="D5">
        <f>IF(C5="","",MATCH(C5,$A$4:$A$503,0))</f>
        <v/>
      </c>
      <c r="E5">
        <f>IFERROR(MATCH(2,$B$4:$B$503,0),"")</f>
        <v/>
      </c>
    </row>
    <row r="6">
      <c r="A6">
        <f>IF(AND(LEN('Checks'!A6)&gt;0,ISNUMBER('Checks'!D6)),'Checks'!D6+3/100000,"")</f>
        <v/>
      </c>
      <c r="B6">
        <f>IF(AND(LEN('Checks'!A6)&gt;0,ISNUMBER('Checks'!D6)),MAX($B$3:B5)+1,"")</f>
        <v/>
      </c>
      <c r="C6">
        <f>IFERROR(SMALL($A$4:$A$503,3),"")</f>
        <v/>
      </c>
      <c r="D6">
        <f>IF(C6="","",MATCH(C6,$A$4:$A$503,0))</f>
        <v/>
      </c>
      <c r="E6">
        <f>IFERROR(MATCH(3,$B$4:$B$503,0),"")</f>
        <v/>
      </c>
    </row>
    <row r="7">
      <c r="A7">
        <f>IF(AND(LEN('Checks'!A7)&gt;0,ISNUMBER('Checks'!D7)),'Checks'!D7+4/100000,"")</f>
        <v/>
      </c>
      <c r="B7">
        <f>IF(AND(LEN('Checks'!A7)&gt;0,ISNUMBER('Checks'!D7)),MAX($B$3:B6)+1,"")</f>
        <v/>
      </c>
      <c r="C7">
        <f>IFERROR(SMALL($A$4:$A$503,4),"")</f>
        <v/>
      </c>
      <c r="D7">
        <f>IF(C7="","",MATCH(C7,$A$4:$A$503,0))</f>
        <v/>
      </c>
      <c r="E7">
        <f>IFERROR(MATCH(4,$B$4:$B$503,0),"")</f>
        <v/>
      </c>
    </row>
    <row r="8">
      <c r="A8">
        <f>IF(AND(LEN('Checks'!A8)&gt;0,ISNUMBER('Checks'!D8)),'Checks'!D8+5/100000,"")</f>
        <v/>
      </c>
      <c r="B8">
        <f>IF(AND(LEN('Checks'!A8)&gt;0,ISNUMBER('Checks'!D8)),MAX($B$3:B7)+1,"")</f>
        <v/>
      </c>
      <c r="C8">
        <f>IFERROR(SMALL($A$4:$A$503,5),"")</f>
        <v/>
      </c>
      <c r="D8">
        <f>IF(C8="","",MATCH(C8,$A$4:$A$503,0))</f>
        <v/>
      </c>
      <c r="E8">
        <f>IFERROR(MATCH(5,$B$4:$B$503,0),"")</f>
        <v/>
      </c>
    </row>
    <row r="9">
      <c r="A9">
        <f>IF(AND(LEN('Checks'!A9)&gt;0,ISNUMBER('Checks'!D9)),'Checks'!D9+6/100000,"")</f>
        <v/>
      </c>
      <c r="B9">
        <f>IF(AND(LEN('Checks'!A9)&gt;0,ISNUMBER('Checks'!D9)),MAX($B$3:B8)+1,"")</f>
        <v/>
      </c>
      <c r="C9">
        <f>IFERROR(SMALL($A$4:$A$503,6),"")</f>
        <v/>
      </c>
      <c r="D9">
        <f>IF(C9="","",MATCH(C9,$A$4:$A$503,0))</f>
        <v/>
      </c>
      <c r="E9">
        <f>IFERROR(MATCH(6,$B$4:$B$503,0),"")</f>
        <v/>
      </c>
    </row>
    <row r="10">
      <c r="A10">
        <f>IF(AND(LEN('Checks'!A10)&gt;0,ISNUMBER('Checks'!D10)),'Checks'!D10+7/100000,"")</f>
        <v/>
      </c>
      <c r="B10">
        <f>IF(AND(LEN('Checks'!A10)&gt;0,ISNUMBER('Checks'!D10)),MAX($B$3:B9)+1,"")</f>
        <v/>
      </c>
      <c r="C10">
        <f>IFERROR(SMALL($A$4:$A$503,7),"")</f>
        <v/>
      </c>
      <c r="D10">
        <f>IF(C10="","",MATCH(C10,$A$4:$A$503,0))</f>
        <v/>
      </c>
      <c r="E10">
        <f>IFERROR(MATCH(7,$B$4:$B$503,0),"")</f>
        <v/>
      </c>
    </row>
    <row r="11">
      <c r="A11">
        <f>IF(AND(LEN('Checks'!A11)&gt;0,ISNUMBER('Checks'!D11)),'Checks'!D11+8/100000,"")</f>
        <v/>
      </c>
      <c r="B11">
        <f>IF(AND(LEN('Checks'!A11)&gt;0,ISNUMBER('Checks'!D11)),MAX($B$3:B10)+1,"")</f>
        <v/>
      </c>
      <c r="C11">
        <f>IFERROR(SMALL($A$4:$A$503,8),"")</f>
        <v/>
      </c>
      <c r="D11">
        <f>IF(C11="","",MATCH(C11,$A$4:$A$503,0))</f>
        <v/>
      </c>
      <c r="E11">
        <f>IFERROR(MATCH(8,$B$4:$B$503,0),"")</f>
        <v/>
      </c>
    </row>
    <row r="12">
      <c r="A12">
        <f>IF(AND(LEN('Checks'!A12)&gt;0,ISNUMBER('Checks'!D12)),'Checks'!D12+9/100000,"")</f>
        <v/>
      </c>
      <c r="B12">
        <f>IF(AND(LEN('Checks'!A12)&gt;0,ISNUMBER('Checks'!D12)),MAX($B$3:B11)+1,"")</f>
        <v/>
      </c>
      <c r="C12">
        <f>IFERROR(SMALL($A$4:$A$503,9),"")</f>
        <v/>
      </c>
      <c r="D12">
        <f>IF(C12="","",MATCH(C12,$A$4:$A$503,0))</f>
        <v/>
      </c>
      <c r="E12">
        <f>IFERROR(MATCH(9,$B$4:$B$503,0),"")</f>
        <v/>
      </c>
    </row>
    <row r="13">
      <c r="A13">
        <f>IF(AND(LEN('Checks'!A13)&gt;0,ISNUMBER('Checks'!D13)),'Checks'!D13+10/100000,"")</f>
        <v/>
      </c>
      <c r="B13">
        <f>IF(AND(LEN('Checks'!A13)&gt;0,ISNUMBER('Checks'!D13)),MAX($B$3:B12)+1,"")</f>
        <v/>
      </c>
      <c r="C13">
        <f>IFERROR(SMALL($A$4:$A$503,10),"")</f>
        <v/>
      </c>
      <c r="D13">
        <f>IF(C13="","",MATCH(C13,$A$4:$A$503,0))</f>
        <v/>
      </c>
      <c r="E13">
        <f>IFERROR(MATCH(10,$B$4:$B$503,0),"")</f>
        <v/>
      </c>
    </row>
    <row r="14">
      <c r="A14">
        <f>IF(AND(LEN('Checks'!A14)&gt;0,ISNUMBER('Checks'!D14)),'Checks'!D14+11/100000,"")</f>
        <v/>
      </c>
      <c r="B14">
        <f>IF(AND(LEN('Checks'!A14)&gt;0,ISNUMBER('Checks'!D14)),MAX($B$3:B13)+1,"")</f>
        <v/>
      </c>
      <c r="E14">
        <f>IFERROR(MATCH(11,$B$4:$B$503,0),"")</f>
        <v/>
      </c>
    </row>
    <row r="15">
      <c r="A15">
        <f>IF(AND(LEN('Checks'!A15)&gt;0,ISNUMBER('Checks'!D15)),'Checks'!D15+12/100000,"")</f>
        <v/>
      </c>
      <c r="B15">
        <f>IF(AND(LEN('Checks'!A15)&gt;0,ISNUMBER('Checks'!D15)),MAX($B$3:B14)+1,"")</f>
        <v/>
      </c>
      <c r="E15">
        <f>IFERROR(MATCH(12,$B$4:$B$503,0),"")</f>
        <v/>
      </c>
    </row>
    <row r="16">
      <c r="A16">
        <f>IF(AND(LEN('Checks'!A16)&gt;0,ISNUMBER('Checks'!D16)),'Checks'!D16+13/100000,"")</f>
        <v/>
      </c>
      <c r="B16">
        <f>IF(AND(LEN('Checks'!A16)&gt;0,ISNUMBER('Checks'!D16)),MAX($B$3:B15)+1,"")</f>
        <v/>
      </c>
      <c r="E16">
        <f>IFERROR(MATCH(13,$B$4:$B$503,0),"")</f>
        <v/>
      </c>
    </row>
    <row r="17">
      <c r="A17">
        <f>IF(AND(LEN('Checks'!A17)&gt;0,ISNUMBER('Checks'!D17)),'Checks'!D17+14/100000,"")</f>
        <v/>
      </c>
      <c r="B17">
        <f>IF(AND(LEN('Checks'!A17)&gt;0,ISNUMBER('Checks'!D17)),MAX($B$3:B16)+1,"")</f>
        <v/>
      </c>
      <c r="E17">
        <f>IFERROR(MATCH(14,$B$4:$B$503,0),"")</f>
        <v/>
      </c>
    </row>
    <row r="18">
      <c r="A18">
        <f>IF(AND(LEN('Checks'!A18)&gt;0,ISNUMBER('Checks'!D18)),'Checks'!D18+15/100000,"")</f>
        <v/>
      </c>
      <c r="B18">
        <f>IF(AND(LEN('Checks'!A18)&gt;0,ISNUMBER('Checks'!D18)),MAX($B$3:B17)+1,"")</f>
        <v/>
      </c>
      <c r="E18">
        <f>IFERROR(MATCH(15,$B$4:$B$503,0),"")</f>
        <v/>
      </c>
    </row>
    <row r="19">
      <c r="A19">
        <f>IF(AND(LEN('Checks'!A19)&gt;0,ISNUMBER('Checks'!D19)),'Checks'!D19+16/100000,"")</f>
        <v/>
      </c>
      <c r="B19">
        <f>IF(AND(LEN('Checks'!A19)&gt;0,ISNUMBER('Checks'!D19)),MAX($B$3:B18)+1,"")</f>
        <v/>
      </c>
      <c r="E19">
        <f>IFERROR(MATCH(16,$B$4:$B$503,0),"")</f>
        <v/>
      </c>
    </row>
    <row r="20">
      <c r="A20">
        <f>IF(AND(LEN('Checks'!A20)&gt;0,ISNUMBER('Checks'!D20)),'Checks'!D20+17/100000,"")</f>
        <v/>
      </c>
      <c r="B20">
        <f>IF(AND(LEN('Checks'!A20)&gt;0,ISNUMBER('Checks'!D20)),MAX($B$3:B19)+1,"")</f>
        <v/>
      </c>
      <c r="E20">
        <f>IFERROR(MATCH(17,$B$4:$B$503,0),"")</f>
        <v/>
      </c>
    </row>
    <row r="21">
      <c r="A21">
        <f>IF(AND(LEN('Checks'!A21)&gt;0,ISNUMBER('Checks'!D21)),'Checks'!D21+18/100000,"")</f>
        <v/>
      </c>
      <c r="B21">
        <f>IF(AND(LEN('Checks'!A21)&gt;0,ISNUMBER('Checks'!D21)),MAX($B$3:B20)+1,"")</f>
        <v/>
      </c>
      <c r="E21">
        <f>IFERROR(MATCH(18,$B$4:$B$503,0),"")</f>
        <v/>
      </c>
    </row>
    <row r="22">
      <c r="A22">
        <f>IF(AND(LEN('Checks'!A22)&gt;0,ISNUMBER('Checks'!D22)),'Checks'!D22+19/100000,"")</f>
        <v/>
      </c>
      <c r="B22">
        <f>IF(AND(LEN('Checks'!A22)&gt;0,ISNUMBER('Checks'!D22)),MAX($B$3:B21)+1,"")</f>
        <v/>
      </c>
      <c r="E22">
        <f>IFERROR(MATCH(19,$B$4:$B$503,0),"")</f>
        <v/>
      </c>
    </row>
    <row r="23">
      <c r="A23">
        <f>IF(AND(LEN('Checks'!A23)&gt;0,ISNUMBER('Checks'!D23)),'Checks'!D23+20/100000,"")</f>
        <v/>
      </c>
      <c r="B23">
        <f>IF(AND(LEN('Checks'!A23)&gt;0,ISNUMBER('Checks'!D23)),MAX($B$3:B22)+1,"")</f>
        <v/>
      </c>
      <c r="E23">
        <f>IFERROR(MATCH(20,$B$4:$B$503,0),"")</f>
        <v/>
      </c>
    </row>
    <row r="24">
      <c r="A24">
        <f>IF(AND(LEN('Checks'!A24)&gt;0,ISNUMBER('Checks'!D24)),'Checks'!D24+21/100000,"")</f>
        <v/>
      </c>
      <c r="B24">
        <f>IF(AND(LEN('Checks'!A24)&gt;0,ISNUMBER('Checks'!D24)),MAX($B$3:B23)+1,"")</f>
        <v/>
      </c>
      <c r="E24">
        <f>IFERROR(MATCH(21,$B$4:$B$503,0),"")</f>
        <v/>
      </c>
    </row>
    <row r="25">
      <c r="A25">
        <f>IF(AND(LEN('Checks'!A25)&gt;0,ISNUMBER('Checks'!D25)),'Checks'!D25+22/100000,"")</f>
        <v/>
      </c>
      <c r="B25">
        <f>IF(AND(LEN('Checks'!A25)&gt;0,ISNUMBER('Checks'!D25)),MAX($B$3:B24)+1,"")</f>
        <v/>
      </c>
      <c r="E25">
        <f>IFERROR(MATCH(22,$B$4:$B$503,0),"")</f>
        <v/>
      </c>
    </row>
    <row r="26">
      <c r="A26">
        <f>IF(AND(LEN('Checks'!A26)&gt;0,ISNUMBER('Checks'!D26)),'Checks'!D26+23/100000,"")</f>
        <v/>
      </c>
      <c r="B26">
        <f>IF(AND(LEN('Checks'!A26)&gt;0,ISNUMBER('Checks'!D26)),MAX($B$3:B25)+1,"")</f>
        <v/>
      </c>
      <c r="E26">
        <f>IFERROR(MATCH(23,$B$4:$B$503,0),"")</f>
        <v/>
      </c>
    </row>
    <row r="27">
      <c r="A27">
        <f>IF(AND(LEN('Checks'!A27)&gt;0,ISNUMBER('Checks'!D27)),'Checks'!D27+24/100000,"")</f>
        <v/>
      </c>
      <c r="B27">
        <f>IF(AND(LEN('Checks'!A27)&gt;0,ISNUMBER('Checks'!D27)),MAX($B$3:B26)+1,"")</f>
        <v/>
      </c>
      <c r="E27">
        <f>IFERROR(MATCH(24,$B$4:$B$503,0),"")</f>
        <v/>
      </c>
    </row>
    <row r="28">
      <c r="A28">
        <f>IF(AND(LEN('Checks'!A28)&gt;0,ISNUMBER('Checks'!D28)),'Checks'!D28+25/100000,"")</f>
        <v/>
      </c>
      <c r="B28">
        <f>IF(AND(LEN('Checks'!A28)&gt;0,ISNUMBER('Checks'!D28)),MAX($B$3:B27)+1,"")</f>
        <v/>
      </c>
      <c r="E28">
        <f>IFERROR(MATCH(25,$B$4:$B$503,0),"")</f>
        <v/>
      </c>
    </row>
    <row r="29">
      <c r="A29">
        <f>IF(AND(LEN('Checks'!A29)&gt;0,ISNUMBER('Checks'!D29)),'Checks'!D29+26/100000,"")</f>
        <v/>
      </c>
      <c r="B29">
        <f>IF(AND(LEN('Checks'!A29)&gt;0,ISNUMBER('Checks'!D29)),MAX($B$3:B28)+1,"")</f>
        <v/>
      </c>
      <c r="E29">
        <f>IFERROR(MATCH(26,$B$4:$B$503,0),"")</f>
        <v/>
      </c>
    </row>
    <row r="30">
      <c r="A30">
        <f>IF(AND(LEN('Checks'!A30)&gt;0,ISNUMBER('Checks'!D30)),'Checks'!D30+27/100000,"")</f>
        <v/>
      </c>
      <c r="B30">
        <f>IF(AND(LEN('Checks'!A30)&gt;0,ISNUMBER('Checks'!D30)),MAX($B$3:B29)+1,"")</f>
        <v/>
      </c>
      <c r="E30">
        <f>IFERROR(MATCH(27,$B$4:$B$503,0),"")</f>
        <v/>
      </c>
    </row>
    <row r="31">
      <c r="A31">
        <f>IF(AND(LEN('Checks'!A31)&gt;0,ISNUMBER('Checks'!D31)),'Checks'!D31+28/100000,"")</f>
        <v/>
      </c>
      <c r="B31">
        <f>IF(AND(LEN('Checks'!A31)&gt;0,ISNUMBER('Checks'!D31)),MAX($B$3:B30)+1,"")</f>
        <v/>
      </c>
      <c r="E31">
        <f>IFERROR(MATCH(28,$B$4:$B$503,0),"")</f>
        <v/>
      </c>
    </row>
    <row r="32">
      <c r="A32">
        <f>IF(AND(LEN('Checks'!A32)&gt;0,ISNUMBER('Checks'!D32)),'Checks'!D32+29/100000,"")</f>
        <v/>
      </c>
      <c r="B32">
        <f>IF(AND(LEN('Checks'!A32)&gt;0,ISNUMBER('Checks'!D32)),MAX($B$3:B31)+1,"")</f>
        <v/>
      </c>
      <c r="E32">
        <f>IFERROR(MATCH(29,$B$4:$B$503,0),"")</f>
        <v/>
      </c>
    </row>
    <row r="33">
      <c r="A33">
        <f>IF(AND(LEN('Checks'!A33)&gt;0,ISNUMBER('Checks'!D33)),'Checks'!D33+30/100000,"")</f>
        <v/>
      </c>
      <c r="B33">
        <f>IF(AND(LEN('Checks'!A33)&gt;0,ISNUMBER('Checks'!D33)),MAX($B$3:B32)+1,"")</f>
        <v/>
      </c>
      <c r="E33">
        <f>IFERROR(MATCH(30,$B$4:$B$503,0),"")</f>
        <v/>
      </c>
    </row>
    <row r="34">
      <c r="A34">
        <f>IF(AND(LEN('Checks'!A34)&gt;0,ISNUMBER('Checks'!D34)),'Checks'!D34+31/100000,"")</f>
        <v/>
      </c>
      <c r="B34">
        <f>IF(AND(LEN('Checks'!A34)&gt;0,ISNUMBER('Checks'!D34)),MAX($B$3:B33)+1,"")</f>
        <v/>
      </c>
      <c r="E34">
        <f>IFERROR(MATCH(31,$B$4:$B$503,0),"")</f>
        <v/>
      </c>
    </row>
    <row r="35">
      <c r="A35">
        <f>IF(AND(LEN('Checks'!A35)&gt;0,ISNUMBER('Checks'!D35)),'Checks'!D35+32/100000,"")</f>
        <v/>
      </c>
      <c r="B35">
        <f>IF(AND(LEN('Checks'!A35)&gt;0,ISNUMBER('Checks'!D35)),MAX($B$3:B34)+1,"")</f>
        <v/>
      </c>
      <c r="E35">
        <f>IFERROR(MATCH(32,$B$4:$B$503,0),"")</f>
        <v/>
      </c>
    </row>
    <row r="36">
      <c r="A36">
        <f>IF(AND(LEN('Checks'!A36)&gt;0,ISNUMBER('Checks'!D36)),'Checks'!D36+33/100000,"")</f>
        <v/>
      </c>
      <c r="B36">
        <f>IF(AND(LEN('Checks'!A36)&gt;0,ISNUMBER('Checks'!D36)),MAX($B$3:B35)+1,"")</f>
        <v/>
      </c>
      <c r="E36">
        <f>IFERROR(MATCH(33,$B$4:$B$503,0),"")</f>
        <v/>
      </c>
    </row>
    <row r="37">
      <c r="A37">
        <f>IF(AND(LEN('Checks'!A37)&gt;0,ISNUMBER('Checks'!D37)),'Checks'!D37+34/100000,"")</f>
        <v/>
      </c>
      <c r="B37">
        <f>IF(AND(LEN('Checks'!A37)&gt;0,ISNUMBER('Checks'!D37)),MAX($B$3:B36)+1,"")</f>
        <v/>
      </c>
      <c r="E37">
        <f>IFERROR(MATCH(34,$B$4:$B$503,0),"")</f>
        <v/>
      </c>
    </row>
    <row r="38">
      <c r="A38">
        <f>IF(AND(LEN('Checks'!A38)&gt;0,ISNUMBER('Checks'!D38)),'Checks'!D38+35/100000,"")</f>
        <v/>
      </c>
      <c r="B38">
        <f>IF(AND(LEN('Checks'!A38)&gt;0,ISNUMBER('Checks'!D38)),MAX($B$3:B37)+1,"")</f>
        <v/>
      </c>
      <c r="E38">
        <f>IFERROR(MATCH(35,$B$4:$B$503,0),"")</f>
        <v/>
      </c>
    </row>
    <row r="39">
      <c r="A39">
        <f>IF(AND(LEN('Checks'!A39)&gt;0,ISNUMBER('Checks'!D39)),'Checks'!D39+36/100000,"")</f>
        <v/>
      </c>
      <c r="B39">
        <f>IF(AND(LEN('Checks'!A39)&gt;0,ISNUMBER('Checks'!D39)),MAX($B$3:B38)+1,"")</f>
        <v/>
      </c>
      <c r="E39">
        <f>IFERROR(MATCH(36,$B$4:$B$503,0),"")</f>
        <v/>
      </c>
    </row>
    <row r="40">
      <c r="A40">
        <f>IF(AND(LEN('Checks'!A40)&gt;0,ISNUMBER('Checks'!D40)),'Checks'!D40+37/100000,"")</f>
        <v/>
      </c>
      <c r="B40">
        <f>IF(AND(LEN('Checks'!A40)&gt;0,ISNUMBER('Checks'!D40)),MAX($B$3:B39)+1,"")</f>
        <v/>
      </c>
      <c r="E40">
        <f>IFERROR(MATCH(37,$B$4:$B$503,0),"")</f>
        <v/>
      </c>
    </row>
    <row r="41">
      <c r="A41">
        <f>IF(AND(LEN('Checks'!A41)&gt;0,ISNUMBER('Checks'!D41)),'Checks'!D41+38/100000,"")</f>
        <v/>
      </c>
      <c r="B41">
        <f>IF(AND(LEN('Checks'!A41)&gt;0,ISNUMBER('Checks'!D41)),MAX($B$3:B40)+1,"")</f>
        <v/>
      </c>
      <c r="E41">
        <f>IFERROR(MATCH(38,$B$4:$B$503,0),"")</f>
        <v/>
      </c>
    </row>
    <row r="42">
      <c r="A42">
        <f>IF(AND(LEN('Checks'!A42)&gt;0,ISNUMBER('Checks'!D42)),'Checks'!D42+39/100000,"")</f>
        <v/>
      </c>
      <c r="B42">
        <f>IF(AND(LEN('Checks'!A42)&gt;0,ISNUMBER('Checks'!D42)),MAX($B$3:B41)+1,"")</f>
        <v/>
      </c>
      <c r="E42">
        <f>IFERROR(MATCH(39,$B$4:$B$503,0),"")</f>
        <v/>
      </c>
    </row>
    <row r="43">
      <c r="A43">
        <f>IF(AND(LEN('Checks'!A43)&gt;0,ISNUMBER('Checks'!D43)),'Checks'!D43+40/100000,"")</f>
        <v/>
      </c>
      <c r="B43">
        <f>IF(AND(LEN('Checks'!A43)&gt;0,ISNUMBER('Checks'!D43)),MAX($B$3:B42)+1,"")</f>
        <v/>
      </c>
      <c r="E43">
        <f>IFERROR(MATCH(40,$B$4:$B$503,0),"")</f>
        <v/>
      </c>
    </row>
    <row r="44">
      <c r="A44">
        <f>IF(AND(LEN('Checks'!A44)&gt;0,ISNUMBER('Checks'!D44)),'Checks'!D44+41/100000,"")</f>
        <v/>
      </c>
      <c r="B44">
        <f>IF(AND(LEN('Checks'!A44)&gt;0,ISNUMBER('Checks'!D44)),MAX($B$3:B43)+1,"")</f>
        <v/>
      </c>
      <c r="E44">
        <f>IFERROR(MATCH(41,$B$4:$B$503,0),"")</f>
        <v/>
      </c>
    </row>
    <row r="45">
      <c r="A45">
        <f>IF(AND(LEN('Checks'!A45)&gt;0,ISNUMBER('Checks'!D45)),'Checks'!D45+42/100000,"")</f>
        <v/>
      </c>
      <c r="B45">
        <f>IF(AND(LEN('Checks'!A45)&gt;0,ISNUMBER('Checks'!D45)),MAX($B$3:B44)+1,"")</f>
        <v/>
      </c>
      <c r="E45">
        <f>IFERROR(MATCH(42,$B$4:$B$503,0),"")</f>
        <v/>
      </c>
    </row>
    <row r="46">
      <c r="A46">
        <f>IF(AND(LEN('Checks'!A46)&gt;0,ISNUMBER('Checks'!D46)),'Checks'!D46+43/100000,"")</f>
        <v/>
      </c>
      <c r="B46">
        <f>IF(AND(LEN('Checks'!A46)&gt;0,ISNUMBER('Checks'!D46)),MAX($B$3:B45)+1,"")</f>
        <v/>
      </c>
      <c r="E46">
        <f>IFERROR(MATCH(43,$B$4:$B$503,0),"")</f>
        <v/>
      </c>
    </row>
    <row r="47">
      <c r="A47">
        <f>IF(AND(LEN('Checks'!A47)&gt;0,ISNUMBER('Checks'!D47)),'Checks'!D47+44/100000,"")</f>
        <v/>
      </c>
      <c r="B47">
        <f>IF(AND(LEN('Checks'!A47)&gt;0,ISNUMBER('Checks'!D47)),MAX($B$3:B46)+1,"")</f>
        <v/>
      </c>
      <c r="E47">
        <f>IFERROR(MATCH(44,$B$4:$B$503,0),"")</f>
        <v/>
      </c>
    </row>
    <row r="48">
      <c r="A48">
        <f>IF(AND(LEN('Checks'!A48)&gt;0,ISNUMBER('Checks'!D48)),'Checks'!D48+45/100000,"")</f>
        <v/>
      </c>
      <c r="B48">
        <f>IF(AND(LEN('Checks'!A48)&gt;0,ISNUMBER('Checks'!D48)),MAX($B$3:B47)+1,"")</f>
        <v/>
      </c>
      <c r="E48">
        <f>IFERROR(MATCH(45,$B$4:$B$503,0),"")</f>
        <v/>
      </c>
    </row>
    <row r="49">
      <c r="A49">
        <f>IF(AND(LEN('Checks'!A49)&gt;0,ISNUMBER('Checks'!D49)),'Checks'!D49+46/100000,"")</f>
        <v/>
      </c>
      <c r="B49">
        <f>IF(AND(LEN('Checks'!A49)&gt;0,ISNUMBER('Checks'!D49)),MAX($B$3:B48)+1,"")</f>
        <v/>
      </c>
      <c r="E49">
        <f>IFERROR(MATCH(46,$B$4:$B$503,0),"")</f>
        <v/>
      </c>
    </row>
    <row r="50">
      <c r="A50">
        <f>IF(AND(LEN('Checks'!A50)&gt;0,ISNUMBER('Checks'!D50)),'Checks'!D50+47/100000,"")</f>
        <v/>
      </c>
      <c r="B50">
        <f>IF(AND(LEN('Checks'!A50)&gt;0,ISNUMBER('Checks'!D50)),MAX($B$3:B49)+1,"")</f>
        <v/>
      </c>
      <c r="E50">
        <f>IFERROR(MATCH(47,$B$4:$B$503,0),"")</f>
        <v/>
      </c>
    </row>
    <row r="51">
      <c r="A51">
        <f>IF(AND(LEN('Checks'!A51)&gt;0,ISNUMBER('Checks'!D51)),'Checks'!D51+48/100000,"")</f>
        <v/>
      </c>
      <c r="B51">
        <f>IF(AND(LEN('Checks'!A51)&gt;0,ISNUMBER('Checks'!D51)),MAX($B$3:B50)+1,"")</f>
        <v/>
      </c>
      <c r="E51">
        <f>IFERROR(MATCH(48,$B$4:$B$503,0),"")</f>
        <v/>
      </c>
    </row>
    <row r="52">
      <c r="A52">
        <f>IF(AND(LEN('Checks'!A52)&gt;0,ISNUMBER('Checks'!D52)),'Checks'!D52+49/100000,"")</f>
        <v/>
      </c>
      <c r="B52">
        <f>IF(AND(LEN('Checks'!A52)&gt;0,ISNUMBER('Checks'!D52)),MAX($B$3:B51)+1,"")</f>
        <v/>
      </c>
      <c r="E52">
        <f>IFERROR(MATCH(49,$B$4:$B$503,0),"")</f>
        <v/>
      </c>
    </row>
    <row r="53">
      <c r="A53">
        <f>IF(AND(LEN('Checks'!A53)&gt;0,ISNUMBER('Checks'!D53)),'Checks'!D53+50/100000,"")</f>
        <v/>
      </c>
      <c r="B53">
        <f>IF(AND(LEN('Checks'!A53)&gt;0,ISNUMBER('Checks'!D53)),MAX($B$3:B52)+1,"")</f>
        <v/>
      </c>
      <c r="E53">
        <f>IFERROR(MATCH(50,$B$4:$B$503,0),"")</f>
        <v/>
      </c>
    </row>
    <row r="54">
      <c r="A54">
        <f>IF(AND(LEN('Checks'!A54)&gt;0,ISNUMBER('Checks'!D54)),'Checks'!D54+51/100000,"")</f>
        <v/>
      </c>
      <c r="B54">
        <f>IF(AND(LEN('Checks'!A54)&gt;0,ISNUMBER('Checks'!D54)),MAX($B$3:B53)+1,"")</f>
        <v/>
      </c>
      <c r="E54">
        <f>IFERROR(MATCH(51,$B$4:$B$503,0),"")</f>
        <v/>
      </c>
    </row>
    <row r="55">
      <c r="A55">
        <f>IF(AND(LEN('Checks'!A55)&gt;0,ISNUMBER('Checks'!D55)),'Checks'!D55+52/100000,"")</f>
        <v/>
      </c>
      <c r="B55">
        <f>IF(AND(LEN('Checks'!A55)&gt;0,ISNUMBER('Checks'!D55)),MAX($B$3:B54)+1,"")</f>
        <v/>
      </c>
      <c r="E55">
        <f>IFERROR(MATCH(52,$B$4:$B$503,0),"")</f>
        <v/>
      </c>
    </row>
    <row r="56">
      <c r="A56">
        <f>IF(AND(LEN('Checks'!A56)&gt;0,ISNUMBER('Checks'!D56)),'Checks'!D56+53/100000,"")</f>
        <v/>
      </c>
      <c r="B56">
        <f>IF(AND(LEN('Checks'!A56)&gt;0,ISNUMBER('Checks'!D56)),MAX($B$3:B55)+1,"")</f>
        <v/>
      </c>
      <c r="E56">
        <f>IFERROR(MATCH(53,$B$4:$B$503,0),"")</f>
        <v/>
      </c>
    </row>
    <row r="57">
      <c r="A57">
        <f>IF(AND(LEN('Checks'!A57)&gt;0,ISNUMBER('Checks'!D57)),'Checks'!D57+54/100000,"")</f>
        <v/>
      </c>
      <c r="B57">
        <f>IF(AND(LEN('Checks'!A57)&gt;0,ISNUMBER('Checks'!D57)),MAX($B$3:B56)+1,"")</f>
        <v/>
      </c>
      <c r="E57">
        <f>IFERROR(MATCH(54,$B$4:$B$503,0),"")</f>
        <v/>
      </c>
    </row>
    <row r="58">
      <c r="A58">
        <f>IF(AND(LEN('Checks'!A58)&gt;0,ISNUMBER('Checks'!D58)),'Checks'!D58+55/100000,"")</f>
        <v/>
      </c>
      <c r="B58">
        <f>IF(AND(LEN('Checks'!A58)&gt;0,ISNUMBER('Checks'!D58)),MAX($B$3:B57)+1,"")</f>
        <v/>
      </c>
      <c r="E58">
        <f>IFERROR(MATCH(55,$B$4:$B$503,0),"")</f>
        <v/>
      </c>
    </row>
    <row r="59">
      <c r="A59">
        <f>IF(AND(LEN('Checks'!A59)&gt;0,ISNUMBER('Checks'!D59)),'Checks'!D59+56/100000,"")</f>
        <v/>
      </c>
      <c r="B59">
        <f>IF(AND(LEN('Checks'!A59)&gt;0,ISNUMBER('Checks'!D59)),MAX($B$3:B58)+1,"")</f>
        <v/>
      </c>
      <c r="E59">
        <f>IFERROR(MATCH(56,$B$4:$B$503,0),"")</f>
        <v/>
      </c>
    </row>
    <row r="60">
      <c r="A60">
        <f>IF(AND(LEN('Checks'!A60)&gt;0,ISNUMBER('Checks'!D60)),'Checks'!D60+57/100000,"")</f>
        <v/>
      </c>
      <c r="B60">
        <f>IF(AND(LEN('Checks'!A60)&gt;0,ISNUMBER('Checks'!D60)),MAX($B$3:B59)+1,"")</f>
        <v/>
      </c>
      <c r="E60">
        <f>IFERROR(MATCH(57,$B$4:$B$503,0),"")</f>
        <v/>
      </c>
    </row>
    <row r="61">
      <c r="A61">
        <f>IF(AND(LEN('Checks'!A61)&gt;0,ISNUMBER('Checks'!D61)),'Checks'!D61+58/100000,"")</f>
        <v/>
      </c>
      <c r="B61">
        <f>IF(AND(LEN('Checks'!A61)&gt;0,ISNUMBER('Checks'!D61)),MAX($B$3:B60)+1,"")</f>
        <v/>
      </c>
      <c r="E61">
        <f>IFERROR(MATCH(58,$B$4:$B$503,0),"")</f>
        <v/>
      </c>
    </row>
    <row r="62">
      <c r="A62">
        <f>IF(AND(LEN('Checks'!A62)&gt;0,ISNUMBER('Checks'!D62)),'Checks'!D62+59/100000,"")</f>
        <v/>
      </c>
      <c r="B62">
        <f>IF(AND(LEN('Checks'!A62)&gt;0,ISNUMBER('Checks'!D62)),MAX($B$3:B61)+1,"")</f>
        <v/>
      </c>
      <c r="E62">
        <f>IFERROR(MATCH(59,$B$4:$B$503,0),"")</f>
        <v/>
      </c>
    </row>
    <row r="63">
      <c r="A63">
        <f>IF(AND(LEN('Checks'!A63)&gt;0,ISNUMBER('Checks'!D63)),'Checks'!D63+60/100000,"")</f>
        <v/>
      </c>
      <c r="B63">
        <f>IF(AND(LEN('Checks'!A63)&gt;0,ISNUMBER('Checks'!D63)),MAX($B$3:B62)+1,"")</f>
        <v/>
      </c>
      <c r="E63">
        <f>IFERROR(MATCH(60,$B$4:$B$503,0),"")</f>
        <v/>
      </c>
    </row>
    <row r="64">
      <c r="A64">
        <f>IF(AND(LEN('Checks'!A64)&gt;0,ISNUMBER('Checks'!D64)),'Checks'!D64+61/100000,"")</f>
        <v/>
      </c>
      <c r="B64">
        <f>IF(AND(LEN('Checks'!A64)&gt;0,ISNUMBER('Checks'!D64)),MAX($B$3:B63)+1,"")</f>
        <v/>
      </c>
      <c r="E64">
        <f>IFERROR(MATCH(61,$B$4:$B$503,0),"")</f>
        <v/>
      </c>
    </row>
    <row r="65">
      <c r="A65">
        <f>IF(AND(LEN('Checks'!A65)&gt;0,ISNUMBER('Checks'!D65)),'Checks'!D65+62/100000,"")</f>
        <v/>
      </c>
      <c r="B65">
        <f>IF(AND(LEN('Checks'!A65)&gt;0,ISNUMBER('Checks'!D65)),MAX($B$3:B64)+1,"")</f>
        <v/>
      </c>
      <c r="E65">
        <f>IFERROR(MATCH(62,$B$4:$B$503,0),"")</f>
        <v/>
      </c>
    </row>
    <row r="66">
      <c r="A66">
        <f>IF(AND(LEN('Checks'!A66)&gt;0,ISNUMBER('Checks'!D66)),'Checks'!D66+63/100000,"")</f>
        <v/>
      </c>
      <c r="B66">
        <f>IF(AND(LEN('Checks'!A66)&gt;0,ISNUMBER('Checks'!D66)),MAX($B$3:B65)+1,"")</f>
        <v/>
      </c>
      <c r="E66">
        <f>IFERROR(MATCH(63,$B$4:$B$503,0),"")</f>
        <v/>
      </c>
    </row>
    <row r="67">
      <c r="A67">
        <f>IF(AND(LEN('Checks'!A67)&gt;0,ISNUMBER('Checks'!D67)),'Checks'!D67+64/100000,"")</f>
        <v/>
      </c>
      <c r="B67">
        <f>IF(AND(LEN('Checks'!A67)&gt;0,ISNUMBER('Checks'!D67)),MAX($B$3:B66)+1,"")</f>
        <v/>
      </c>
      <c r="E67">
        <f>IFERROR(MATCH(64,$B$4:$B$503,0),"")</f>
        <v/>
      </c>
    </row>
    <row r="68">
      <c r="A68">
        <f>IF(AND(LEN('Checks'!A68)&gt;0,ISNUMBER('Checks'!D68)),'Checks'!D68+65/100000,"")</f>
        <v/>
      </c>
      <c r="B68">
        <f>IF(AND(LEN('Checks'!A68)&gt;0,ISNUMBER('Checks'!D68)),MAX($B$3:B67)+1,"")</f>
        <v/>
      </c>
      <c r="E68">
        <f>IFERROR(MATCH(65,$B$4:$B$503,0),"")</f>
        <v/>
      </c>
    </row>
    <row r="69">
      <c r="A69">
        <f>IF(AND(LEN('Checks'!A69)&gt;0,ISNUMBER('Checks'!D69)),'Checks'!D69+66/100000,"")</f>
        <v/>
      </c>
      <c r="B69">
        <f>IF(AND(LEN('Checks'!A69)&gt;0,ISNUMBER('Checks'!D69)),MAX($B$3:B68)+1,"")</f>
        <v/>
      </c>
      <c r="E69">
        <f>IFERROR(MATCH(66,$B$4:$B$503,0),"")</f>
        <v/>
      </c>
    </row>
    <row r="70">
      <c r="A70">
        <f>IF(AND(LEN('Checks'!A70)&gt;0,ISNUMBER('Checks'!D70)),'Checks'!D70+67/100000,"")</f>
        <v/>
      </c>
      <c r="B70">
        <f>IF(AND(LEN('Checks'!A70)&gt;0,ISNUMBER('Checks'!D70)),MAX($B$3:B69)+1,"")</f>
        <v/>
      </c>
      <c r="E70">
        <f>IFERROR(MATCH(67,$B$4:$B$503,0),"")</f>
        <v/>
      </c>
    </row>
    <row r="71">
      <c r="A71">
        <f>IF(AND(LEN('Checks'!A71)&gt;0,ISNUMBER('Checks'!D71)),'Checks'!D71+68/100000,"")</f>
        <v/>
      </c>
      <c r="B71">
        <f>IF(AND(LEN('Checks'!A71)&gt;0,ISNUMBER('Checks'!D71)),MAX($B$3:B70)+1,"")</f>
        <v/>
      </c>
      <c r="E71">
        <f>IFERROR(MATCH(68,$B$4:$B$503,0),"")</f>
        <v/>
      </c>
    </row>
    <row r="72">
      <c r="A72">
        <f>IF(AND(LEN('Checks'!A72)&gt;0,ISNUMBER('Checks'!D72)),'Checks'!D72+69/100000,"")</f>
        <v/>
      </c>
      <c r="B72">
        <f>IF(AND(LEN('Checks'!A72)&gt;0,ISNUMBER('Checks'!D72)),MAX($B$3:B71)+1,"")</f>
        <v/>
      </c>
      <c r="E72">
        <f>IFERROR(MATCH(69,$B$4:$B$503,0),"")</f>
        <v/>
      </c>
    </row>
    <row r="73">
      <c r="A73">
        <f>IF(AND(LEN('Checks'!A73)&gt;0,ISNUMBER('Checks'!D73)),'Checks'!D73+70/100000,"")</f>
        <v/>
      </c>
      <c r="B73">
        <f>IF(AND(LEN('Checks'!A73)&gt;0,ISNUMBER('Checks'!D73)),MAX($B$3:B72)+1,"")</f>
        <v/>
      </c>
      <c r="E73">
        <f>IFERROR(MATCH(70,$B$4:$B$503,0),"")</f>
        <v/>
      </c>
    </row>
    <row r="74">
      <c r="A74">
        <f>IF(AND(LEN('Checks'!A74)&gt;0,ISNUMBER('Checks'!D74)),'Checks'!D74+71/100000,"")</f>
        <v/>
      </c>
      <c r="B74">
        <f>IF(AND(LEN('Checks'!A74)&gt;0,ISNUMBER('Checks'!D74)),MAX($B$3:B73)+1,"")</f>
        <v/>
      </c>
      <c r="E74">
        <f>IFERROR(MATCH(71,$B$4:$B$503,0),"")</f>
        <v/>
      </c>
    </row>
    <row r="75">
      <c r="A75">
        <f>IF(AND(LEN('Checks'!A75)&gt;0,ISNUMBER('Checks'!D75)),'Checks'!D75+72/100000,"")</f>
        <v/>
      </c>
      <c r="B75">
        <f>IF(AND(LEN('Checks'!A75)&gt;0,ISNUMBER('Checks'!D75)),MAX($B$3:B74)+1,"")</f>
        <v/>
      </c>
      <c r="E75">
        <f>IFERROR(MATCH(72,$B$4:$B$503,0),"")</f>
        <v/>
      </c>
    </row>
    <row r="76">
      <c r="A76">
        <f>IF(AND(LEN('Checks'!A76)&gt;0,ISNUMBER('Checks'!D76)),'Checks'!D76+73/100000,"")</f>
        <v/>
      </c>
      <c r="B76">
        <f>IF(AND(LEN('Checks'!A76)&gt;0,ISNUMBER('Checks'!D76)),MAX($B$3:B75)+1,"")</f>
        <v/>
      </c>
      <c r="E76">
        <f>IFERROR(MATCH(73,$B$4:$B$503,0),"")</f>
        <v/>
      </c>
    </row>
    <row r="77">
      <c r="A77">
        <f>IF(AND(LEN('Checks'!A77)&gt;0,ISNUMBER('Checks'!D77)),'Checks'!D77+74/100000,"")</f>
        <v/>
      </c>
      <c r="B77">
        <f>IF(AND(LEN('Checks'!A77)&gt;0,ISNUMBER('Checks'!D77)),MAX($B$3:B76)+1,"")</f>
        <v/>
      </c>
      <c r="E77">
        <f>IFERROR(MATCH(74,$B$4:$B$503,0),"")</f>
        <v/>
      </c>
    </row>
    <row r="78">
      <c r="A78">
        <f>IF(AND(LEN('Checks'!A78)&gt;0,ISNUMBER('Checks'!D78)),'Checks'!D78+75/100000,"")</f>
        <v/>
      </c>
      <c r="B78">
        <f>IF(AND(LEN('Checks'!A78)&gt;0,ISNUMBER('Checks'!D78)),MAX($B$3:B77)+1,"")</f>
        <v/>
      </c>
      <c r="E78">
        <f>IFERROR(MATCH(75,$B$4:$B$503,0),"")</f>
        <v/>
      </c>
    </row>
    <row r="79">
      <c r="A79">
        <f>IF(AND(LEN('Checks'!A79)&gt;0,ISNUMBER('Checks'!D79)),'Checks'!D79+76/100000,"")</f>
        <v/>
      </c>
      <c r="B79">
        <f>IF(AND(LEN('Checks'!A79)&gt;0,ISNUMBER('Checks'!D79)),MAX($B$3:B78)+1,"")</f>
        <v/>
      </c>
      <c r="E79">
        <f>IFERROR(MATCH(76,$B$4:$B$503,0),"")</f>
        <v/>
      </c>
    </row>
    <row r="80">
      <c r="A80">
        <f>IF(AND(LEN('Checks'!A80)&gt;0,ISNUMBER('Checks'!D80)),'Checks'!D80+77/100000,"")</f>
        <v/>
      </c>
      <c r="B80">
        <f>IF(AND(LEN('Checks'!A80)&gt;0,ISNUMBER('Checks'!D80)),MAX($B$3:B79)+1,"")</f>
        <v/>
      </c>
      <c r="E80">
        <f>IFERROR(MATCH(77,$B$4:$B$503,0),"")</f>
        <v/>
      </c>
    </row>
    <row r="81">
      <c r="A81">
        <f>IF(AND(LEN('Checks'!A81)&gt;0,ISNUMBER('Checks'!D81)),'Checks'!D81+78/100000,"")</f>
        <v/>
      </c>
      <c r="B81">
        <f>IF(AND(LEN('Checks'!A81)&gt;0,ISNUMBER('Checks'!D81)),MAX($B$3:B80)+1,"")</f>
        <v/>
      </c>
      <c r="E81">
        <f>IFERROR(MATCH(78,$B$4:$B$503,0),"")</f>
        <v/>
      </c>
    </row>
    <row r="82">
      <c r="A82">
        <f>IF(AND(LEN('Checks'!A82)&gt;0,ISNUMBER('Checks'!D82)),'Checks'!D82+79/100000,"")</f>
        <v/>
      </c>
      <c r="B82">
        <f>IF(AND(LEN('Checks'!A82)&gt;0,ISNUMBER('Checks'!D82)),MAX($B$3:B81)+1,"")</f>
        <v/>
      </c>
      <c r="E82">
        <f>IFERROR(MATCH(79,$B$4:$B$503,0),"")</f>
        <v/>
      </c>
    </row>
    <row r="83">
      <c r="A83">
        <f>IF(AND(LEN('Checks'!A83)&gt;0,ISNUMBER('Checks'!D83)),'Checks'!D83+80/100000,"")</f>
        <v/>
      </c>
      <c r="B83">
        <f>IF(AND(LEN('Checks'!A83)&gt;0,ISNUMBER('Checks'!D83)),MAX($B$3:B82)+1,"")</f>
        <v/>
      </c>
      <c r="E83">
        <f>IFERROR(MATCH(80,$B$4:$B$503,0),"")</f>
        <v/>
      </c>
    </row>
    <row r="84">
      <c r="A84">
        <f>IF(AND(LEN('Checks'!A84)&gt;0,ISNUMBER('Checks'!D84)),'Checks'!D84+81/100000,"")</f>
        <v/>
      </c>
      <c r="B84">
        <f>IF(AND(LEN('Checks'!A84)&gt;0,ISNUMBER('Checks'!D84)),MAX($B$3:B83)+1,"")</f>
        <v/>
      </c>
      <c r="E84">
        <f>IFERROR(MATCH(81,$B$4:$B$503,0),"")</f>
        <v/>
      </c>
    </row>
    <row r="85">
      <c r="A85">
        <f>IF(AND(LEN('Checks'!A85)&gt;0,ISNUMBER('Checks'!D85)),'Checks'!D85+82/100000,"")</f>
        <v/>
      </c>
      <c r="B85">
        <f>IF(AND(LEN('Checks'!A85)&gt;0,ISNUMBER('Checks'!D85)),MAX($B$3:B84)+1,"")</f>
        <v/>
      </c>
      <c r="E85">
        <f>IFERROR(MATCH(82,$B$4:$B$503,0),"")</f>
        <v/>
      </c>
    </row>
    <row r="86">
      <c r="A86">
        <f>IF(AND(LEN('Checks'!A86)&gt;0,ISNUMBER('Checks'!D86)),'Checks'!D86+83/100000,"")</f>
        <v/>
      </c>
      <c r="B86">
        <f>IF(AND(LEN('Checks'!A86)&gt;0,ISNUMBER('Checks'!D86)),MAX($B$3:B85)+1,"")</f>
        <v/>
      </c>
      <c r="E86">
        <f>IFERROR(MATCH(83,$B$4:$B$503,0),"")</f>
        <v/>
      </c>
    </row>
    <row r="87">
      <c r="A87">
        <f>IF(AND(LEN('Checks'!A87)&gt;0,ISNUMBER('Checks'!D87)),'Checks'!D87+84/100000,"")</f>
        <v/>
      </c>
      <c r="B87">
        <f>IF(AND(LEN('Checks'!A87)&gt;0,ISNUMBER('Checks'!D87)),MAX($B$3:B86)+1,"")</f>
        <v/>
      </c>
      <c r="E87">
        <f>IFERROR(MATCH(84,$B$4:$B$503,0),"")</f>
        <v/>
      </c>
    </row>
    <row r="88">
      <c r="A88">
        <f>IF(AND(LEN('Checks'!A88)&gt;0,ISNUMBER('Checks'!D88)),'Checks'!D88+85/100000,"")</f>
        <v/>
      </c>
      <c r="B88">
        <f>IF(AND(LEN('Checks'!A88)&gt;0,ISNUMBER('Checks'!D88)),MAX($B$3:B87)+1,"")</f>
        <v/>
      </c>
      <c r="E88">
        <f>IFERROR(MATCH(85,$B$4:$B$503,0),"")</f>
        <v/>
      </c>
    </row>
    <row r="89">
      <c r="A89">
        <f>IF(AND(LEN('Checks'!A89)&gt;0,ISNUMBER('Checks'!D89)),'Checks'!D89+86/100000,"")</f>
        <v/>
      </c>
      <c r="B89">
        <f>IF(AND(LEN('Checks'!A89)&gt;0,ISNUMBER('Checks'!D89)),MAX($B$3:B88)+1,"")</f>
        <v/>
      </c>
      <c r="E89">
        <f>IFERROR(MATCH(86,$B$4:$B$503,0),"")</f>
        <v/>
      </c>
    </row>
    <row r="90">
      <c r="A90">
        <f>IF(AND(LEN('Checks'!A90)&gt;0,ISNUMBER('Checks'!D90)),'Checks'!D90+87/100000,"")</f>
        <v/>
      </c>
      <c r="B90">
        <f>IF(AND(LEN('Checks'!A90)&gt;0,ISNUMBER('Checks'!D90)),MAX($B$3:B89)+1,"")</f>
        <v/>
      </c>
      <c r="E90">
        <f>IFERROR(MATCH(87,$B$4:$B$503,0),"")</f>
        <v/>
      </c>
    </row>
    <row r="91">
      <c r="A91">
        <f>IF(AND(LEN('Checks'!A91)&gt;0,ISNUMBER('Checks'!D91)),'Checks'!D91+88/100000,"")</f>
        <v/>
      </c>
      <c r="B91">
        <f>IF(AND(LEN('Checks'!A91)&gt;0,ISNUMBER('Checks'!D91)),MAX($B$3:B90)+1,"")</f>
        <v/>
      </c>
      <c r="E91">
        <f>IFERROR(MATCH(88,$B$4:$B$503,0),"")</f>
        <v/>
      </c>
    </row>
    <row r="92">
      <c r="A92">
        <f>IF(AND(LEN('Checks'!A92)&gt;0,ISNUMBER('Checks'!D92)),'Checks'!D92+89/100000,"")</f>
        <v/>
      </c>
      <c r="B92">
        <f>IF(AND(LEN('Checks'!A92)&gt;0,ISNUMBER('Checks'!D92)),MAX($B$3:B91)+1,"")</f>
        <v/>
      </c>
      <c r="E92">
        <f>IFERROR(MATCH(89,$B$4:$B$503,0),"")</f>
        <v/>
      </c>
    </row>
    <row r="93">
      <c r="A93">
        <f>IF(AND(LEN('Checks'!A93)&gt;0,ISNUMBER('Checks'!D93)),'Checks'!D93+90/100000,"")</f>
        <v/>
      </c>
      <c r="B93">
        <f>IF(AND(LEN('Checks'!A93)&gt;0,ISNUMBER('Checks'!D93)),MAX($B$3:B92)+1,"")</f>
        <v/>
      </c>
      <c r="E93">
        <f>IFERROR(MATCH(90,$B$4:$B$503,0),"")</f>
        <v/>
      </c>
    </row>
    <row r="94">
      <c r="A94">
        <f>IF(AND(LEN('Checks'!A94)&gt;0,ISNUMBER('Checks'!D94)),'Checks'!D94+91/100000,"")</f>
        <v/>
      </c>
      <c r="B94">
        <f>IF(AND(LEN('Checks'!A94)&gt;0,ISNUMBER('Checks'!D94)),MAX($B$3:B93)+1,"")</f>
        <v/>
      </c>
      <c r="E94">
        <f>IFERROR(MATCH(91,$B$4:$B$503,0),"")</f>
        <v/>
      </c>
    </row>
    <row r="95">
      <c r="A95">
        <f>IF(AND(LEN('Checks'!A95)&gt;0,ISNUMBER('Checks'!D95)),'Checks'!D95+92/100000,"")</f>
        <v/>
      </c>
      <c r="B95">
        <f>IF(AND(LEN('Checks'!A95)&gt;0,ISNUMBER('Checks'!D95)),MAX($B$3:B94)+1,"")</f>
        <v/>
      </c>
      <c r="E95">
        <f>IFERROR(MATCH(92,$B$4:$B$503,0),"")</f>
        <v/>
      </c>
    </row>
    <row r="96">
      <c r="A96">
        <f>IF(AND(LEN('Checks'!A96)&gt;0,ISNUMBER('Checks'!D96)),'Checks'!D96+93/100000,"")</f>
        <v/>
      </c>
      <c r="B96">
        <f>IF(AND(LEN('Checks'!A96)&gt;0,ISNUMBER('Checks'!D96)),MAX($B$3:B95)+1,"")</f>
        <v/>
      </c>
      <c r="E96">
        <f>IFERROR(MATCH(93,$B$4:$B$503,0),"")</f>
        <v/>
      </c>
    </row>
    <row r="97">
      <c r="A97">
        <f>IF(AND(LEN('Checks'!A97)&gt;0,ISNUMBER('Checks'!D97)),'Checks'!D97+94/100000,"")</f>
        <v/>
      </c>
      <c r="B97">
        <f>IF(AND(LEN('Checks'!A97)&gt;0,ISNUMBER('Checks'!D97)),MAX($B$3:B96)+1,"")</f>
        <v/>
      </c>
      <c r="E97">
        <f>IFERROR(MATCH(94,$B$4:$B$503,0),"")</f>
        <v/>
      </c>
    </row>
    <row r="98">
      <c r="A98">
        <f>IF(AND(LEN('Checks'!A98)&gt;0,ISNUMBER('Checks'!D98)),'Checks'!D98+95/100000,"")</f>
        <v/>
      </c>
      <c r="B98">
        <f>IF(AND(LEN('Checks'!A98)&gt;0,ISNUMBER('Checks'!D98)),MAX($B$3:B97)+1,"")</f>
        <v/>
      </c>
      <c r="E98">
        <f>IFERROR(MATCH(95,$B$4:$B$503,0),"")</f>
        <v/>
      </c>
    </row>
    <row r="99">
      <c r="A99">
        <f>IF(AND(LEN('Checks'!A99)&gt;0,ISNUMBER('Checks'!D99)),'Checks'!D99+96/100000,"")</f>
        <v/>
      </c>
      <c r="B99">
        <f>IF(AND(LEN('Checks'!A99)&gt;0,ISNUMBER('Checks'!D99)),MAX($B$3:B98)+1,"")</f>
        <v/>
      </c>
      <c r="E99">
        <f>IFERROR(MATCH(96,$B$4:$B$503,0),"")</f>
        <v/>
      </c>
    </row>
    <row r="100">
      <c r="A100">
        <f>IF(AND(LEN('Checks'!A100)&gt;0,ISNUMBER('Checks'!D100)),'Checks'!D100+97/100000,"")</f>
        <v/>
      </c>
      <c r="B100">
        <f>IF(AND(LEN('Checks'!A100)&gt;0,ISNUMBER('Checks'!D100)),MAX($B$3:B99)+1,"")</f>
        <v/>
      </c>
      <c r="E100">
        <f>IFERROR(MATCH(97,$B$4:$B$503,0),"")</f>
        <v/>
      </c>
    </row>
    <row r="101">
      <c r="A101">
        <f>IF(AND(LEN('Checks'!A101)&gt;0,ISNUMBER('Checks'!D101)),'Checks'!D101+98/100000,"")</f>
        <v/>
      </c>
      <c r="B101">
        <f>IF(AND(LEN('Checks'!A101)&gt;0,ISNUMBER('Checks'!D101)),MAX($B$3:B100)+1,"")</f>
        <v/>
      </c>
      <c r="E101">
        <f>IFERROR(MATCH(98,$B$4:$B$503,0),"")</f>
        <v/>
      </c>
    </row>
    <row r="102">
      <c r="A102">
        <f>IF(AND(LEN('Checks'!A102)&gt;0,ISNUMBER('Checks'!D102)),'Checks'!D102+99/100000,"")</f>
        <v/>
      </c>
      <c r="B102">
        <f>IF(AND(LEN('Checks'!A102)&gt;0,ISNUMBER('Checks'!D102)),MAX($B$3:B101)+1,"")</f>
        <v/>
      </c>
      <c r="E102">
        <f>IFERROR(MATCH(99,$B$4:$B$503,0),"")</f>
        <v/>
      </c>
    </row>
    <row r="103">
      <c r="A103">
        <f>IF(AND(LEN('Checks'!A103)&gt;0,ISNUMBER('Checks'!D103)),'Checks'!D103+100/100000,"")</f>
        <v/>
      </c>
      <c r="B103">
        <f>IF(AND(LEN('Checks'!A103)&gt;0,ISNUMBER('Checks'!D103)),MAX($B$3:B102)+1,"")</f>
        <v/>
      </c>
      <c r="E103">
        <f>IFERROR(MATCH(100,$B$4:$B$503,0),"")</f>
        <v/>
      </c>
    </row>
    <row r="104">
      <c r="A104">
        <f>IF(AND(LEN('Checks'!A104)&gt;0,ISNUMBER('Checks'!D104)),'Checks'!D104+101/100000,"")</f>
        <v/>
      </c>
      <c r="B104">
        <f>IF(AND(LEN('Checks'!A104)&gt;0,ISNUMBER('Checks'!D104)),MAX($B$3:B103)+1,"")</f>
        <v/>
      </c>
      <c r="E104">
        <f>IFERROR(MATCH(101,$B$4:$B$503,0),"")</f>
        <v/>
      </c>
    </row>
    <row r="105">
      <c r="A105">
        <f>IF(AND(LEN('Checks'!A105)&gt;0,ISNUMBER('Checks'!D105)),'Checks'!D105+102/100000,"")</f>
        <v/>
      </c>
      <c r="B105">
        <f>IF(AND(LEN('Checks'!A105)&gt;0,ISNUMBER('Checks'!D105)),MAX($B$3:B104)+1,"")</f>
        <v/>
      </c>
      <c r="E105">
        <f>IFERROR(MATCH(102,$B$4:$B$503,0),"")</f>
        <v/>
      </c>
    </row>
    <row r="106">
      <c r="A106">
        <f>IF(AND(LEN('Checks'!A106)&gt;0,ISNUMBER('Checks'!D106)),'Checks'!D106+103/100000,"")</f>
        <v/>
      </c>
      <c r="B106">
        <f>IF(AND(LEN('Checks'!A106)&gt;0,ISNUMBER('Checks'!D106)),MAX($B$3:B105)+1,"")</f>
        <v/>
      </c>
      <c r="E106">
        <f>IFERROR(MATCH(103,$B$4:$B$503,0),"")</f>
        <v/>
      </c>
    </row>
    <row r="107">
      <c r="A107">
        <f>IF(AND(LEN('Checks'!A107)&gt;0,ISNUMBER('Checks'!D107)),'Checks'!D107+104/100000,"")</f>
        <v/>
      </c>
      <c r="B107">
        <f>IF(AND(LEN('Checks'!A107)&gt;0,ISNUMBER('Checks'!D107)),MAX($B$3:B106)+1,"")</f>
        <v/>
      </c>
      <c r="E107">
        <f>IFERROR(MATCH(104,$B$4:$B$503,0),"")</f>
        <v/>
      </c>
    </row>
    <row r="108">
      <c r="A108">
        <f>IF(AND(LEN('Checks'!A108)&gt;0,ISNUMBER('Checks'!D108)),'Checks'!D108+105/100000,"")</f>
        <v/>
      </c>
      <c r="B108">
        <f>IF(AND(LEN('Checks'!A108)&gt;0,ISNUMBER('Checks'!D108)),MAX($B$3:B107)+1,"")</f>
        <v/>
      </c>
      <c r="E108">
        <f>IFERROR(MATCH(105,$B$4:$B$503,0),"")</f>
        <v/>
      </c>
    </row>
    <row r="109">
      <c r="A109">
        <f>IF(AND(LEN('Checks'!A109)&gt;0,ISNUMBER('Checks'!D109)),'Checks'!D109+106/100000,"")</f>
        <v/>
      </c>
      <c r="B109">
        <f>IF(AND(LEN('Checks'!A109)&gt;0,ISNUMBER('Checks'!D109)),MAX($B$3:B108)+1,"")</f>
        <v/>
      </c>
      <c r="E109">
        <f>IFERROR(MATCH(106,$B$4:$B$503,0),"")</f>
        <v/>
      </c>
    </row>
    <row r="110">
      <c r="A110">
        <f>IF(AND(LEN('Checks'!A110)&gt;0,ISNUMBER('Checks'!D110)),'Checks'!D110+107/100000,"")</f>
        <v/>
      </c>
      <c r="B110">
        <f>IF(AND(LEN('Checks'!A110)&gt;0,ISNUMBER('Checks'!D110)),MAX($B$3:B109)+1,"")</f>
        <v/>
      </c>
      <c r="E110">
        <f>IFERROR(MATCH(107,$B$4:$B$503,0),"")</f>
        <v/>
      </c>
    </row>
    <row r="111">
      <c r="A111">
        <f>IF(AND(LEN('Checks'!A111)&gt;0,ISNUMBER('Checks'!D111)),'Checks'!D111+108/100000,"")</f>
        <v/>
      </c>
      <c r="B111">
        <f>IF(AND(LEN('Checks'!A111)&gt;0,ISNUMBER('Checks'!D111)),MAX($B$3:B110)+1,"")</f>
        <v/>
      </c>
      <c r="E111">
        <f>IFERROR(MATCH(108,$B$4:$B$503,0),"")</f>
        <v/>
      </c>
    </row>
    <row r="112">
      <c r="A112">
        <f>IF(AND(LEN('Checks'!A112)&gt;0,ISNUMBER('Checks'!D112)),'Checks'!D112+109/100000,"")</f>
        <v/>
      </c>
      <c r="B112">
        <f>IF(AND(LEN('Checks'!A112)&gt;0,ISNUMBER('Checks'!D112)),MAX($B$3:B111)+1,"")</f>
        <v/>
      </c>
      <c r="E112">
        <f>IFERROR(MATCH(109,$B$4:$B$503,0),"")</f>
        <v/>
      </c>
    </row>
    <row r="113">
      <c r="A113">
        <f>IF(AND(LEN('Checks'!A113)&gt;0,ISNUMBER('Checks'!D113)),'Checks'!D113+110/100000,"")</f>
        <v/>
      </c>
      <c r="B113">
        <f>IF(AND(LEN('Checks'!A113)&gt;0,ISNUMBER('Checks'!D113)),MAX($B$3:B112)+1,"")</f>
        <v/>
      </c>
      <c r="E113">
        <f>IFERROR(MATCH(110,$B$4:$B$503,0),"")</f>
        <v/>
      </c>
    </row>
    <row r="114">
      <c r="A114">
        <f>IF(AND(LEN('Checks'!A114)&gt;0,ISNUMBER('Checks'!D114)),'Checks'!D114+111/100000,"")</f>
        <v/>
      </c>
      <c r="B114">
        <f>IF(AND(LEN('Checks'!A114)&gt;0,ISNUMBER('Checks'!D114)),MAX($B$3:B113)+1,"")</f>
        <v/>
      </c>
      <c r="E114">
        <f>IFERROR(MATCH(111,$B$4:$B$503,0),"")</f>
        <v/>
      </c>
    </row>
    <row r="115">
      <c r="A115">
        <f>IF(AND(LEN('Checks'!A115)&gt;0,ISNUMBER('Checks'!D115)),'Checks'!D115+112/100000,"")</f>
        <v/>
      </c>
      <c r="B115">
        <f>IF(AND(LEN('Checks'!A115)&gt;0,ISNUMBER('Checks'!D115)),MAX($B$3:B114)+1,"")</f>
        <v/>
      </c>
      <c r="E115">
        <f>IFERROR(MATCH(112,$B$4:$B$503,0),"")</f>
        <v/>
      </c>
    </row>
    <row r="116">
      <c r="A116">
        <f>IF(AND(LEN('Checks'!A116)&gt;0,ISNUMBER('Checks'!D116)),'Checks'!D116+113/100000,"")</f>
        <v/>
      </c>
      <c r="B116">
        <f>IF(AND(LEN('Checks'!A116)&gt;0,ISNUMBER('Checks'!D116)),MAX($B$3:B115)+1,"")</f>
        <v/>
      </c>
      <c r="E116">
        <f>IFERROR(MATCH(113,$B$4:$B$503,0),"")</f>
        <v/>
      </c>
    </row>
    <row r="117">
      <c r="A117">
        <f>IF(AND(LEN('Checks'!A117)&gt;0,ISNUMBER('Checks'!D117)),'Checks'!D117+114/100000,"")</f>
        <v/>
      </c>
      <c r="B117">
        <f>IF(AND(LEN('Checks'!A117)&gt;0,ISNUMBER('Checks'!D117)),MAX($B$3:B116)+1,"")</f>
        <v/>
      </c>
      <c r="E117">
        <f>IFERROR(MATCH(114,$B$4:$B$503,0),"")</f>
        <v/>
      </c>
    </row>
    <row r="118">
      <c r="A118">
        <f>IF(AND(LEN('Checks'!A118)&gt;0,ISNUMBER('Checks'!D118)),'Checks'!D118+115/100000,"")</f>
        <v/>
      </c>
      <c r="B118">
        <f>IF(AND(LEN('Checks'!A118)&gt;0,ISNUMBER('Checks'!D118)),MAX($B$3:B117)+1,"")</f>
        <v/>
      </c>
      <c r="E118">
        <f>IFERROR(MATCH(115,$B$4:$B$503,0),"")</f>
        <v/>
      </c>
    </row>
    <row r="119">
      <c r="A119">
        <f>IF(AND(LEN('Checks'!A119)&gt;0,ISNUMBER('Checks'!D119)),'Checks'!D119+116/100000,"")</f>
        <v/>
      </c>
      <c r="B119">
        <f>IF(AND(LEN('Checks'!A119)&gt;0,ISNUMBER('Checks'!D119)),MAX($B$3:B118)+1,"")</f>
        <v/>
      </c>
      <c r="E119">
        <f>IFERROR(MATCH(116,$B$4:$B$503,0),"")</f>
        <v/>
      </c>
    </row>
    <row r="120">
      <c r="A120">
        <f>IF(AND(LEN('Checks'!A120)&gt;0,ISNUMBER('Checks'!D120)),'Checks'!D120+117/100000,"")</f>
        <v/>
      </c>
      <c r="B120">
        <f>IF(AND(LEN('Checks'!A120)&gt;0,ISNUMBER('Checks'!D120)),MAX($B$3:B119)+1,"")</f>
        <v/>
      </c>
      <c r="E120">
        <f>IFERROR(MATCH(117,$B$4:$B$503,0),"")</f>
        <v/>
      </c>
    </row>
    <row r="121">
      <c r="A121">
        <f>IF(AND(LEN('Checks'!A121)&gt;0,ISNUMBER('Checks'!D121)),'Checks'!D121+118/100000,"")</f>
        <v/>
      </c>
      <c r="B121">
        <f>IF(AND(LEN('Checks'!A121)&gt;0,ISNUMBER('Checks'!D121)),MAX($B$3:B120)+1,"")</f>
        <v/>
      </c>
      <c r="E121">
        <f>IFERROR(MATCH(118,$B$4:$B$503,0),"")</f>
        <v/>
      </c>
    </row>
    <row r="122">
      <c r="A122">
        <f>IF(AND(LEN('Checks'!A122)&gt;0,ISNUMBER('Checks'!D122)),'Checks'!D122+119/100000,"")</f>
        <v/>
      </c>
      <c r="B122">
        <f>IF(AND(LEN('Checks'!A122)&gt;0,ISNUMBER('Checks'!D122)),MAX($B$3:B121)+1,"")</f>
        <v/>
      </c>
      <c r="E122">
        <f>IFERROR(MATCH(119,$B$4:$B$503,0),"")</f>
        <v/>
      </c>
    </row>
    <row r="123">
      <c r="A123">
        <f>IF(AND(LEN('Checks'!A123)&gt;0,ISNUMBER('Checks'!D123)),'Checks'!D123+120/100000,"")</f>
        <v/>
      </c>
      <c r="B123">
        <f>IF(AND(LEN('Checks'!A123)&gt;0,ISNUMBER('Checks'!D123)),MAX($B$3:B122)+1,"")</f>
        <v/>
      </c>
      <c r="E123">
        <f>IFERROR(MATCH(120,$B$4:$B$503,0),"")</f>
        <v/>
      </c>
    </row>
    <row r="124">
      <c r="A124">
        <f>IF(AND(LEN('Checks'!A124)&gt;0,ISNUMBER('Checks'!D124)),'Checks'!D124+121/100000,"")</f>
        <v/>
      </c>
      <c r="B124">
        <f>IF(AND(LEN('Checks'!A124)&gt;0,ISNUMBER('Checks'!D124)),MAX($B$3:B123)+1,"")</f>
        <v/>
      </c>
      <c r="E124">
        <f>IFERROR(MATCH(121,$B$4:$B$503,0),"")</f>
        <v/>
      </c>
    </row>
    <row r="125">
      <c r="A125">
        <f>IF(AND(LEN('Checks'!A125)&gt;0,ISNUMBER('Checks'!D125)),'Checks'!D125+122/100000,"")</f>
        <v/>
      </c>
      <c r="B125">
        <f>IF(AND(LEN('Checks'!A125)&gt;0,ISNUMBER('Checks'!D125)),MAX($B$3:B124)+1,"")</f>
        <v/>
      </c>
      <c r="E125">
        <f>IFERROR(MATCH(122,$B$4:$B$503,0),"")</f>
        <v/>
      </c>
    </row>
    <row r="126">
      <c r="A126">
        <f>IF(AND(LEN('Checks'!A126)&gt;0,ISNUMBER('Checks'!D126)),'Checks'!D126+123/100000,"")</f>
        <v/>
      </c>
      <c r="B126">
        <f>IF(AND(LEN('Checks'!A126)&gt;0,ISNUMBER('Checks'!D126)),MAX($B$3:B125)+1,"")</f>
        <v/>
      </c>
      <c r="E126">
        <f>IFERROR(MATCH(123,$B$4:$B$503,0),"")</f>
        <v/>
      </c>
    </row>
    <row r="127">
      <c r="A127">
        <f>IF(AND(LEN('Checks'!A127)&gt;0,ISNUMBER('Checks'!D127)),'Checks'!D127+124/100000,"")</f>
        <v/>
      </c>
      <c r="B127">
        <f>IF(AND(LEN('Checks'!A127)&gt;0,ISNUMBER('Checks'!D127)),MAX($B$3:B126)+1,"")</f>
        <v/>
      </c>
      <c r="E127">
        <f>IFERROR(MATCH(124,$B$4:$B$503,0),"")</f>
        <v/>
      </c>
    </row>
    <row r="128">
      <c r="A128">
        <f>IF(AND(LEN('Checks'!A128)&gt;0,ISNUMBER('Checks'!D128)),'Checks'!D128+125/100000,"")</f>
        <v/>
      </c>
      <c r="B128">
        <f>IF(AND(LEN('Checks'!A128)&gt;0,ISNUMBER('Checks'!D128)),MAX($B$3:B127)+1,"")</f>
        <v/>
      </c>
      <c r="E128">
        <f>IFERROR(MATCH(125,$B$4:$B$503,0),"")</f>
        <v/>
      </c>
    </row>
    <row r="129">
      <c r="A129">
        <f>IF(AND(LEN('Checks'!A129)&gt;0,ISNUMBER('Checks'!D129)),'Checks'!D129+126/100000,"")</f>
        <v/>
      </c>
      <c r="B129">
        <f>IF(AND(LEN('Checks'!A129)&gt;0,ISNUMBER('Checks'!D129)),MAX($B$3:B128)+1,"")</f>
        <v/>
      </c>
      <c r="E129">
        <f>IFERROR(MATCH(126,$B$4:$B$503,0),"")</f>
        <v/>
      </c>
    </row>
    <row r="130">
      <c r="A130">
        <f>IF(AND(LEN('Checks'!A130)&gt;0,ISNUMBER('Checks'!D130)),'Checks'!D130+127/100000,"")</f>
        <v/>
      </c>
      <c r="B130">
        <f>IF(AND(LEN('Checks'!A130)&gt;0,ISNUMBER('Checks'!D130)),MAX($B$3:B129)+1,"")</f>
        <v/>
      </c>
      <c r="E130">
        <f>IFERROR(MATCH(127,$B$4:$B$503,0),"")</f>
        <v/>
      </c>
    </row>
    <row r="131">
      <c r="A131">
        <f>IF(AND(LEN('Checks'!A131)&gt;0,ISNUMBER('Checks'!D131)),'Checks'!D131+128/100000,"")</f>
        <v/>
      </c>
      <c r="B131">
        <f>IF(AND(LEN('Checks'!A131)&gt;0,ISNUMBER('Checks'!D131)),MAX($B$3:B130)+1,"")</f>
        <v/>
      </c>
      <c r="E131">
        <f>IFERROR(MATCH(128,$B$4:$B$503,0),"")</f>
        <v/>
      </c>
    </row>
    <row r="132">
      <c r="A132">
        <f>IF(AND(LEN('Checks'!A132)&gt;0,ISNUMBER('Checks'!D132)),'Checks'!D132+129/100000,"")</f>
        <v/>
      </c>
      <c r="B132">
        <f>IF(AND(LEN('Checks'!A132)&gt;0,ISNUMBER('Checks'!D132)),MAX($B$3:B131)+1,"")</f>
        <v/>
      </c>
      <c r="E132">
        <f>IFERROR(MATCH(129,$B$4:$B$503,0),"")</f>
        <v/>
      </c>
    </row>
    <row r="133">
      <c r="A133">
        <f>IF(AND(LEN('Checks'!A133)&gt;0,ISNUMBER('Checks'!D133)),'Checks'!D133+130/100000,"")</f>
        <v/>
      </c>
      <c r="B133">
        <f>IF(AND(LEN('Checks'!A133)&gt;0,ISNUMBER('Checks'!D133)),MAX($B$3:B132)+1,"")</f>
        <v/>
      </c>
      <c r="E133">
        <f>IFERROR(MATCH(130,$B$4:$B$503,0),"")</f>
        <v/>
      </c>
    </row>
    <row r="134">
      <c r="A134">
        <f>IF(AND(LEN('Checks'!A134)&gt;0,ISNUMBER('Checks'!D134)),'Checks'!D134+131/100000,"")</f>
        <v/>
      </c>
      <c r="B134">
        <f>IF(AND(LEN('Checks'!A134)&gt;0,ISNUMBER('Checks'!D134)),MAX($B$3:B133)+1,"")</f>
        <v/>
      </c>
      <c r="E134">
        <f>IFERROR(MATCH(131,$B$4:$B$503,0),"")</f>
        <v/>
      </c>
    </row>
    <row r="135">
      <c r="A135">
        <f>IF(AND(LEN('Checks'!A135)&gt;0,ISNUMBER('Checks'!D135)),'Checks'!D135+132/100000,"")</f>
        <v/>
      </c>
      <c r="B135">
        <f>IF(AND(LEN('Checks'!A135)&gt;0,ISNUMBER('Checks'!D135)),MAX($B$3:B134)+1,"")</f>
        <v/>
      </c>
      <c r="E135">
        <f>IFERROR(MATCH(132,$B$4:$B$503,0),"")</f>
        <v/>
      </c>
    </row>
    <row r="136">
      <c r="A136">
        <f>IF(AND(LEN('Checks'!A136)&gt;0,ISNUMBER('Checks'!D136)),'Checks'!D136+133/100000,"")</f>
        <v/>
      </c>
      <c r="B136">
        <f>IF(AND(LEN('Checks'!A136)&gt;0,ISNUMBER('Checks'!D136)),MAX($B$3:B135)+1,"")</f>
        <v/>
      </c>
      <c r="E136">
        <f>IFERROR(MATCH(133,$B$4:$B$503,0),"")</f>
        <v/>
      </c>
    </row>
    <row r="137">
      <c r="A137">
        <f>IF(AND(LEN('Checks'!A137)&gt;0,ISNUMBER('Checks'!D137)),'Checks'!D137+134/100000,"")</f>
        <v/>
      </c>
      <c r="B137">
        <f>IF(AND(LEN('Checks'!A137)&gt;0,ISNUMBER('Checks'!D137)),MAX($B$3:B136)+1,"")</f>
        <v/>
      </c>
      <c r="E137">
        <f>IFERROR(MATCH(134,$B$4:$B$503,0),"")</f>
        <v/>
      </c>
    </row>
    <row r="138">
      <c r="A138">
        <f>IF(AND(LEN('Checks'!A138)&gt;0,ISNUMBER('Checks'!D138)),'Checks'!D138+135/100000,"")</f>
        <v/>
      </c>
      <c r="B138">
        <f>IF(AND(LEN('Checks'!A138)&gt;0,ISNUMBER('Checks'!D138)),MAX($B$3:B137)+1,"")</f>
        <v/>
      </c>
      <c r="E138">
        <f>IFERROR(MATCH(135,$B$4:$B$503,0),"")</f>
        <v/>
      </c>
    </row>
    <row r="139">
      <c r="A139">
        <f>IF(AND(LEN('Checks'!A139)&gt;0,ISNUMBER('Checks'!D139)),'Checks'!D139+136/100000,"")</f>
        <v/>
      </c>
      <c r="B139">
        <f>IF(AND(LEN('Checks'!A139)&gt;0,ISNUMBER('Checks'!D139)),MAX($B$3:B138)+1,"")</f>
        <v/>
      </c>
      <c r="E139">
        <f>IFERROR(MATCH(136,$B$4:$B$503,0),"")</f>
        <v/>
      </c>
    </row>
    <row r="140">
      <c r="A140">
        <f>IF(AND(LEN('Checks'!A140)&gt;0,ISNUMBER('Checks'!D140)),'Checks'!D140+137/100000,"")</f>
        <v/>
      </c>
      <c r="B140">
        <f>IF(AND(LEN('Checks'!A140)&gt;0,ISNUMBER('Checks'!D140)),MAX($B$3:B139)+1,"")</f>
        <v/>
      </c>
      <c r="E140">
        <f>IFERROR(MATCH(137,$B$4:$B$503,0),"")</f>
        <v/>
      </c>
    </row>
    <row r="141">
      <c r="A141">
        <f>IF(AND(LEN('Checks'!A141)&gt;0,ISNUMBER('Checks'!D141)),'Checks'!D141+138/100000,"")</f>
        <v/>
      </c>
      <c r="B141">
        <f>IF(AND(LEN('Checks'!A141)&gt;0,ISNUMBER('Checks'!D141)),MAX($B$3:B140)+1,"")</f>
        <v/>
      </c>
      <c r="E141">
        <f>IFERROR(MATCH(138,$B$4:$B$503,0),"")</f>
        <v/>
      </c>
    </row>
    <row r="142">
      <c r="A142">
        <f>IF(AND(LEN('Checks'!A142)&gt;0,ISNUMBER('Checks'!D142)),'Checks'!D142+139/100000,"")</f>
        <v/>
      </c>
      <c r="B142">
        <f>IF(AND(LEN('Checks'!A142)&gt;0,ISNUMBER('Checks'!D142)),MAX($B$3:B141)+1,"")</f>
        <v/>
      </c>
      <c r="E142">
        <f>IFERROR(MATCH(139,$B$4:$B$503,0),"")</f>
        <v/>
      </c>
    </row>
    <row r="143">
      <c r="A143">
        <f>IF(AND(LEN('Checks'!A143)&gt;0,ISNUMBER('Checks'!D143)),'Checks'!D143+140/100000,"")</f>
        <v/>
      </c>
      <c r="B143">
        <f>IF(AND(LEN('Checks'!A143)&gt;0,ISNUMBER('Checks'!D143)),MAX($B$3:B142)+1,"")</f>
        <v/>
      </c>
      <c r="E143">
        <f>IFERROR(MATCH(140,$B$4:$B$503,0),"")</f>
        <v/>
      </c>
    </row>
    <row r="144">
      <c r="A144">
        <f>IF(AND(LEN('Checks'!A144)&gt;0,ISNUMBER('Checks'!D144)),'Checks'!D144+141/100000,"")</f>
        <v/>
      </c>
      <c r="B144">
        <f>IF(AND(LEN('Checks'!A144)&gt;0,ISNUMBER('Checks'!D144)),MAX($B$3:B143)+1,"")</f>
        <v/>
      </c>
      <c r="E144">
        <f>IFERROR(MATCH(141,$B$4:$B$503,0),"")</f>
        <v/>
      </c>
    </row>
    <row r="145">
      <c r="A145">
        <f>IF(AND(LEN('Checks'!A145)&gt;0,ISNUMBER('Checks'!D145)),'Checks'!D145+142/100000,"")</f>
        <v/>
      </c>
      <c r="B145">
        <f>IF(AND(LEN('Checks'!A145)&gt;0,ISNUMBER('Checks'!D145)),MAX($B$3:B144)+1,"")</f>
        <v/>
      </c>
      <c r="E145">
        <f>IFERROR(MATCH(142,$B$4:$B$503,0),"")</f>
        <v/>
      </c>
    </row>
    <row r="146">
      <c r="A146">
        <f>IF(AND(LEN('Checks'!A146)&gt;0,ISNUMBER('Checks'!D146)),'Checks'!D146+143/100000,"")</f>
        <v/>
      </c>
      <c r="B146">
        <f>IF(AND(LEN('Checks'!A146)&gt;0,ISNUMBER('Checks'!D146)),MAX($B$3:B145)+1,"")</f>
        <v/>
      </c>
      <c r="E146">
        <f>IFERROR(MATCH(143,$B$4:$B$503,0),"")</f>
        <v/>
      </c>
    </row>
    <row r="147">
      <c r="A147">
        <f>IF(AND(LEN('Checks'!A147)&gt;0,ISNUMBER('Checks'!D147)),'Checks'!D147+144/100000,"")</f>
        <v/>
      </c>
      <c r="B147">
        <f>IF(AND(LEN('Checks'!A147)&gt;0,ISNUMBER('Checks'!D147)),MAX($B$3:B146)+1,"")</f>
        <v/>
      </c>
      <c r="E147">
        <f>IFERROR(MATCH(144,$B$4:$B$503,0),"")</f>
        <v/>
      </c>
    </row>
    <row r="148">
      <c r="A148">
        <f>IF(AND(LEN('Checks'!A148)&gt;0,ISNUMBER('Checks'!D148)),'Checks'!D148+145/100000,"")</f>
        <v/>
      </c>
      <c r="B148">
        <f>IF(AND(LEN('Checks'!A148)&gt;0,ISNUMBER('Checks'!D148)),MAX($B$3:B147)+1,"")</f>
        <v/>
      </c>
      <c r="E148">
        <f>IFERROR(MATCH(145,$B$4:$B$503,0),"")</f>
        <v/>
      </c>
    </row>
    <row r="149">
      <c r="A149">
        <f>IF(AND(LEN('Checks'!A149)&gt;0,ISNUMBER('Checks'!D149)),'Checks'!D149+146/100000,"")</f>
        <v/>
      </c>
      <c r="B149">
        <f>IF(AND(LEN('Checks'!A149)&gt;0,ISNUMBER('Checks'!D149)),MAX($B$3:B148)+1,"")</f>
        <v/>
      </c>
      <c r="E149">
        <f>IFERROR(MATCH(146,$B$4:$B$503,0),"")</f>
        <v/>
      </c>
    </row>
    <row r="150">
      <c r="A150">
        <f>IF(AND(LEN('Checks'!A150)&gt;0,ISNUMBER('Checks'!D150)),'Checks'!D150+147/100000,"")</f>
        <v/>
      </c>
      <c r="B150">
        <f>IF(AND(LEN('Checks'!A150)&gt;0,ISNUMBER('Checks'!D150)),MAX($B$3:B149)+1,"")</f>
        <v/>
      </c>
      <c r="E150">
        <f>IFERROR(MATCH(147,$B$4:$B$503,0),"")</f>
        <v/>
      </c>
    </row>
    <row r="151">
      <c r="A151">
        <f>IF(AND(LEN('Checks'!A151)&gt;0,ISNUMBER('Checks'!D151)),'Checks'!D151+148/100000,"")</f>
        <v/>
      </c>
      <c r="B151">
        <f>IF(AND(LEN('Checks'!A151)&gt;0,ISNUMBER('Checks'!D151)),MAX($B$3:B150)+1,"")</f>
        <v/>
      </c>
      <c r="E151">
        <f>IFERROR(MATCH(148,$B$4:$B$503,0),"")</f>
        <v/>
      </c>
    </row>
    <row r="152">
      <c r="A152">
        <f>IF(AND(LEN('Checks'!A152)&gt;0,ISNUMBER('Checks'!D152)),'Checks'!D152+149/100000,"")</f>
        <v/>
      </c>
      <c r="B152">
        <f>IF(AND(LEN('Checks'!A152)&gt;0,ISNUMBER('Checks'!D152)),MAX($B$3:B151)+1,"")</f>
        <v/>
      </c>
      <c r="E152">
        <f>IFERROR(MATCH(149,$B$4:$B$503,0),"")</f>
        <v/>
      </c>
    </row>
    <row r="153">
      <c r="A153">
        <f>IF(AND(LEN('Checks'!A153)&gt;0,ISNUMBER('Checks'!D153)),'Checks'!D153+150/100000,"")</f>
        <v/>
      </c>
      <c r="B153">
        <f>IF(AND(LEN('Checks'!A153)&gt;0,ISNUMBER('Checks'!D153)),MAX($B$3:B152)+1,"")</f>
        <v/>
      </c>
      <c r="E153">
        <f>IFERROR(MATCH(150,$B$4:$B$503,0),"")</f>
        <v/>
      </c>
    </row>
    <row r="154">
      <c r="A154">
        <f>IF(AND(LEN('Checks'!A154)&gt;0,ISNUMBER('Checks'!D154)),'Checks'!D154+151/100000,"")</f>
        <v/>
      </c>
      <c r="B154">
        <f>IF(AND(LEN('Checks'!A154)&gt;0,ISNUMBER('Checks'!D154)),MAX($B$3:B153)+1,"")</f>
        <v/>
      </c>
      <c r="E154">
        <f>IFERROR(MATCH(151,$B$4:$B$503,0),"")</f>
        <v/>
      </c>
    </row>
    <row r="155">
      <c r="A155">
        <f>IF(AND(LEN('Checks'!A155)&gt;0,ISNUMBER('Checks'!D155)),'Checks'!D155+152/100000,"")</f>
        <v/>
      </c>
      <c r="B155">
        <f>IF(AND(LEN('Checks'!A155)&gt;0,ISNUMBER('Checks'!D155)),MAX($B$3:B154)+1,"")</f>
        <v/>
      </c>
      <c r="E155">
        <f>IFERROR(MATCH(152,$B$4:$B$503,0),"")</f>
        <v/>
      </c>
    </row>
    <row r="156">
      <c r="A156">
        <f>IF(AND(LEN('Checks'!A156)&gt;0,ISNUMBER('Checks'!D156)),'Checks'!D156+153/100000,"")</f>
        <v/>
      </c>
      <c r="B156">
        <f>IF(AND(LEN('Checks'!A156)&gt;0,ISNUMBER('Checks'!D156)),MAX($B$3:B155)+1,"")</f>
        <v/>
      </c>
      <c r="E156">
        <f>IFERROR(MATCH(153,$B$4:$B$503,0),"")</f>
        <v/>
      </c>
    </row>
    <row r="157">
      <c r="A157">
        <f>IF(AND(LEN('Checks'!A157)&gt;0,ISNUMBER('Checks'!D157)),'Checks'!D157+154/100000,"")</f>
        <v/>
      </c>
      <c r="B157">
        <f>IF(AND(LEN('Checks'!A157)&gt;0,ISNUMBER('Checks'!D157)),MAX($B$3:B156)+1,"")</f>
        <v/>
      </c>
      <c r="E157">
        <f>IFERROR(MATCH(154,$B$4:$B$503,0),"")</f>
        <v/>
      </c>
    </row>
    <row r="158">
      <c r="A158">
        <f>IF(AND(LEN('Checks'!A158)&gt;0,ISNUMBER('Checks'!D158)),'Checks'!D158+155/100000,"")</f>
        <v/>
      </c>
      <c r="B158">
        <f>IF(AND(LEN('Checks'!A158)&gt;0,ISNUMBER('Checks'!D158)),MAX($B$3:B157)+1,"")</f>
        <v/>
      </c>
      <c r="E158">
        <f>IFERROR(MATCH(155,$B$4:$B$503,0),"")</f>
        <v/>
      </c>
    </row>
    <row r="159">
      <c r="A159">
        <f>IF(AND(LEN('Checks'!A159)&gt;0,ISNUMBER('Checks'!D159)),'Checks'!D159+156/100000,"")</f>
        <v/>
      </c>
      <c r="B159">
        <f>IF(AND(LEN('Checks'!A159)&gt;0,ISNUMBER('Checks'!D159)),MAX($B$3:B158)+1,"")</f>
        <v/>
      </c>
      <c r="E159">
        <f>IFERROR(MATCH(156,$B$4:$B$503,0),"")</f>
        <v/>
      </c>
    </row>
    <row r="160">
      <c r="A160">
        <f>IF(AND(LEN('Checks'!A160)&gt;0,ISNUMBER('Checks'!D160)),'Checks'!D160+157/100000,"")</f>
        <v/>
      </c>
      <c r="B160">
        <f>IF(AND(LEN('Checks'!A160)&gt;0,ISNUMBER('Checks'!D160)),MAX($B$3:B159)+1,"")</f>
        <v/>
      </c>
      <c r="E160">
        <f>IFERROR(MATCH(157,$B$4:$B$503,0),"")</f>
        <v/>
      </c>
    </row>
    <row r="161">
      <c r="A161">
        <f>IF(AND(LEN('Checks'!A161)&gt;0,ISNUMBER('Checks'!D161)),'Checks'!D161+158/100000,"")</f>
        <v/>
      </c>
      <c r="B161">
        <f>IF(AND(LEN('Checks'!A161)&gt;0,ISNUMBER('Checks'!D161)),MAX($B$3:B160)+1,"")</f>
        <v/>
      </c>
      <c r="E161">
        <f>IFERROR(MATCH(158,$B$4:$B$503,0),"")</f>
        <v/>
      </c>
    </row>
    <row r="162">
      <c r="A162">
        <f>IF(AND(LEN('Checks'!A162)&gt;0,ISNUMBER('Checks'!D162)),'Checks'!D162+159/100000,"")</f>
        <v/>
      </c>
      <c r="B162">
        <f>IF(AND(LEN('Checks'!A162)&gt;0,ISNUMBER('Checks'!D162)),MAX($B$3:B161)+1,"")</f>
        <v/>
      </c>
      <c r="E162">
        <f>IFERROR(MATCH(159,$B$4:$B$503,0),"")</f>
        <v/>
      </c>
    </row>
    <row r="163">
      <c r="A163">
        <f>IF(AND(LEN('Checks'!A163)&gt;0,ISNUMBER('Checks'!D163)),'Checks'!D163+160/100000,"")</f>
        <v/>
      </c>
      <c r="B163">
        <f>IF(AND(LEN('Checks'!A163)&gt;0,ISNUMBER('Checks'!D163)),MAX($B$3:B162)+1,"")</f>
        <v/>
      </c>
      <c r="E163">
        <f>IFERROR(MATCH(160,$B$4:$B$503,0),"")</f>
        <v/>
      </c>
    </row>
    <row r="164">
      <c r="A164">
        <f>IF(AND(LEN('Checks'!A164)&gt;0,ISNUMBER('Checks'!D164)),'Checks'!D164+161/100000,"")</f>
        <v/>
      </c>
      <c r="B164">
        <f>IF(AND(LEN('Checks'!A164)&gt;0,ISNUMBER('Checks'!D164)),MAX($B$3:B163)+1,"")</f>
        <v/>
      </c>
      <c r="E164">
        <f>IFERROR(MATCH(161,$B$4:$B$503,0),"")</f>
        <v/>
      </c>
    </row>
    <row r="165">
      <c r="A165">
        <f>IF(AND(LEN('Checks'!A165)&gt;0,ISNUMBER('Checks'!D165)),'Checks'!D165+162/100000,"")</f>
        <v/>
      </c>
      <c r="B165">
        <f>IF(AND(LEN('Checks'!A165)&gt;0,ISNUMBER('Checks'!D165)),MAX($B$3:B164)+1,"")</f>
        <v/>
      </c>
      <c r="E165">
        <f>IFERROR(MATCH(162,$B$4:$B$503,0),"")</f>
        <v/>
      </c>
    </row>
    <row r="166">
      <c r="A166">
        <f>IF(AND(LEN('Checks'!A166)&gt;0,ISNUMBER('Checks'!D166)),'Checks'!D166+163/100000,"")</f>
        <v/>
      </c>
      <c r="B166">
        <f>IF(AND(LEN('Checks'!A166)&gt;0,ISNUMBER('Checks'!D166)),MAX($B$3:B165)+1,"")</f>
        <v/>
      </c>
      <c r="E166">
        <f>IFERROR(MATCH(163,$B$4:$B$503,0),"")</f>
        <v/>
      </c>
    </row>
    <row r="167">
      <c r="A167">
        <f>IF(AND(LEN('Checks'!A167)&gt;0,ISNUMBER('Checks'!D167)),'Checks'!D167+164/100000,"")</f>
        <v/>
      </c>
      <c r="B167">
        <f>IF(AND(LEN('Checks'!A167)&gt;0,ISNUMBER('Checks'!D167)),MAX($B$3:B166)+1,"")</f>
        <v/>
      </c>
      <c r="E167">
        <f>IFERROR(MATCH(164,$B$4:$B$503,0),"")</f>
        <v/>
      </c>
    </row>
    <row r="168">
      <c r="A168">
        <f>IF(AND(LEN('Checks'!A168)&gt;0,ISNUMBER('Checks'!D168)),'Checks'!D168+165/100000,"")</f>
        <v/>
      </c>
      <c r="B168">
        <f>IF(AND(LEN('Checks'!A168)&gt;0,ISNUMBER('Checks'!D168)),MAX($B$3:B167)+1,"")</f>
        <v/>
      </c>
      <c r="E168">
        <f>IFERROR(MATCH(165,$B$4:$B$503,0),"")</f>
        <v/>
      </c>
    </row>
    <row r="169">
      <c r="A169">
        <f>IF(AND(LEN('Checks'!A169)&gt;0,ISNUMBER('Checks'!D169)),'Checks'!D169+166/100000,"")</f>
        <v/>
      </c>
      <c r="B169">
        <f>IF(AND(LEN('Checks'!A169)&gt;0,ISNUMBER('Checks'!D169)),MAX($B$3:B168)+1,"")</f>
        <v/>
      </c>
      <c r="E169">
        <f>IFERROR(MATCH(166,$B$4:$B$503,0),"")</f>
        <v/>
      </c>
    </row>
    <row r="170">
      <c r="A170">
        <f>IF(AND(LEN('Checks'!A170)&gt;0,ISNUMBER('Checks'!D170)),'Checks'!D170+167/100000,"")</f>
        <v/>
      </c>
      <c r="B170">
        <f>IF(AND(LEN('Checks'!A170)&gt;0,ISNUMBER('Checks'!D170)),MAX($B$3:B169)+1,"")</f>
        <v/>
      </c>
      <c r="E170">
        <f>IFERROR(MATCH(167,$B$4:$B$503,0),"")</f>
        <v/>
      </c>
    </row>
    <row r="171">
      <c r="A171">
        <f>IF(AND(LEN('Checks'!A171)&gt;0,ISNUMBER('Checks'!D171)),'Checks'!D171+168/100000,"")</f>
        <v/>
      </c>
      <c r="B171">
        <f>IF(AND(LEN('Checks'!A171)&gt;0,ISNUMBER('Checks'!D171)),MAX($B$3:B170)+1,"")</f>
        <v/>
      </c>
      <c r="E171">
        <f>IFERROR(MATCH(168,$B$4:$B$503,0),"")</f>
        <v/>
      </c>
    </row>
    <row r="172">
      <c r="A172">
        <f>IF(AND(LEN('Checks'!A172)&gt;0,ISNUMBER('Checks'!D172)),'Checks'!D172+169/100000,"")</f>
        <v/>
      </c>
      <c r="B172">
        <f>IF(AND(LEN('Checks'!A172)&gt;0,ISNUMBER('Checks'!D172)),MAX($B$3:B171)+1,"")</f>
        <v/>
      </c>
      <c r="E172">
        <f>IFERROR(MATCH(169,$B$4:$B$503,0),"")</f>
        <v/>
      </c>
    </row>
    <row r="173">
      <c r="A173">
        <f>IF(AND(LEN('Checks'!A173)&gt;0,ISNUMBER('Checks'!D173)),'Checks'!D173+170/100000,"")</f>
        <v/>
      </c>
      <c r="B173">
        <f>IF(AND(LEN('Checks'!A173)&gt;0,ISNUMBER('Checks'!D173)),MAX($B$3:B172)+1,"")</f>
        <v/>
      </c>
      <c r="E173">
        <f>IFERROR(MATCH(170,$B$4:$B$503,0),"")</f>
        <v/>
      </c>
    </row>
    <row r="174">
      <c r="A174">
        <f>IF(AND(LEN('Checks'!A174)&gt;0,ISNUMBER('Checks'!D174)),'Checks'!D174+171/100000,"")</f>
        <v/>
      </c>
      <c r="B174">
        <f>IF(AND(LEN('Checks'!A174)&gt;0,ISNUMBER('Checks'!D174)),MAX($B$3:B173)+1,"")</f>
        <v/>
      </c>
      <c r="E174">
        <f>IFERROR(MATCH(171,$B$4:$B$503,0),"")</f>
        <v/>
      </c>
    </row>
    <row r="175">
      <c r="A175">
        <f>IF(AND(LEN('Checks'!A175)&gt;0,ISNUMBER('Checks'!D175)),'Checks'!D175+172/100000,"")</f>
        <v/>
      </c>
      <c r="B175">
        <f>IF(AND(LEN('Checks'!A175)&gt;0,ISNUMBER('Checks'!D175)),MAX($B$3:B174)+1,"")</f>
        <v/>
      </c>
      <c r="E175">
        <f>IFERROR(MATCH(172,$B$4:$B$503,0),"")</f>
        <v/>
      </c>
    </row>
    <row r="176">
      <c r="A176">
        <f>IF(AND(LEN('Checks'!A176)&gt;0,ISNUMBER('Checks'!D176)),'Checks'!D176+173/100000,"")</f>
        <v/>
      </c>
      <c r="B176">
        <f>IF(AND(LEN('Checks'!A176)&gt;0,ISNUMBER('Checks'!D176)),MAX($B$3:B175)+1,"")</f>
        <v/>
      </c>
      <c r="E176">
        <f>IFERROR(MATCH(173,$B$4:$B$503,0),"")</f>
        <v/>
      </c>
    </row>
    <row r="177">
      <c r="A177">
        <f>IF(AND(LEN('Checks'!A177)&gt;0,ISNUMBER('Checks'!D177)),'Checks'!D177+174/100000,"")</f>
        <v/>
      </c>
      <c r="B177">
        <f>IF(AND(LEN('Checks'!A177)&gt;0,ISNUMBER('Checks'!D177)),MAX($B$3:B176)+1,"")</f>
        <v/>
      </c>
      <c r="E177">
        <f>IFERROR(MATCH(174,$B$4:$B$503,0),"")</f>
        <v/>
      </c>
    </row>
    <row r="178">
      <c r="A178">
        <f>IF(AND(LEN('Checks'!A178)&gt;0,ISNUMBER('Checks'!D178)),'Checks'!D178+175/100000,"")</f>
        <v/>
      </c>
      <c r="B178">
        <f>IF(AND(LEN('Checks'!A178)&gt;0,ISNUMBER('Checks'!D178)),MAX($B$3:B177)+1,"")</f>
        <v/>
      </c>
      <c r="E178">
        <f>IFERROR(MATCH(175,$B$4:$B$503,0),"")</f>
        <v/>
      </c>
    </row>
    <row r="179">
      <c r="A179">
        <f>IF(AND(LEN('Checks'!A179)&gt;0,ISNUMBER('Checks'!D179)),'Checks'!D179+176/100000,"")</f>
        <v/>
      </c>
      <c r="B179">
        <f>IF(AND(LEN('Checks'!A179)&gt;0,ISNUMBER('Checks'!D179)),MAX($B$3:B178)+1,"")</f>
        <v/>
      </c>
      <c r="E179">
        <f>IFERROR(MATCH(176,$B$4:$B$503,0),"")</f>
        <v/>
      </c>
    </row>
    <row r="180">
      <c r="A180">
        <f>IF(AND(LEN('Checks'!A180)&gt;0,ISNUMBER('Checks'!D180)),'Checks'!D180+177/100000,"")</f>
        <v/>
      </c>
      <c r="B180">
        <f>IF(AND(LEN('Checks'!A180)&gt;0,ISNUMBER('Checks'!D180)),MAX($B$3:B179)+1,"")</f>
        <v/>
      </c>
      <c r="E180">
        <f>IFERROR(MATCH(177,$B$4:$B$503,0),"")</f>
        <v/>
      </c>
    </row>
    <row r="181">
      <c r="A181">
        <f>IF(AND(LEN('Checks'!A181)&gt;0,ISNUMBER('Checks'!D181)),'Checks'!D181+178/100000,"")</f>
        <v/>
      </c>
      <c r="B181">
        <f>IF(AND(LEN('Checks'!A181)&gt;0,ISNUMBER('Checks'!D181)),MAX($B$3:B180)+1,"")</f>
        <v/>
      </c>
      <c r="E181">
        <f>IFERROR(MATCH(178,$B$4:$B$503,0),"")</f>
        <v/>
      </c>
    </row>
    <row r="182">
      <c r="A182">
        <f>IF(AND(LEN('Checks'!A182)&gt;0,ISNUMBER('Checks'!D182)),'Checks'!D182+179/100000,"")</f>
        <v/>
      </c>
      <c r="B182">
        <f>IF(AND(LEN('Checks'!A182)&gt;0,ISNUMBER('Checks'!D182)),MAX($B$3:B181)+1,"")</f>
        <v/>
      </c>
      <c r="E182">
        <f>IFERROR(MATCH(179,$B$4:$B$503,0),"")</f>
        <v/>
      </c>
    </row>
    <row r="183">
      <c r="A183">
        <f>IF(AND(LEN('Checks'!A183)&gt;0,ISNUMBER('Checks'!D183)),'Checks'!D183+180/100000,"")</f>
        <v/>
      </c>
      <c r="B183">
        <f>IF(AND(LEN('Checks'!A183)&gt;0,ISNUMBER('Checks'!D183)),MAX($B$3:B182)+1,"")</f>
        <v/>
      </c>
      <c r="E183">
        <f>IFERROR(MATCH(180,$B$4:$B$503,0),"")</f>
        <v/>
      </c>
    </row>
    <row r="184">
      <c r="A184">
        <f>IF(AND(LEN('Checks'!A184)&gt;0,ISNUMBER('Checks'!D184)),'Checks'!D184+181/100000,"")</f>
        <v/>
      </c>
      <c r="B184">
        <f>IF(AND(LEN('Checks'!A184)&gt;0,ISNUMBER('Checks'!D184)),MAX($B$3:B183)+1,"")</f>
        <v/>
      </c>
      <c r="E184">
        <f>IFERROR(MATCH(181,$B$4:$B$503,0),"")</f>
        <v/>
      </c>
    </row>
    <row r="185">
      <c r="A185">
        <f>IF(AND(LEN('Checks'!A185)&gt;0,ISNUMBER('Checks'!D185)),'Checks'!D185+182/100000,"")</f>
        <v/>
      </c>
      <c r="B185">
        <f>IF(AND(LEN('Checks'!A185)&gt;0,ISNUMBER('Checks'!D185)),MAX($B$3:B184)+1,"")</f>
        <v/>
      </c>
      <c r="E185">
        <f>IFERROR(MATCH(182,$B$4:$B$503,0),"")</f>
        <v/>
      </c>
    </row>
    <row r="186">
      <c r="A186">
        <f>IF(AND(LEN('Checks'!A186)&gt;0,ISNUMBER('Checks'!D186)),'Checks'!D186+183/100000,"")</f>
        <v/>
      </c>
      <c r="B186">
        <f>IF(AND(LEN('Checks'!A186)&gt;0,ISNUMBER('Checks'!D186)),MAX($B$3:B185)+1,"")</f>
        <v/>
      </c>
      <c r="E186">
        <f>IFERROR(MATCH(183,$B$4:$B$503,0),"")</f>
        <v/>
      </c>
    </row>
    <row r="187">
      <c r="A187">
        <f>IF(AND(LEN('Checks'!A187)&gt;0,ISNUMBER('Checks'!D187)),'Checks'!D187+184/100000,"")</f>
        <v/>
      </c>
      <c r="B187">
        <f>IF(AND(LEN('Checks'!A187)&gt;0,ISNUMBER('Checks'!D187)),MAX($B$3:B186)+1,"")</f>
        <v/>
      </c>
      <c r="E187">
        <f>IFERROR(MATCH(184,$B$4:$B$503,0),"")</f>
        <v/>
      </c>
    </row>
    <row r="188">
      <c r="A188">
        <f>IF(AND(LEN('Checks'!A188)&gt;0,ISNUMBER('Checks'!D188)),'Checks'!D188+185/100000,"")</f>
        <v/>
      </c>
      <c r="B188">
        <f>IF(AND(LEN('Checks'!A188)&gt;0,ISNUMBER('Checks'!D188)),MAX($B$3:B187)+1,"")</f>
        <v/>
      </c>
      <c r="E188">
        <f>IFERROR(MATCH(185,$B$4:$B$503,0),"")</f>
        <v/>
      </c>
    </row>
    <row r="189">
      <c r="A189">
        <f>IF(AND(LEN('Checks'!A189)&gt;0,ISNUMBER('Checks'!D189)),'Checks'!D189+186/100000,"")</f>
        <v/>
      </c>
      <c r="B189">
        <f>IF(AND(LEN('Checks'!A189)&gt;0,ISNUMBER('Checks'!D189)),MAX($B$3:B188)+1,"")</f>
        <v/>
      </c>
      <c r="E189">
        <f>IFERROR(MATCH(186,$B$4:$B$503,0),"")</f>
        <v/>
      </c>
    </row>
    <row r="190">
      <c r="A190">
        <f>IF(AND(LEN('Checks'!A190)&gt;0,ISNUMBER('Checks'!D190)),'Checks'!D190+187/100000,"")</f>
        <v/>
      </c>
      <c r="B190">
        <f>IF(AND(LEN('Checks'!A190)&gt;0,ISNUMBER('Checks'!D190)),MAX($B$3:B189)+1,"")</f>
        <v/>
      </c>
      <c r="E190">
        <f>IFERROR(MATCH(187,$B$4:$B$503,0),"")</f>
        <v/>
      </c>
    </row>
    <row r="191">
      <c r="A191">
        <f>IF(AND(LEN('Checks'!A191)&gt;0,ISNUMBER('Checks'!D191)),'Checks'!D191+188/100000,"")</f>
        <v/>
      </c>
      <c r="B191">
        <f>IF(AND(LEN('Checks'!A191)&gt;0,ISNUMBER('Checks'!D191)),MAX($B$3:B190)+1,"")</f>
        <v/>
      </c>
      <c r="E191">
        <f>IFERROR(MATCH(188,$B$4:$B$503,0),"")</f>
        <v/>
      </c>
    </row>
    <row r="192">
      <c r="A192">
        <f>IF(AND(LEN('Checks'!A192)&gt;0,ISNUMBER('Checks'!D192)),'Checks'!D192+189/100000,"")</f>
        <v/>
      </c>
      <c r="B192">
        <f>IF(AND(LEN('Checks'!A192)&gt;0,ISNUMBER('Checks'!D192)),MAX($B$3:B191)+1,"")</f>
        <v/>
      </c>
      <c r="E192">
        <f>IFERROR(MATCH(189,$B$4:$B$503,0),"")</f>
        <v/>
      </c>
    </row>
    <row r="193">
      <c r="A193">
        <f>IF(AND(LEN('Checks'!A193)&gt;0,ISNUMBER('Checks'!D193)),'Checks'!D193+190/100000,"")</f>
        <v/>
      </c>
      <c r="B193">
        <f>IF(AND(LEN('Checks'!A193)&gt;0,ISNUMBER('Checks'!D193)),MAX($B$3:B192)+1,"")</f>
        <v/>
      </c>
      <c r="E193">
        <f>IFERROR(MATCH(190,$B$4:$B$503,0),"")</f>
        <v/>
      </c>
    </row>
    <row r="194">
      <c r="A194">
        <f>IF(AND(LEN('Checks'!A194)&gt;0,ISNUMBER('Checks'!D194)),'Checks'!D194+191/100000,"")</f>
        <v/>
      </c>
      <c r="B194">
        <f>IF(AND(LEN('Checks'!A194)&gt;0,ISNUMBER('Checks'!D194)),MAX($B$3:B193)+1,"")</f>
        <v/>
      </c>
      <c r="E194">
        <f>IFERROR(MATCH(191,$B$4:$B$503,0),"")</f>
        <v/>
      </c>
    </row>
    <row r="195">
      <c r="A195">
        <f>IF(AND(LEN('Checks'!A195)&gt;0,ISNUMBER('Checks'!D195)),'Checks'!D195+192/100000,"")</f>
        <v/>
      </c>
      <c r="B195">
        <f>IF(AND(LEN('Checks'!A195)&gt;0,ISNUMBER('Checks'!D195)),MAX($B$3:B194)+1,"")</f>
        <v/>
      </c>
      <c r="E195">
        <f>IFERROR(MATCH(192,$B$4:$B$503,0),"")</f>
        <v/>
      </c>
    </row>
    <row r="196">
      <c r="A196">
        <f>IF(AND(LEN('Checks'!A196)&gt;0,ISNUMBER('Checks'!D196)),'Checks'!D196+193/100000,"")</f>
        <v/>
      </c>
      <c r="B196">
        <f>IF(AND(LEN('Checks'!A196)&gt;0,ISNUMBER('Checks'!D196)),MAX($B$3:B195)+1,"")</f>
        <v/>
      </c>
      <c r="E196">
        <f>IFERROR(MATCH(193,$B$4:$B$503,0),"")</f>
        <v/>
      </c>
    </row>
    <row r="197">
      <c r="A197">
        <f>IF(AND(LEN('Checks'!A197)&gt;0,ISNUMBER('Checks'!D197)),'Checks'!D197+194/100000,"")</f>
        <v/>
      </c>
      <c r="B197">
        <f>IF(AND(LEN('Checks'!A197)&gt;0,ISNUMBER('Checks'!D197)),MAX($B$3:B196)+1,"")</f>
        <v/>
      </c>
      <c r="E197">
        <f>IFERROR(MATCH(194,$B$4:$B$503,0),"")</f>
        <v/>
      </c>
    </row>
    <row r="198">
      <c r="A198">
        <f>IF(AND(LEN('Checks'!A198)&gt;0,ISNUMBER('Checks'!D198)),'Checks'!D198+195/100000,"")</f>
        <v/>
      </c>
      <c r="B198">
        <f>IF(AND(LEN('Checks'!A198)&gt;0,ISNUMBER('Checks'!D198)),MAX($B$3:B197)+1,"")</f>
        <v/>
      </c>
      <c r="E198">
        <f>IFERROR(MATCH(195,$B$4:$B$503,0),"")</f>
        <v/>
      </c>
    </row>
    <row r="199">
      <c r="A199">
        <f>IF(AND(LEN('Checks'!A199)&gt;0,ISNUMBER('Checks'!D199)),'Checks'!D199+196/100000,"")</f>
        <v/>
      </c>
      <c r="B199">
        <f>IF(AND(LEN('Checks'!A199)&gt;0,ISNUMBER('Checks'!D199)),MAX($B$3:B198)+1,"")</f>
        <v/>
      </c>
      <c r="E199">
        <f>IFERROR(MATCH(196,$B$4:$B$503,0),"")</f>
        <v/>
      </c>
    </row>
    <row r="200">
      <c r="A200">
        <f>IF(AND(LEN('Checks'!A200)&gt;0,ISNUMBER('Checks'!D200)),'Checks'!D200+197/100000,"")</f>
        <v/>
      </c>
      <c r="B200">
        <f>IF(AND(LEN('Checks'!A200)&gt;0,ISNUMBER('Checks'!D200)),MAX($B$3:B199)+1,"")</f>
        <v/>
      </c>
      <c r="E200">
        <f>IFERROR(MATCH(197,$B$4:$B$503,0),"")</f>
        <v/>
      </c>
    </row>
    <row r="201">
      <c r="A201">
        <f>IF(AND(LEN('Checks'!A201)&gt;0,ISNUMBER('Checks'!D201)),'Checks'!D201+198/100000,"")</f>
        <v/>
      </c>
      <c r="B201">
        <f>IF(AND(LEN('Checks'!A201)&gt;0,ISNUMBER('Checks'!D201)),MAX($B$3:B200)+1,"")</f>
        <v/>
      </c>
      <c r="E201">
        <f>IFERROR(MATCH(198,$B$4:$B$503,0),"")</f>
        <v/>
      </c>
    </row>
    <row r="202">
      <c r="A202">
        <f>IF(AND(LEN('Checks'!A202)&gt;0,ISNUMBER('Checks'!D202)),'Checks'!D202+199/100000,"")</f>
        <v/>
      </c>
      <c r="B202">
        <f>IF(AND(LEN('Checks'!A202)&gt;0,ISNUMBER('Checks'!D202)),MAX($B$3:B201)+1,"")</f>
        <v/>
      </c>
      <c r="E202">
        <f>IFERROR(MATCH(199,$B$4:$B$503,0),"")</f>
        <v/>
      </c>
    </row>
    <row r="203">
      <c r="A203">
        <f>IF(AND(LEN('Checks'!A203)&gt;0,ISNUMBER('Checks'!D203)),'Checks'!D203+200/100000,"")</f>
        <v/>
      </c>
      <c r="B203">
        <f>IF(AND(LEN('Checks'!A203)&gt;0,ISNUMBER('Checks'!D203)),MAX($B$3:B202)+1,"")</f>
        <v/>
      </c>
      <c r="E203">
        <f>IFERROR(MATCH(200,$B$4:$B$503,0),"")</f>
        <v/>
      </c>
    </row>
    <row r="204">
      <c r="A204">
        <f>IF(AND(LEN('Checks'!A204)&gt;0,ISNUMBER('Checks'!D204)),'Checks'!D204+201/100000,"")</f>
        <v/>
      </c>
      <c r="B204">
        <f>IF(AND(LEN('Checks'!A204)&gt;0,ISNUMBER('Checks'!D204)),MAX($B$3:B203)+1,"")</f>
        <v/>
      </c>
      <c r="E204">
        <f>IFERROR(MATCH(201,$B$4:$B$503,0),"")</f>
        <v/>
      </c>
    </row>
    <row r="205">
      <c r="A205">
        <f>IF(AND(LEN('Checks'!A205)&gt;0,ISNUMBER('Checks'!D205)),'Checks'!D205+202/100000,"")</f>
        <v/>
      </c>
      <c r="B205">
        <f>IF(AND(LEN('Checks'!A205)&gt;0,ISNUMBER('Checks'!D205)),MAX($B$3:B204)+1,"")</f>
        <v/>
      </c>
      <c r="E205">
        <f>IFERROR(MATCH(202,$B$4:$B$503,0),"")</f>
        <v/>
      </c>
    </row>
    <row r="206">
      <c r="A206">
        <f>IF(AND(LEN('Checks'!A206)&gt;0,ISNUMBER('Checks'!D206)),'Checks'!D206+203/100000,"")</f>
        <v/>
      </c>
      <c r="B206">
        <f>IF(AND(LEN('Checks'!A206)&gt;0,ISNUMBER('Checks'!D206)),MAX($B$3:B205)+1,"")</f>
        <v/>
      </c>
      <c r="E206">
        <f>IFERROR(MATCH(203,$B$4:$B$503,0),"")</f>
        <v/>
      </c>
    </row>
    <row r="207">
      <c r="A207">
        <f>IF(AND(LEN('Checks'!A207)&gt;0,ISNUMBER('Checks'!D207)),'Checks'!D207+204/100000,"")</f>
        <v/>
      </c>
      <c r="B207">
        <f>IF(AND(LEN('Checks'!A207)&gt;0,ISNUMBER('Checks'!D207)),MAX($B$3:B206)+1,"")</f>
        <v/>
      </c>
      <c r="E207">
        <f>IFERROR(MATCH(204,$B$4:$B$503,0),"")</f>
        <v/>
      </c>
    </row>
    <row r="208">
      <c r="A208">
        <f>IF(AND(LEN('Checks'!A208)&gt;0,ISNUMBER('Checks'!D208)),'Checks'!D208+205/100000,"")</f>
        <v/>
      </c>
      <c r="B208">
        <f>IF(AND(LEN('Checks'!A208)&gt;0,ISNUMBER('Checks'!D208)),MAX($B$3:B207)+1,"")</f>
        <v/>
      </c>
      <c r="E208">
        <f>IFERROR(MATCH(205,$B$4:$B$503,0),"")</f>
        <v/>
      </c>
    </row>
    <row r="209">
      <c r="A209">
        <f>IF(AND(LEN('Checks'!A209)&gt;0,ISNUMBER('Checks'!D209)),'Checks'!D209+206/100000,"")</f>
        <v/>
      </c>
      <c r="B209">
        <f>IF(AND(LEN('Checks'!A209)&gt;0,ISNUMBER('Checks'!D209)),MAX($B$3:B208)+1,"")</f>
        <v/>
      </c>
      <c r="E209">
        <f>IFERROR(MATCH(206,$B$4:$B$503,0),"")</f>
        <v/>
      </c>
    </row>
    <row r="210">
      <c r="A210">
        <f>IF(AND(LEN('Checks'!A210)&gt;0,ISNUMBER('Checks'!D210)),'Checks'!D210+207/100000,"")</f>
        <v/>
      </c>
      <c r="B210">
        <f>IF(AND(LEN('Checks'!A210)&gt;0,ISNUMBER('Checks'!D210)),MAX($B$3:B209)+1,"")</f>
        <v/>
      </c>
      <c r="E210">
        <f>IFERROR(MATCH(207,$B$4:$B$503,0),"")</f>
        <v/>
      </c>
    </row>
    <row r="211">
      <c r="A211">
        <f>IF(AND(LEN('Checks'!A211)&gt;0,ISNUMBER('Checks'!D211)),'Checks'!D211+208/100000,"")</f>
        <v/>
      </c>
      <c r="B211">
        <f>IF(AND(LEN('Checks'!A211)&gt;0,ISNUMBER('Checks'!D211)),MAX($B$3:B210)+1,"")</f>
        <v/>
      </c>
      <c r="E211">
        <f>IFERROR(MATCH(208,$B$4:$B$503,0),"")</f>
        <v/>
      </c>
    </row>
    <row r="212">
      <c r="A212">
        <f>IF(AND(LEN('Checks'!A212)&gt;0,ISNUMBER('Checks'!D212)),'Checks'!D212+209/100000,"")</f>
        <v/>
      </c>
      <c r="B212">
        <f>IF(AND(LEN('Checks'!A212)&gt;0,ISNUMBER('Checks'!D212)),MAX($B$3:B211)+1,"")</f>
        <v/>
      </c>
      <c r="E212">
        <f>IFERROR(MATCH(209,$B$4:$B$503,0),"")</f>
        <v/>
      </c>
    </row>
    <row r="213">
      <c r="A213">
        <f>IF(AND(LEN('Checks'!A213)&gt;0,ISNUMBER('Checks'!D213)),'Checks'!D213+210/100000,"")</f>
        <v/>
      </c>
      <c r="B213">
        <f>IF(AND(LEN('Checks'!A213)&gt;0,ISNUMBER('Checks'!D213)),MAX($B$3:B212)+1,"")</f>
        <v/>
      </c>
      <c r="E213">
        <f>IFERROR(MATCH(210,$B$4:$B$503,0),"")</f>
        <v/>
      </c>
    </row>
    <row r="214">
      <c r="A214">
        <f>IF(AND(LEN('Checks'!A214)&gt;0,ISNUMBER('Checks'!D214)),'Checks'!D214+211/100000,"")</f>
        <v/>
      </c>
      <c r="B214">
        <f>IF(AND(LEN('Checks'!A214)&gt;0,ISNUMBER('Checks'!D214)),MAX($B$3:B213)+1,"")</f>
        <v/>
      </c>
      <c r="E214">
        <f>IFERROR(MATCH(211,$B$4:$B$503,0),"")</f>
        <v/>
      </c>
    </row>
    <row r="215">
      <c r="A215">
        <f>IF(AND(LEN('Checks'!A215)&gt;0,ISNUMBER('Checks'!D215)),'Checks'!D215+212/100000,"")</f>
        <v/>
      </c>
      <c r="B215">
        <f>IF(AND(LEN('Checks'!A215)&gt;0,ISNUMBER('Checks'!D215)),MAX($B$3:B214)+1,"")</f>
        <v/>
      </c>
      <c r="E215">
        <f>IFERROR(MATCH(212,$B$4:$B$503,0),"")</f>
        <v/>
      </c>
    </row>
    <row r="216">
      <c r="A216">
        <f>IF(AND(LEN('Checks'!A216)&gt;0,ISNUMBER('Checks'!D216)),'Checks'!D216+213/100000,"")</f>
        <v/>
      </c>
      <c r="B216">
        <f>IF(AND(LEN('Checks'!A216)&gt;0,ISNUMBER('Checks'!D216)),MAX($B$3:B215)+1,"")</f>
        <v/>
      </c>
      <c r="E216">
        <f>IFERROR(MATCH(213,$B$4:$B$503,0),"")</f>
        <v/>
      </c>
    </row>
    <row r="217">
      <c r="A217">
        <f>IF(AND(LEN('Checks'!A217)&gt;0,ISNUMBER('Checks'!D217)),'Checks'!D217+214/100000,"")</f>
        <v/>
      </c>
      <c r="B217">
        <f>IF(AND(LEN('Checks'!A217)&gt;0,ISNUMBER('Checks'!D217)),MAX($B$3:B216)+1,"")</f>
        <v/>
      </c>
      <c r="E217">
        <f>IFERROR(MATCH(214,$B$4:$B$503,0),"")</f>
        <v/>
      </c>
    </row>
    <row r="218">
      <c r="A218">
        <f>IF(AND(LEN('Checks'!A218)&gt;0,ISNUMBER('Checks'!D218)),'Checks'!D218+215/100000,"")</f>
        <v/>
      </c>
      <c r="B218">
        <f>IF(AND(LEN('Checks'!A218)&gt;0,ISNUMBER('Checks'!D218)),MAX($B$3:B217)+1,"")</f>
        <v/>
      </c>
      <c r="E218">
        <f>IFERROR(MATCH(215,$B$4:$B$503,0),"")</f>
        <v/>
      </c>
    </row>
    <row r="219">
      <c r="A219">
        <f>IF(AND(LEN('Checks'!A219)&gt;0,ISNUMBER('Checks'!D219)),'Checks'!D219+216/100000,"")</f>
        <v/>
      </c>
      <c r="B219">
        <f>IF(AND(LEN('Checks'!A219)&gt;0,ISNUMBER('Checks'!D219)),MAX($B$3:B218)+1,"")</f>
        <v/>
      </c>
      <c r="E219">
        <f>IFERROR(MATCH(216,$B$4:$B$503,0),"")</f>
        <v/>
      </c>
    </row>
    <row r="220">
      <c r="A220">
        <f>IF(AND(LEN('Checks'!A220)&gt;0,ISNUMBER('Checks'!D220)),'Checks'!D220+217/100000,"")</f>
        <v/>
      </c>
      <c r="B220">
        <f>IF(AND(LEN('Checks'!A220)&gt;0,ISNUMBER('Checks'!D220)),MAX($B$3:B219)+1,"")</f>
        <v/>
      </c>
      <c r="E220">
        <f>IFERROR(MATCH(217,$B$4:$B$503,0),"")</f>
        <v/>
      </c>
    </row>
    <row r="221">
      <c r="A221">
        <f>IF(AND(LEN('Checks'!A221)&gt;0,ISNUMBER('Checks'!D221)),'Checks'!D221+218/100000,"")</f>
        <v/>
      </c>
      <c r="B221">
        <f>IF(AND(LEN('Checks'!A221)&gt;0,ISNUMBER('Checks'!D221)),MAX($B$3:B220)+1,"")</f>
        <v/>
      </c>
      <c r="E221">
        <f>IFERROR(MATCH(218,$B$4:$B$503,0),"")</f>
        <v/>
      </c>
    </row>
    <row r="222">
      <c r="A222">
        <f>IF(AND(LEN('Checks'!A222)&gt;0,ISNUMBER('Checks'!D222)),'Checks'!D222+219/100000,"")</f>
        <v/>
      </c>
      <c r="B222">
        <f>IF(AND(LEN('Checks'!A222)&gt;0,ISNUMBER('Checks'!D222)),MAX($B$3:B221)+1,"")</f>
        <v/>
      </c>
      <c r="E222">
        <f>IFERROR(MATCH(219,$B$4:$B$503,0),"")</f>
        <v/>
      </c>
    </row>
    <row r="223">
      <c r="A223">
        <f>IF(AND(LEN('Checks'!A223)&gt;0,ISNUMBER('Checks'!D223)),'Checks'!D223+220/100000,"")</f>
        <v/>
      </c>
      <c r="B223">
        <f>IF(AND(LEN('Checks'!A223)&gt;0,ISNUMBER('Checks'!D223)),MAX($B$3:B222)+1,"")</f>
        <v/>
      </c>
      <c r="E223">
        <f>IFERROR(MATCH(220,$B$4:$B$503,0),"")</f>
        <v/>
      </c>
    </row>
    <row r="224">
      <c r="A224">
        <f>IF(AND(LEN('Checks'!A224)&gt;0,ISNUMBER('Checks'!D224)),'Checks'!D224+221/100000,"")</f>
        <v/>
      </c>
      <c r="B224">
        <f>IF(AND(LEN('Checks'!A224)&gt;0,ISNUMBER('Checks'!D224)),MAX($B$3:B223)+1,"")</f>
        <v/>
      </c>
      <c r="E224">
        <f>IFERROR(MATCH(221,$B$4:$B$503,0),"")</f>
        <v/>
      </c>
    </row>
    <row r="225">
      <c r="A225">
        <f>IF(AND(LEN('Checks'!A225)&gt;0,ISNUMBER('Checks'!D225)),'Checks'!D225+222/100000,"")</f>
        <v/>
      </c>
      <c r="B225">
        <f>IF(AND(LEN('Checks'!A225)&gt;0,ISNUMBER('Checks'!D225)),MAX($B$3:B224)+1,"")</f>
        <v/>
      </c>
      <c r="E225">
        <f>IFERROR(MATCH(222,$B$4:$B$503,0),"")</f>
        <v/>
      </c>
    </row>
    <row r="226">
      <c r="A226">
        <f>IF(AND(LEN('Checks'!A226)&gt;0,ISNUMBER('Checks'!D226)),'Checks'!D226+223/100000,"")</f>
        <v/>
      </c>
      <c r="B226">
        <f>IF(AND(LEN('Checks'!A226)&gt;0,ISNUMBER('Checks'!D226)),MAX($B$3:B225)+1,"")</f>
        <v/>
      </c>
      <c r="E226">
        <f>IFERROR(MATCH(223,$B$4:$B$503,0),"")</f>
        <v/>
      </c>
    </row>
    <row r="227">
      <c r="A227">
        <f>IF(AND(LEN('Checks'!A227)&gt;0,ISNUMBER('Checks'!D227)),'Checks'!D227+224/100000,"")</f>
        <v/>
      </c>
      <c r="B227">
        <f>IF(AND(LEN('Checks'!A227)&gt;0,ISNUMBER('Checks'!D227)),MAX($B$3:B226)+1,"")</f>
        <v/>
      </c>
      <c r="E227">
        <f>IFERROR(MATCH(224,$B$4:$B$503,0),"")</f>
        <v/>
      </c>
    </row>
    <row r="228">
      <c r="A228">
        <f>IF(AND(LEN('Checks'!A228)&gt;0,ISNUMBER('Checks'!D228)),'Checks'!D228+225/100000,"")</f>
        <v/>
      </c>
      <c r="B228">
        <f>IF(AND(LEN('Checks'!A228)&gt;0,ISNUMBER('Checks'!D228)),MAX($B$3:B227)+1,"")</f>
        <v/>
      </c>
      <c r="E228">
        <f>IFERROR(MATCH(225,$B$4:$B$503,0),"")</f>
        <v/>
      </c>
    </row>
    <row r="229">
      <c r="A229">
        <f>IF(AND(LEN('Checks'!A229)&gt;0,ISNUMBER('Checks'!D229)),'Checks'!D229+226/100000,"")</f>
        <v/>
      </c>
      <c r="B229">
        <f>IF(AND(LEN('Checks'!A229)&gt;0,ISNUMBER('Checks'!D229)),MAX($B$3:B228)+1,"")</f>
        <v/>
      </c>
      <c r="E229">
        <f>IFERROR(MATCH(226,$B$4:$B$503,0),"")</f>
        <v/>
      </c>
    </row>
    <row r="230">
      <c r="A230">
        <f>IF(AND(LEN('Checks'!A230)&gt;0,ISNUMBER('Checks'!D230)),'Checks'!D230+227/100000,"")</f>
        <v/>
      </c>
      <c r="B230">
        <f>IF(AND(LEN('Checks'!A230)&gt;0,ISNUMBER('Checks'!D230)),MAX($B$3:B229)+1,"")</f>
        <v/>
      </c>
      <c r="E230">
        <f>IFERROR(MATCH(227,$B$4:$B$503,0),"")</f>
        <v/>
      </c>
    </row>
    <row r="231">
      <c r="A231">
        <f>IF(AND(LEN('Checks'!A231)&gt;0,ISNUMBER('Checks'!D231)),'Checks'!D231+228/100000,"")</f>
        <v/>
      </c>
      <c r="B231">
        <f>IF(AND(LEN('Checks'!A231)&gt;0,ISNUMBER('Checks'!D231)),MAX($B$3:B230)+1,"")</f>
        <v/>
      </c>
      <c r="E231">
        <f>IFERROR(MATCH(228,$B$4:$B$503,0),"")</f>
        <v/>
      </c>
    </row>
    <row r="232">
      <c r="A232">
        <f>IF(AND(LEN('Checks'!A232)&gt;0,ISNUMBER('Checks'!D232)),'Checks'!D232+229/100000,"")</f>
        <v/>
      </c>
      <c r="B232">
        <f>IF(AND(LEN('Checks'!A232)&gt;0,ISNUMBER('Checks'!D232)),MAX($B$3:B231)+1,"")</f>
        <v/>
      </c>
      <c r="E232">
        <f>IFERROR(MATCH(229,$B$4:$B$503,0),"")</f>
        <v/>
      </c>
    </row>
    <row r="233">
      <c r="A233">
        <f>IF(AND(LEN('Checks'!A233)&gt;0,ISNUMBER('Checks'!D233)),'Checks'!D233+230/100000,"")</f>
        <v/>
      </c>
      <c r="B233">
        <f>IF(AND(LEN('Checks'!A233)&gt;0,ISNUMBER('Checks'!D233)),MAX($B$3:B232)+1,"")</f>
        <v/>
      </c>
      <c r="E233">
        <f>IFERROR(MATCH(230,$B$4:$B$503,0),"")</f>
        <v/>
      </c>
    </row>
    <row r="234">
      <c r="A234">
        <f>IF(AND(LEN('Checks'!A234)&gt;0,ISNUMBER('Checks'!D234)),'Checks'!D234+231/100000,"")</f>
        <v/>
      </c>
      <c r="B234">
        <f>IF(AND(LEN('Checks'!A234)&gt;0,ISNUMBER('Checks'!D234)),MAX($B$3:B233)+1,"")</f>
        <v/>
      </c>
      <c r="E234">
        <f>IFERROR(MATCH(231,$B$4:$B$503,0),"")</f>
        <v/>
      </c>
    </row>
    <row r="235">
      <c r="A235">
        <f>IF(AND(LEN('Checks'!A235)&gt;0,ISNUMBER('Checks'!D235)),'Checks'!D235+232/100000,"")</f>
        <v/>
      </c>
      <c r="B235">
        <f>IF(AND(LEN('Checks'!A235)&gt;0,ISNUMBER('Checks'!D235)),MAX($B$3:B234)+1,"")</f>
        <v/>
      </c>
      <c r="E235">
        <f>IFERROR(MATCH(232,$B$4:$B$503,0),"")</f>
        <v/>
      </c>
    </row>
    <row r="236">
      <c r="A236">
        <f>IF(AND(LEN('Checks'!A236)&gt;0,ISNUMBER('Checks'!D236)),'Checks'!D236+233/100000,"")</f>
        <v/>
      </c>
      <c r="B236">
        <f>IF(AND(LEN('Checks'!A236)&gt;0,ISNUMBER('Checks'!D236)),MAX($B$3:B235)+1,"")</f>
        <v/>
      </c>
      <c r="E236">
        <f>IFERROR(MATCH(233,$B$4:$B$503,0),"")</f>
        <v/>
      </c>
    </row>
    <row r="237">
      <c r="A237">
        <f>IF(AND(LEN('Checks'!A237)&gt;0,ISNUMBER('Checks'!D237)),'Checks'!D237+234/100000,"")</f>
        <v/>
      </c>
      <c r="B237">
        <f>IF(AND(LEN('Checks'!A237)&gt;0,ISNUMBER('Checks'!D237)),MAX($B$3:B236)+1,"")</f>
        <v/>
      </c>
      <c r="E237">
        <f>IFERROR(MATCH(234,$B$4:$B$503,0),"")</f>
        <v/>
      </c>
    </row>
    <row r="238">
      <c r="A238">
        <f>IF(AND(LEN('Checks'!A238)&gt;0,ISNUMBER('Checks'!D238)),'Checks'!D238+235/100000,"")</f>
        <v/>
      </c>
      <c r="B238">
        <f>IF(AND(LEN('Checks'!A238)&gt;0,ISNUMBER('Checks'!D238)),MAX($B$3:B237)+1,"")</f>
        <v/>
      </c>
      <c r="E238">
        <f>IFERROR(MATCH(235,$B$4:$B$503,0),"")</f>
        <v/>
      </c>
    </row>
    <row r="239">
      <c r="A239">
        <f>IF(AND(LEN('Checks'!A239)&gt;0,ISNUMBER('Checks'!D239)),'Checks'!D239+236/100000,"")</f>
        <v/>
      </c>
      <c r="B239">
        <f>IF(AND(LEN('Checks'!A239)&gt;0,ISNUMBER('Checks'!D239)),MAX($B$3:B238)+1,"")</f>
        <v/>
      </c>
      <c r="E239">
        <f>IFERROR(MATCH(236,$B$4:$B$503,0),"")</f>
        <v/>
      </c>
    </row>
    <row r="240">
      <c r="A240">
        <f>IF(AND(LEN('Checks'!A240)&gt;0,ISNUMBER('Checks'!D240)),'Checks'!D240+237/100000,"")</f>
        <v/>
      </c>
      <c r="B240">
        <f>IF(AND(LEN('Checks'!A240)&gt;0,ISNUMBER('Checks'!D240)),MAX($B$3:B239)+1,"")</f>
        <v/>
      </c>
      <c r="E240">
        <f>IFERROR(MATCH(237,$B$4:$B$503,0),"")</f>
        <v/>
      </c>
    </row>
    <row r="241">
      <c r="A241">
        <f>IF(AND(LEN('Checks'!A241)&gt;0,ISNUMBER('Checks'!D241)),'Checks'!D241+238/100000,"")</f>
        <v/>
      </c>
      <c r="B241">
        <f>IF(AND(LEN('Checks'!A241)&gt;0,ISNUMBER('Checks'!D241)),MAX($B$3:B240)+1,"")</f>
        <v/>
      </c>
      <c r="E241">
        <f>IFERROR(MATCH(238,$B$4:$B$503,0),"")</f>
        <v/>
      </c>
    </row>
    <row r="242">
      <c r="A242">
        <f>IF(AND(LEN('Checks'!A242)&gt;0,ISNUMBER('Checks'!D242)),'Checks'!D242+239/100000,"")</f>
        <v/>
      </c>
      <c r="B242">
        <f>IF(AND(LEN('Checks'!A242)&gt;0,ISNUMBER('Checks'!D242)),MAX($B$3:B241)+1,"")</f>
        <v/>
      </c>
      <c r="E242">
        <f>IFERROR(MATCH(239,$B$4:$B$503,0),"")</f>
        <v/>
      </c>
    </row>
    <row r="243">
      <c r="A243">
        <f>IF(AND(LEN('Checks'!A243)&gt;0,ISNUMBER('Checks'!D243)),'Checks'!D243+240/100000,"")</f>
        <v/>
      </c>
      <c r="B243">
        <f>IF(AND(LEN('Checks'!A243)&gt;0,ISNUMBER('Checks'!D243)),MAX($B$3:B242)+1,"")</f>
        <v/>
      </c>
      <c r="E243">
        <f>IFERROR(MATCH(240,$B$4:$B$503,0),"")</f>
        <v/>
      </c>
    </row>
    <row r="244">
      <c r="A244">
        <f>IF(AND(LEN('Checks'!A244)&gt;0,ISNUMBER('Checks'!D244)),'Checks'!D244+241/100000,"")</f>
        <v/>
      </c>
      <c r="B244">
        <f>IF(AND(LEN('Checks'!A244)&gt;0,ISNUMBER('Checks'!D244)),MAX($B$3:B243)+1,"")</f>
        <v/>
      </c>
      <c r="E244">
        <f>IFERROR(MATCH(241,$B$4:$B$503,0),"")</f>
        <v/>
      </c>
    </row>
    <row r="245">
      <c r="A245">
        <f>IF(AND(LEN('Checks'!A245)&gt;0,ISNUMBER('Checks'!D245)),'Checks'!D245+242/100000,"")</f>
        <v/>
      </c>
      <c r="B245">
        <f>IF(AND(LEN('Checks'!A245)&gt;0,ISNUMBER('Checks'!D245)),MAX($B$3:B244)+1,"")</f>
        <v/>
      </c>
      <c r="E245">
        <f>IFERROR(MATCH(242,$B$4:$B$503,0),"")</f>
        <v/>
      </c>
    </row>
    <row r="246">
      <c r="A246">
        <f>IF(AND(LEN('Checks'!A246)&gt;0,ISNUMBER('Checks'!D246)),'Checks'!D246+243/100000,"")</f>
        <v/>
      </c>
      <c r="B246">
        <f>IF(AND(LEN('Checks'!A246)&gt;0,ISNUMBER('Checks'!D246)),MAX($B$3:B245)+1,"")</f>
        <v/>
      </c>
      <c r="E246">
        <f>IFERROR(MATCH(243,$B$4:$B$503,0),"")</f>
        <v/>
      </c>
    </row>
    <row r="247">
      <c r="A247">
        <f>IF(AND(LEN('Checks'!A247)&gt;0,ISNUMBER('Checks'!D247)),'Checks'!D247+244/100000,"")</f>
        <v/>
      </c>
      <c r="B247">
        <f>IF(AND(LEN('Checks'!A247)&gt;0,ISNUMBER('Checks'!D247)),MAX($B$3:B246)+1,"")</f>
        <v/>
      </c>
      <c r="E247">
        <f>IFERROR(MATCH(244,$B$4:$B$503,0),"")</f>
        <v/>
      </c>
    </row>
    <row r="248">
      <c r="A248">
        <f>IF(AND(LEN('Checks'!A248)&gt;0,ISNUMBER('Checks'!D248)),'Checks'!D248+245/100000,"")</f>
        <v/>
      </c>
      <c r="B248">
        <f>IF(AND(LEN('Checks'!A248)&gt;0,ISNUMBER('Checks'!D248)),MAX($B$3:B247)+1,"")</f>
        <v/>
      </c>
      <c r="E248">
        <f>IFERROR(MATCH(245,$B$4:$B$503,0),"")</f>
        <v/>
      </c>
    </row>
    <row r="249">
      <c r="A249">
        <f>IF(AND(LEN('Checks'!A249)&gt;0,ISNUMBER('Checks'!D249)),'Checks'!D249+246/100000,"")</f>
        <v/>
      </c>
      <c r="B249">
        <f>IF(AND(LEN('Checks'!A249)&gt;0,ISNUMBER('Checks'!D249)),MAX($B$3:B248)+1,"")</f>
        <v/>
      </c>
      <c r="E249">
        <f>IFERROR(MATCH(246,$B$4:$B$503,0),"")</f>
        <v/>
      </c>
    </row>
    <row r="250">
      <c r="A250">
        <f>IF(AND(LEN('Checks'!A250)&gt;0,ISNUMBER('Checks'!D250)),'Checks'!D250+247/100000,"")</f>
        <v/>
      </c>
      <c r="B250">
        <f>IF(AND(LEN('Checks'!A250)&gt;0,ISNUMBER('Checks'!D250)),MAX($B$3:B249)+1,"")</f>
        <v/>
      </c>
      <c r="E250">
        <f>IFERROR(MATCH(247,$B$4:$B$503,0),"")</f>
        <v/>
      </c>
    </row>
    <row r="251">
      <c r="A251">
        <f>IF(AND(LEN('Checks'!A251)&gt;0,ISNUMBER('Checks'!D251)),'Checks'!D251+248/100000,"")</f>
        <v/>
      </c>
      <c r="B251">
        <f>IF(AND(LEN('Checks'!A251)&gt;0,ISNUMBER('Checks'!D251)),MAX($B$3:B250)+1,"")</f>
        <v/>
      </c>
      <c r="E251">
        <f>IFERROR(MATCH(248,$B$4:$B$503,0),"")</f>
        <v/>
      </c>
    </row>
    <row r="252">
      <c r="A252">
        <f>IF(AND(LEN('Checks'!A252)&gt;0,ISNUMBER('Checks'!D252)),'Checks'!D252+249/100000,"")</f>
        <v/>
      </c>
      <c r="B252">
        <f>IF(AND(LEN('Checks'!A252)&gt;0,ISNUMBER('Checks'!D252)),MAX($B$3:B251)+1,"")</f>
        <v/>
      </c>
      <c r="E252">
        <f>IFERROR(MATCH(249,$B$4:$B$503,0),"")</f>
        <v/>
      </c>
    </row>
    <row r="253">
      <c r="A253">
        <f>IF(AND(LEN('Checks'!A253)&gt;0,ISNUMBER('Checks'!D253)),'Checks'!D253+250/100000,"")</f>
        <v/>
      </c>
      <c r="B253">
        <f>IF(AND(LEN('Checks'!A253)&gt;0,ISNUMBER('Checks'!D253)),MAX($B$3:B252)+1,"")</f>
        <v/>
      </c>
      <c r="E253">
        <f>IFERROR(MATCH(250,$B$4:$B$503,0),"")</f>
        <v/>
      </c>
    </row>
    <row r="254">
      <c r="A254">
        <f>IF(AND(LEN('Checks'!A254)&gt;0,ISNUMBER('Checks'!D254)),'Checks'!D254+251/100000,"")</f>
        <v/>
      </c>
      <c r="B254">
        <f>IF(AND(LEN('Checks'!A254)&gt;0,ISNUMBER('Checks'!D254)),MAX($B$3:B253)+1,"")</f>
        <v/>
      </c>
      <c r="E254">
        <f>IFERROR(MATCH(251,$B$4:$B$503,0),"")</f>
        <v/>
      </c>
    </row>
    <row r="255">
      <c r="A255">
        <f>IF(AND(LEN('Checks'!A255)&gt;0,ISNUMBER('Checks'!D255)),'Checks'!D255+252/100000,"")</f>
        <v/>
      </c>
      <c r="B255">
        <f>IF(AND(LEN('Checks'!A255)&gt;0,ISNUMBER('Checks'!D255)),MAX($B$3:B254)+1,"")</f>
        <v/>
      </c>
      <c r="E255">
        <f>IFERROR(MATCH(252,$B$4:$B$503,0),"")</f>
        <v/>
      </c>
    </row>
    <row r="256">
      <c r="A256">
        <f>IF(AND(LEN('Checks'!A256)&gt;0,ISNUMBER('Checks'!D256)),'Checks'!D256+253/100000,"")</f>
        <v/>
      </c>
      <c r="B256">
        <f>IF(AND(LEN('Checks'!A256)&gt;0,ISNUMBER('Checks'!D256)),MAX($B$3:B255)+1,"")</f>
        <v/>
      </c>
      <c r="E256">
        <f>IFERROR(MATCH(253,$B$4:$B$503,0),"")</f>
        <v/>
      </c>
    </row>
    <row r="257">
      <c r="A257">
        <f>IF(AND(LEN('Checks'!A257)&gt;0,ISNUMBER('Checks'!D257)),'Checks'!D257+254/100000,"")</f>
        <v/>
      </c>
      <c r="B257">
        <f>IF(AND(LEN('Checks'!A257)&gt;0,ISNUMBER('Checks'!D257)),MAX($B$3:B256)+1,"")</f>
        <v/>
      </c>
      <c r="E257">
        <f>IFERROR(MATCH(254,$B$4:$B$503,0),"")</f>
        <v/>
      </c>
    </row>
    <row r="258">
      <c r="A258">
        <f>IF(AND(LEN('Checks'!A258)&gt;0,ISNUMBER('Checks'!D258)),'Checks'!D258+255/100000,"")</f>
        <v/>
      </c>
      <c r="B258">
        <f>IF(AND(LEN('Checks'!A258)&gt;0,ISNUMBER('Checks'!D258)),MAX($B$3:B257)+1,"")</f>
        <v/>
      </c>
      <c r="E258">
        <f>IFERROR(MATCH(255,$B$4:$B$503,0),"")</f>
        <v/>
      </c>
    </row>
    <row r="259">
      <c r="A259">
        <f>IF(AND(LEN('Checks'!A259)&gt;0,ISNUMBER('Checks'!D259)),'Checks'!D259+256/100000,"")</f>
        <v/>
      </c>
      <c r="B259">
        <f>IF(AND(LEN('Checks'!A259)&gt;0,ISNUMBER('Checks'!D259)),MAX($B$3:B258)+1,"")</f>
        <v/>
      </c>
      <c r="E259">
        <f>IFERROR(MATCH(256,$B$4:$B$503,0),"")</f>
        <v/>
      </c>
    </row>
    <row r="260">
      <c r="A260">
        <f>IF(AND(LEN('Checks'!A260)&gt;0,ISNUMBER('Checks'!D260)),'Checks'!D260+257/100000,"")</f>
        <v/>
      </c>
      <c r="B260">
        <f>IF(AND(LEN('Checks'!A260)&gt;0,ISNUMBER('Checks'!D260)),MAX($B$3:B259)+1,"")</f>
        <v/>
      </c>
      <c r="E260">
        <f>IFERROR(MATCH(257,$B$4:$B$503,0),"")</f>
        <v/>
      </c>
    </row>
    <row r="261">
      <c r="A261">
        <f>IF(AND(LEN('Checks'!A261)&gt;0,ISNUMBER('Checks'!D261)),'Checks'!D261+258/100000,"")</f>
        <v/>
      </c>
      <c r="B261">
        <f>IF(AND(LEN('Checks'!A261)&gt;0,ISNUMBER('Checks'!D261)),MAX($B$3:B260)+1,"")</f>
        <v/>
      </c>
      <c r="E261">
        <f>IFERROR(MATCH(258,$B$4:$B$503,0),"")</f>
        <v/>
      </c>
    </row>
    <row r="262">
      <c r="A262">
        <f>IF(AND(LEN('Checks'!A262)&gt;0,ISNUMBER('Checks'!D262)),'Checks'!D262+259/100000,"")</f>
        <v/>
      </c>
      <c r="B262">
        <f>IF(AND(LEN('Checks'!A262)&gt;0,ISNUMBER('Checks'!D262)),MAX($B$3:B261)+1,"")</f>
        <v/>
      </c>
      <c r="E262">
        <f>IFERROR(MATCH(259,$B$4:$B$503,0),"")</f>
        <v/>
      </c>
    </row>
    <row r="263">
      <c r="A263">
        <f>IF(AND(LEN('Checks'!A263)&gt;0,ISNUMBER('Checks'!D263)),'Checks'!D263+260/100000,"")</f>
        <v/>
      </c>
      <c r="B263">
        <f>IF(AND(LEN('Checks'!A263)&gt;0,ISNUMBER('Checks'!D263)),MAX($B$3:B262)+1,"")</f>
        <v/>
      </c>
      <c r="E263">
        <f>IFERROR(MATCH(260,$B$4:$B$503,0),"")</f>
        <v/>
      </c>
    </row>
    <row r="264">
      <c r="A264">
        <f>IF(AND(LEN('Checks'!A264)&gt;0,ISNUMBER('Checks'!D264)),'Checks'!D264+261/100000,"")</f>
        <v/>
      </c>
      <c r="B264">
        <f>IF(AND(LEN('Checks'!A264)&gt;0,ISNUMBER('Checks'!D264)),MAX($B$3:B263)+1,"")</f>
        <v/>
      </c>
      <c r="E264">
        <f>IFERROR(MATCH(261,$B$4:$B$503,0),"")</f>
        <v/>
      </c>
    </row>
    <row r="265">
      <c r="A265">
        <f>IF(AND(LEN('Checks'!A265)&gt;0,ISNUMBER('Checks'!D265)),'Checks'!D265+262/100000,"")</f>
        <v/>
      </c>
      <c r="B265">
        <f>IF(AND(LEN('Checks'!A265)&gt;0,ISNUMBER('Checks'!D265)),MAX($B$3:B264)+1,"")</f>
        <v/>
      </c>
      <c r="E265">
        <f>IFERROR(MATCH(262,$B$4:$B$503,0),"")</f>
        <v/>
      </c>
    </row>
    <row r="266">
      <c r="A266">
        <f>IF(AND(LEN('Checks'!A266)&gt;0,ISNUMBER('Checks'!D266)),'Checks'!D266+263/100000,"")</f>
        <v/>
      </c>
      <c r="B266">
        <f>IF(AND(LEN('Checks'!A266)&gt;0,ISNUMBER('Checks'!D266)),MAX($B$3:B265)+1,"")</f>
        <v/>
      </c>
      <c r="E266">
        <f>IFERROR(MATCH(263,$B$4:$B$503,0),"")</f>
        <v/>
      </c>
    </row>
    <row r="267">
      <c r="A267">
        <f>IF(AND(LEN('Checks'!A267)&gt;0,ISNUMBER('Checks'!D267)),'Checks'!D267+264/100000,"")</f>
        <v/>
      </c>
      <c r="B267">
        <f>IF(AND(LEN('Checks'!A267)&gt;0,ISNUMBER('Checks'!D267)),MAX($B$3:B266)+1,"")</f>
        <v/>
      </c>
      <c r="E267">
        <f>IFERROR(MATCH(264,$B$4:$B$503,0),"")</f>
        <v/>
      </c>
    </row>
    <row r="268">
      <c r="A268">
        <f>IF(AND(LEN('Checks'!A268)&gt;0,ISNUMBER('Checks'!D268)),'Checks'!D268+265/100000,"")</f>
        <v/>
      </c>
      <c r="B268">
        <f>IF(AND(LEN('Checks'!A268)&gt;0,ISNUMBER('Checks'!D268)),MAX($B$3:B267)+1,"")</f>
        <v/>
      </c>
      <c r="E268">
        <f>IFERROR(MATCH(265,$B$4:$B$503,0),"")</f>
        <v/>
      </c>
    </row>
    <row r="269">
      <c r="A269">
        <f>IF(AND(LEN('Checks'!A269)&gt;0,ISNUMBER('Checks'!D269)),'Checks'!D269+266/100000,"")</f>
        <v/>
      </c>
      <c r="B269">
        <f>IF(AND(LEN('Checks'!A269)&gt;0,ISNUMBER('Checks'!D269)),MAX($B$3:B268)+1,"")</f>
        <v/>
      </c>
      <c r="E269">
        <f>IFERROR(MATCH(266,$B$4:$B$503,0),"")</f>
        <v/>
      </c>
    </row>
    <row r="270">
      <c r="A270">
        <f>IF(AND(LEN('Checks'!A270)&gt;0,ISNUMBER('Checks'!D270)),'Checks'!D270+267/100000,"")</f>
        <v/>
      </c>
      <c r="B270">
        <f>IF(AND(LEN('Checks'!A270)&gt;0,ISNUMBER('Checks'!D270)),MAX($B$3:B269)+1,"")</f>
        <v/>
      </c>
      <c r="E270">
        <f>IFERROR(MATCH(267,$B$4:$B$503,0),"")</f>
        <v/>
      </c>
    </row>
    <row r="271">
      <c r="A271">
        <f>IF(AND(LEN('Checks'!A271)&gt;0,ISNUMBER('Checks'!D271)),'Checks'!D271+268/100000,"")</f>
        <v/>
      </c>
      <c r="B271">
        <f>IF(AND(LEN('Checks'!A271)&gt;0,ISNUMBER('Checks'!D271)),MAX($B$3:B270)+1,"")</f>
        <v/>
      </c>
      <c r="E271">
        <f>IFERROR(MATCH(268,$B$4:$B$503,0),"")</f>
        <v/>
      </c>
    </row>
    <row r="272">
      <c r="A272">
        <f>IF(AND(LEN('Checks'!A272)&gt;0,ISNUMBER('Checks'!D272)),'Checks'!D272+269/100000,"")</f>
        <v/>
      </c>
      <c r="B272">
        <f>IF(AND(LEN('Checks'!A272)&gt;0,ISNUMBER('Checks'!D272)),MAX($B$3:B271)+1,"")</f>
        <v/>
      </c>
      <c r="E272">
        <f>IFERROR(MATCH(269,$B$4:$B$503,0),"")</f>
        <v/>
      </c>
    </row>
    <row r="273">
      <c r="A273">
        <f>IF(AND(LEN('Checks'!A273)&gt;0,ISNUMBER('Checks'!D273)),'Checks'!D273+270/100000,"")</f>
        <v/>
      </c>
      <c r="B273">
        <f>IF(AND(LEN('Checks'!A273)&gt;0,ISNUMBER('Checks'!D273)),MAX($B$3:B272)+1,"")</f>
        <v/>
      </c>
      <c r="E273">
        <f>IFERROR(MATCH(270,$B$4:$B$503,0),"")</f>
        <v/>
      </c>
    </row>
    <row r="274">
      <c r="A274">
        <f>IF(AND(LEN('Checks'!A274)&gt;0,ISNUMBER('Checks'!D274)),'Checks'!D274+271/100000,"")</f>
        <v/>
      </c>
      <c r="B274">
        <f>IF(AND(LEN('Checks'!A274)&gt;0,ISNUMBER('Checks'!D274)),MAX($B$3:B273)+1,"")</f>
        <v/>
      </c>
      <c r="E274">
        <f>IFERROR(MATCH(271,$B$4:$B$503,0),"")</f>
        <v/>
      </c>
    </row>
    <row r="275">
      <c r="A275">
        <f>IF(AND(LEN('Checks'!A275)&gt;0,ISNUMBER('Checks'!D275)),'Checks'!D275+272/100000,"")</f>
        <v/>
      </c>
      <c r="B275">
        <f>IF(AND(LEN('Checks'!A275)&gt;0,ISNUMBER('Checks'!D275)),MAX($B$3:B274)+1,"")</f>
        <v/>
      </c>
      <c r="E275">
        <f>IFERROR(MATCH(272,$B$4:$B$503,0),"")</f>
        <v/>
      </c>
    </row>
    <row r="276">
      <c r="A276">
        <f>IF(AND(LEN('Checks'!A276)&gt;0,ISNUMBER('Checks'!D276)),'Checks'!D276+273/100000,"")</f>
        <v/>
      </c>
      <c r="B276">
        <f>IF(AND(LEN('Checks'!A276)&gt;0,ISNUMBER('Checks'!D276)),MAX($B$3:B275)+1,"")</f>
        <v/>
      </c>
      <c r="E276">
        <f>IFERROR(MATCH(273,$B$4:$B$503,0),"")</f>
        <v/>
      </c>
    </row>
    <row r="277">
      <c r="A277">
        <f>IF(AND(LEN('Checks'!A277)&gt;0,ISNUMBER('Checks'!D277)),'Checks'!D277+274/100000,"")</f>
        <v/>
      </c>
      <c r="B277">
        <f>IF(AND(LEN('Checks'!A277)&gt;0,ISNUMBER('Checks'!D277)),MAX($B$3:B276)+1,"")</f>
        <v/>
      </c>
      <c r="E277">
        <f>IFERROR(MATCH(274,$B$4:$B$503,0),"")</f>
        <v/>
      </c>
    </row>
    <row r="278">
      <c r="A278">
        <f>IF(AND(LEN('Checks'!A278)&gt;0,ISNUMBER('Checks'!D278)),'Checks'!D278+275/100000,"")</f>
        <v/>
      </c>
      <c r="B278">
        <f>IF(AND(LEN('Checks'!A278)&gt;0,ISNUMBER('Checks'!D278)),MAX($B$3:B277)+1,"")</f>
        <v/>
      </c>
      <c r="E278">
        <f>IFERROR(MATCH(275,$B$4:$B$503,0),"")</f>
        <v/>
      </c>
    </row>
    <row r="279">
      <c r="A279">
        <f>IF(AND(LEN('Checks'!A279)&gt;0,ISNUMBER('Checks'!D279)),'Checks'!D279+276/100000,"")</f>
        <v/>
      </c>
      <c r="B279">
        <f>IF(AND(LEN('Checks'!A279)&gt;0,ISNUMBER('Checks'!D279)),MAX($B$3:B278)+1,"")</f>
        <v/>
      </c>
      <c r="E279">
        <f>IFERROR(MATCH(276,$B$4:$B$503,0),"")</f>
        <v/>
      </c>
    </row>
    <row r="280">
      <c r="A280">
        <f>IF(AND(LEN('Checks'!A280)&gt;0,ISNUMBER('Checks'!D280)),'Checks'!D280+277/100000,"")</f>
        <v/>
      </c>
      <c r="B280">
        <f>IF(AND(LEN('Checks'!A280)&gt;0,ISNUMBER('Checks'!D280)),MAX($B$3:B279)+1,"")</f>
        <v/>
      </c>
      <c r="E280">
        <f>IFERROR(MATCH(277,$B$4:$B$503,0),"")</f>
        <v/>
      </c>
    </row>
    <row r="281">
      <c r="A281">
        <f>IF(AND(LEN('Checks'!A281)&gt;0,ISNUMBER('Checks'!D281)),'Checks'!D281+278/100000,"")</f>
        <v/>
      </c>
      <c r="B281">
        <f>IF(AND(LEN('Checks'!A281)&gt;0,ISNUMBER('Checks'!D281)),MAX($B$3:B280)+1,"")</f>
        <v/>
      </c>
      <c r="E281">
        <f>IFERROR(MATCH(278,$B$4:$B$503,0),"")</f>
        <v/>
      </c>
    </row>
    <row r="282">
      <c r="A282">
        <f>IF(AND(LEN('Checks'!A282)&gt;0,ISNUMBER('Checks'!D282)),'Checks'!D282+279/100000,"")</f>
        <v/>
      </c>
      <c r="B282">
        <f>IF(AND(LEN('Checks'!A282)&gt;0,ISNUMBER('Checks'!D282)),MAX($B$3:B281)+1,"")</f>
        <v/>
      </c>
      <c r="E282">
        <f>IFERROR(MATCH(279,$B$4:$B$503,0),"")</f>
        <v/>
      </c>
    </row>
    <row r="283">
      <c r="A283">
        <f>IF(AND(LEN('Checks'!A283)&gt;0,ISNUMBER('Checks'!D283)),'Checks'!D283+280/100000,"")</f>
        <v/>
      </c>
      <c r="B283">
        <f>IF(AND(LEN('Checks'!A283)&gt;0,ISNUMBER('Checks'!D283)),MAX($B$3:B282)+1,"")</f>
        <v/>
      </c>
      <c r="E283">
        <f>IFERROR(MATCH(280,$B$4:$B$503,0),"")</f>
        <v/>
      </c>
    </row>
    <row r="284">
      <c r="A284">
        <f>IF(AND(LEN('Checks'!A284)&gt;0,ISNUMBER('Checks'!D284)),'Checks'!D284+281/100000,"")</f>
        <v/>
      </c>
      <c r="B284">
        <f>IF(AND(LEN('Checks'!A284)&gt;0,ISNUMBER('Checks'!D284)),MAX($B$3:B283)+1,"")</f>
        <v/>
      </c>
      <c r="E284">
        <f>IFERROR(MATCH(281,$B$4:$B$503,0),"")</f>
        <v/>
      </c>
    </row>
    <row r="285">
      <c r="A285">
        <f>IF(AND(LEN('Checks'!A285)&gt;0,ISNUMBER('Checks'!D285)),'Checks'!D285+282/100000,"")</f>
        <v/>
      </c>
      <c r="B285">
        <f>IF(AND(LEN('Checks'!A285)&gt;0,ISNUMBER('Checks'!D285)),MAX($B$3:B284)+1,"")</f>
        <v/>
      </c>
      <c r="E285">
        <f>IFERROR(MATCH(282,$B$4:$B$503,0),"")</f>
        <v/>
      </c>
    </row>
    <row r="286">
      <c r="A286">
        <f>IF(AND(LEN('Checks'!A286)&gt;0,ISNUMBER('Checks'!D286)),'Checks'!D286+283/100000,"")</f>
        <v/>
      </c>
      <c r="B286">
        <f>IF(AND(LEN('Checks'!A286)&gt;0,ISNUMBER('Checks'!D286)),MAX($B$3:B285)+1,"")</f>
        <v/>
      </c>
      <c r="E286">
        <f>IFERROR(MATCH(283,$B$4:$B$503,0),"")</f>
        <v/>
      </c>
    </row>
    <row r="287">
      <c r="A287">
        <f>IF(AND(LEN('Checks'!A287)&gt;0,ISNUMBER('Checks'!D287)),'Checks'!D287+284/100000,"")</f>
        <v/>
      </c>
      <c r="B287">
        <f>IF(AND(LEN('Checks'!A287)&gt;0,ISNUMBER('Checks'!D287)),MAX($B$3:B286)+1,"")</f>
        <v/>
      </c>
      <c r="E287">
        <f>IFERROR(MATCH(284,$B$4:$B$503,0),"")</f>
        <v/>
      </c>
    </row>
    <row r="288">
      <c r="A288">
        <f>IF(AND(LEN('Checks'!A288)&gt;0,ISNUMBER('Checks'!D288)),'Checks'!D288+285/100000,"")</f>
        <v/>
      </c>
      <c r="B288">
        <f>IF(AND(LEN('Checks'!A288)&gt;0,ISNUMBER('Checks'!D288)),MAX($B$3:B287)+1,"")</f>
        <v/>
      </c>
      <c r="E288">
        <f>IFERROR(MATCH(285,$B$4:$B$503,0),"")</f>
        <v/>
      </c>
    </row>
    <row r="289">
      <c r="A289">
        <f>IF(AND(LEN('Checks'!A289)&gt;0,ISNUMBER('Checks'!D289)),'Checks'!D289+286/100000,"")</f>
        <v/>
      </c>
      <c r="B289">
        <f>IF(AND(LEN('Checks'!A289)&gt;0,ISNUMBER('Checks'!D289)),MAX($B$3:B288)+1,"")</f>
        <v/>
      </c>
      <c r="E289">
        <f>IFERROR(MATCH(286,$B$4:$B$503,0),"")</f>
        <v/>
      </c>
    </row>
    <row r="290">
      <c r="A290">
        <f>IF(AND(LEN('Checks'!A290)&gt;0,ISNUMBER('Checks'!D290)),'Checks'!D290+287/100000,"")</f>
        <v/>
      </c>
      <c r="B290">
        <f>IF(AND(LEN('Checks'!A290)&gt;0,ISNUMBER('Checks'!D290)),MAX($B$3:B289)+1,"")</f>
        <v/>
      </c>
      <c r="E290">
        <f>IFERROR(MATCH(287,$B$4:$B$503,0),"")</f>
        <v/>
      </c>
    </row>
    <row r="291">
      <c r="A291">
        <f>IF(AND(LEN('Checks'!A291)&gt;0,ISNUMBER('Checks'!D291)),'Checks'!D291+288/100000,"")</f>
        <v/>
      </c>
      <c r="B291">
        <f>IF(AND(LEN('Checks'!A291)&gt;0,ISNUMBER('Checks'!D291)),MAX($B$3:B290)+1,"")</f>
        <v/>
      </c>
      <c r="E291">
        <f>IFERROR(MATCH(288,$B$4:$B$503,0),"")</f>
        <v/>
      </c>
    </row>
    <row r="292">
      <c r="A292">
        <f>IF(AND(LEN('Checks'!A292)&gt;0,ISNUMBER('Checks'!D292)),'Checks'!D292+289/100000,"")</f>
        <v/>
      </c>
      <c r="B292">
        <f>IF(AND(LEN('Checks'!A292)&gt;0,ISNUMBER('Checks'!D292)),MAX($B$3:B291)+1,"")</f>
        <v/>
      </c>
      <c r="E292">
        <f>IFERROR(MATCH(289,$B$4:$B$503,0),"")</f>
        <v/>
      </c>
    </row>
    <row r="293">
      <c r="A293">
        <f>IF(AND(LEN('Checks'!A293)&gt;0,ISNUMBER('Checks'!D293)),'Checks'!D293+290/100000,"")</f>
        <v/>
      </c>
      <c r="B293">
        <f>IF(AND(LEN('Checks'!A293)&gt;0,ISNUMBER('Checks'!D293)),MAX($B$3:B292)+1,"")</f>
        <v/>
      </c>
      <c r="E293">
        <f>IFERROR(MATCH(290,$B$4:$B$503,0),"")</f>
        <v/>
      </c>
    </row>
    <row r="294">
      <c r="A294">
        <f>IF(AND(LEN('Checks'!A294)&gt;0,ISNUMBER('Checks'!D294)),'Checks'!D294+291/100000,"")</f>
        <v/>
      </c>
      <c r="B294">
        <f>IF(AND(LEN('Checks'!A294)&gt;0,ISNUMBER('Checks'!D294)),MAX($B$3:B293)+1,"")</f>
        <v/>
      </c>
      <c r="E294">
        <f>IFERROR(MATCH(291,$B$4:$B$503,0),"")</f>
        <v/>
      </c>
    </row>
    <row r="295">
      <c r="A295">
        <f>IF(AND(LEN('Checks'!A295)&gt;0,ISNUMBER('Checks'!D295)),'Checks'!D295+292/100000,"")</f>
        <v/>
      </c>
      <c r="B295">
        <f>IF(AND(LEN('Checks'!A295)&gt;0,ISNUMBER('Checks'!D295)),MAX($B$3:B294)+1,"")</f>
        <v/>
      </c>
      <c r="E295">
        <f>IFERROR(MATCH(292,$B$4:$B$503,0),"")</f>
        <v/>
      </c>
    </row>
    <row r="296">
      <c r="A296">
        <f>IF(AND(LEN('Checks'!A296)&gt;0,ISNUMBER('Checks'!D296)),'Checks'!D296+293/100000,"")</f>
        <v/>
      </c>
      <c r="B296">
        <f>IF(AND(LEN('Checks'!A296)&gt;0,ISNUMBER('Checks'!D296)),MAX($B$3:B295)+1,"")</f>
        <v/>
      </c>
      <c r="E296">
        <f>IFERROR(MATCH(293,$B$4:$B$503,0),"")</f>
        <v/>
      </c>
    </row>
    <row r="297">
      <c r="A297">
        <f>IF(AND(LEN('Checks'!A297)&gt;0,ISNUMBER('Checks'!D297)),'Checks'!D297+294/100000,"")</f>
        <v/>
      </c>
      <c r="B297">
        <f>IF(AND(LEN('Checks'!A297)&gt;0,ISNUMBER('Checks'!D297)),MAX($B$3:B296)+1,"")</f>
        <v/>
      </c>
      <c r="E297">
        <f>IFERROR(MATCH(294,$B$4:$B$503,0),"")</f>
        <v/>
      </c>
    </row>
    <row r="298">
      <c r="A298">
        <f>IF(AND(LEN('Checks'!A298)&gt;0,ISNUMBER('Checks'!D298)),'Checks'!D298+295/100000,"")</f>
        <v/>
      </c>
      <c r="B298">
        <f>IF(AND(LEN('Checks'!A298)&gt;0,ISNUMBER('Checks'!D298)),MAX($B$3:B297)+1,"")</f>
        <v/>
      </c>
      <c r="E298">
        <f>IFERROR(MATCH(295,$B$4:$B$503,0),"")</f>
        <v/>
      </c>
    </row>
    <row r="299">
      <c r="A299">
        <f>IF(AND(LEN('Checks'!A299)&gt;0,ISNUMBER('Checks'!D299)),'Checks'!D299+296/100000,"")</f>
        <v/>
      </c>
      <c r="B299">
        <f>IF(AND(LEN('Checks'!A299)&gt;0,ISNUMBER('Checks'!D299)),MAX($B$3:B298)+1,"")</f>
        <v/>
      </c>
      <c r="E299">
        <f>IFERROR(MATCH(296,$B$4:$B$503,0),"")</f>
        <v/>
      </c>
    </row>
    <row r="300">
      <c r="A300">
        <f>IF(AND(LEN('Checks'!A300)&gt;0,ISNUMBER('Checks'!D300)),'Checks'!D300+297/100000,"")</f>
        <v/>
      </c>
      <c r="B300">
        <f>IF(AND(LEN('Checks'!A300)&gt;0,ISNUMBER('Checks'!D300)),MAX($B$3:B299)+1,"")</f>
        <v/>
      </c>
      <c r="E300">
        <f>IFERROR(MATCH(297,$B$4:$B$503,0),"")</f>
        <v/>
      </c>
    </row>
    <row r="301">
      <c r="A301">
        <f>IF(AND(LEN('Checks'!A301)&gt;0,ISNUMBER('Checks'!D301)),'Checks'!D301+298/100000,"")</f>
        <v/>
      </c>
      <c r="B301">
        <f>IF(AND(LEN('Checks'!A301)&gt;0,ISNUMBER('Checks'!D301)),MAX($B$3:B300)+1,"")</f>
        <v/>
      </c>
      <c r="E301">
        <f>IFERROR(MATCH(298,$B$4:$B$503,0),"")</f>
        <v/>
      </c>
    </row>
    <row r="302">
      <c r="A302">
        <f>IF(AND(LEN('Checks'!A302)&gt;0,ISNUMBER('Checks'!D302)),'Checks'!D302+299/100000,"")</f>
        <v/>
      </c>
      <c r="B302">
        <f>IF(AND(LEN('Checks'!A302)&gt;0,ISNUMBER('Checks'!D302)),MAX($B$3:B301)+1,"")</f>
        <v/>
      </c>
      <c r="E302">
        <f>IFERROR(MATCH(299,$B$4:$B$503,0),"")</f>
        <v/>
      </c>
    </row>
    <row r="303">
      <c r="A303">
        <f>IF(AND(LEN('Checks'!A303)&gt;0,ISNUMBER('Checks'!D303)),'Checks'!D303+300/100000,"")</f>
        <v/>
      </c>
      <c r="B303">
        <f>IF(AND(LEN('Checks'!A303)&gt;0,ISNUMBER('Checks'!D303)),MAX($B$3:B302)+1,"")</f>
        <v/>
      </c>
      <c r="E303">
        <f>IFERROR(MATCH(300,$B$4:$B$503,0),"")</f>
        <v/>
      </c>
    </row>
    <row r="304">
      <c r="A304">
        <f>IF(AND(LEN('Checks'!A304)&gt;0,ISNUMBER('Checks'!D304)),'Checks'!D304+301/100000,"")</f>
        <v/>
      </c>
      <c r="B304">
        <f>IF(AND(LEN('Checks'!A304)&gt;0,ISNUMBER('Checks'!D304)),MAX($B$3:B303)+1,"")</f>
        <v/>
      </c>
      <c r="E304">
        <f>IFERROR(MATCH(301,$B$4:$B$503,0),"")</f>
        <v/>
      </c>
    </row>
    <row r="305">
      <c r="A305">
        <f>IF(AND(LEN('Checks'!A305)&gt;0,ISNUMBER('Checks'!D305)),'Checks'!D305+302/100000,"")</f>
        <v/>
      </c>
      <c r="B305">
        <f>IF(AND(LEN('Checks'!A305)&gt;0,ISNUMBER('Checks'!D305)),MAX($B$3:B304)+1,"")</f>
        <v/>
      </c>
      <c r="E305">
        <f>IFERROR(MATCH(302,$B$4:$B$503,0),"")</f>
        <v/>
      </c>
    </row>
    <row r="306">
      <c r="A306">
        <f>IF(AND(LEN('Checks'!A306)&gt;0,ISNUMBER('Checks'!D306)),'Checks'!D306+303/100000,"")</f>
        <v/>
      </c>
      <c r="B306">
        <f>IF(AND(LEN('Checks'!A306)&gt;0,ISNUMBER('Checks'!D306)),MAX($B$3:B305)+1,"")</f>
        <v/>
      </c>
      <c r="E306">
        <f>IFERROR(MATCH(303,$B$4:$B$503,0),"")</f>
        <v/>
      </c>
    </row>
    <row r="307">
      <c r="A307">
        <f>IF(AND(LEN('Checks'!A307)&gt;0,ISNUMBER('Checks'!D307)),'Checks'!D307+304/100000,"")</f>
        <v/>
      </c>
      <c r="B307">
        <f>IF(AND(LEN('Checks'!A307)&gt;0,ISNUMBER('Checks'!D307)),MAX($B$3:B306)+1,"")</f>
        <v/>
      </c>
      <c r="E307">
        <f>IFERROR(MATCH(304,$B$4:$B$503,0),"")</f>
        <v/>
      </c>
    </row>
    <row r="308">
      <c r="A308">
        <f>IF(AND(LEN('Checks'!A308)&gt;0,ISNUMBER('Checks'!D308)),'Checks'!D308+305/100000,"")</f>
        <v/>
      </c>
      <c r="B308">
        <f>IF(AND(LEN('Checks'!A308)&gt;0,ISNUMBER('Checks'!D308)),MAX($B$3:B307)+1,"")</f>
        <v/>
      </c>
      <c r="E308">
        <f>IFERROR(MATCH(305,$B$4:$B$503,0),"")</f>
        <v/>
      </c>
    </row>
    <row r="309">
      <c r="A309">
        <f>IF(AND(LEN('Checks'!A309)&gt;0,ISNUMBER('Checks'!D309)),'Checks'!D309+306/100000,"")</f>
        <v/>
      </c>
      <c r="B309">
        <f>IF(AND(LEN('Checks'!A309)&gt;0,ISNUMBER('Checks'!D309)),MAX($B$3:B308)+1,"")</f>
        <v/>
      </c>
      <c r="E309">
        <f>IFERROR(MATCH(306,$B$4:$B$503,0),"")</f>
        <v/>
      </c>
    </row>
    <row r="310">
      <c r="A310">
        <f>IF(AND(LEN('Checks'!A310)&gt;0,ISNUMBER('Checks'!D310)),'Checks'!D310+307/100000,"")</f>
        <v/>
      </c>
      <c r="B310">
        <f>IF(AND(LEN('Checks'!A310)&gt;0,ISNUMBER('Checks'!D310)),MAX($B$3:B309)+1,"")</f>
        <v/>
      </c>
      <c r="E310">
        <f>IFERROR(MATCH(307,$B$4:$B$503,0),"")</f>
        <v/>
      </c>
    </row>
    <row r="311">
      <c r="A311">
        <f>IF(AND(LEN('Checks'!A311)&gt;0,ISNUMBER('Checks'!D311)),'Checks'!D311+308/100000,"")</f>
        <v/>
      </c>
      <c r="B311">
        <f>IF(AND(LEN('Checks'!A311)&gt;0,ISNUMBER('Checks'!D311)),MAX($B$3:B310)+1,"")</f>
        <v/>
      </c>
      <c r="E311">
        <f>IFERROR(MATCH(308,$B$4:$B$503,0),"")</f>
        <v/>
      </c>
    </row>
    <row r="312">
      <c r="A312">
        <f>IF(AND(LEN('Checks'!A312)&gt;0,ISNUMBER('Checks'!D312)),'Checks'!D312+309/100000,"")</f>
        <v/>
      </c>
      <c r="B312">
        <f>IF(AND(LEN('Checks'!A312)&gt;0,ISNUMBER('Checks'!D312)),MAX($B$3:B311)+1,"")</f>
        <v/>
      </c>
      <c r="E312">
        <f>IFERROR(MATCH(309,$B$4:$B$503,0),"")</f>
        <v/>
      </c>
    </row>
    <row r="313">
      <c r="A313">
        <f>IF(AND(LEN('Checks'!A313)&gt;0,ISNUMBER('Checks'!D313)),'Checks'!D313+310/100000,"")</f>
        <v/>
      </c>
      <c r="B313">
        <f>IF(AND(LEN('Checks'!A313)&gt;0,ISNUMBER('Checks'!D313)),MAX($B$3:B312)+1,"")</f>
        <v/>
      </c>
      <c r="E313">
        <f>IFERROR(MATCH(310,$B$4:$B$503,0),"")</f>
        <v/>
      </c>
    </row>
    <row r="314">
      <c r="A314">
        <f>IF(AND(LEN('Checks'!A314)&gt;0,ISNUMBER('Checks'!D314)),'Checks'!D314+311/100000,"")</f>
        <v/>
      </c>
      <c r="B314">
        <f>IF(AND(LEN('Checks'!A314)&gt;0,ISNUMBER('Checks'!D314)),MAX($B$3:B313)+1,"")</f>
        <v/>
      </c>
      <c r="E314">
        <f>IFERROR(MATCH(311,$B$4:$B$503,0),"")</f>
        <v/>
      </c>
    </row>
    <row r="315">
      <c r="A315">
        <f>IF(AND(LEN('Checks'!A315)&gt;0,ISNUMBER('Checks'!D315)),'Checks'!D315+312/100000,"")</f>
        <v/>
      </c>
      <c r="B315">
        <f>IF(AND(LEN('Checks'!A315)&gt;0,ISNUMBER('Checks'!D315)),MAX($B$3:B314)+1,"")</f>
        <v/>
      </c>
      <c r="E315">
        <f>IFERROR(MATCH(312,$B$4:$B$503,0),"")</f>
        <v/>
      </c>
    </row>
    <row r="316">
      <c r="A316">
        <f>IF(AND(LEN('Checks'!A316)&gt;0,ISNUMBER('Checks'!D316)),'Checks'!D316+313/100000,"")</f>
        <v/>
      </c>
      <c r="B316">
        <f>IF(AND(LEN('Checks'!A316)&gt;0,ISNUMBER('Checks'!D316)),MAX($B$3:B315)+1,"")</f>
        <v/>
      </c>
      <c r="E316">
        <f>IFERROR(MATCH(313,$B$4:$B$503,0),"")</f>
        <v/>
      </c>
    </row>
    <row r="317">
      <c r="A317">
        <f>IF(AND(LEN('Checks'!A317)&gt;0,ISNUMBER('Checks'!D317)),'Checks'!D317+314/100000,"")</f>
        <v/>
      </c>
      <c r="B317">
        <f>IF(AND(LEN('Checks'!A317)&gt;0,ISNUMBER('Checks'!D317)),MAX($B$3:B316)+1,"")</f>
        <v/>
      </c>
      <c r="E317">
        <f>IFERROR(MATCH(314,$B$4:$B$503,0),"")</f>
        <v/>
      </c>
    </row>
    <row r="318">
      <c r="A318">
        <f>IF(AND(LEN('Checks'!A318)&gt;0,ISNUMBER('Checks'!D318)),'Checks'!D318+315/100000,"")</f>
        <v/>
      </c>
      <c r="B318">
        <f>IF(AND(LEN('Checks'!A318)&gt;0,ISNUMBER('Checks'!D318)),MAX($B$3:B317)+1,"")</f>
        <v/>
      </c>
      <c r="E318">
        <f>IFERROR(MATCH(315,$B$4:$B$503,0),"")</f>
        <v/>
      </c>
    </row>
    <row r="319">
      <c r="A319">
        <f>IF(AND(LEN('Checks'!A319)&gt;0,ISNUMBER('Checks'!D319)),'Checks'!D319+316/100000,"")</f>
        <v/>
      </c>
      <c r="B319">
        <f>IF(AND(LEN('Checks'!A319)&gt;0,ISNUMBER('Checks'!D319)),MAX($B$3:B318)+1,"")</f>
        <v/>
      </c>
      <c r="E319">
        <f>IFERROR(MATCH(316,$B$4:$B$503,0),"")</f>
        <v/>
      </c>
    </row>
    <row r="320">
      <c r="A320">
        <f>IF(AND(LEN('Checks'!A320)&gt;0,ISNUMBER('Checks'!D320)),'Checks'!D320+317/100000,"")</f>
        <v/>
      </c>
      <c r="B320">
        <f>IF(AND(LEN('Checks'!A320)&gt;0,ISNUMBER('Checks'!D320)),MAX($B$3:B319)+1,"")</f>
        <v/>
      </c>
      <c r="E320">
        <f>IFERROR(MATCH(317,$B$4:$B$503,0),"")</f>
        <v/>
      </c>
    </row>
    <row r="321">
      <c r="A321">
        <f>IF(AND(LEN('Checks'!A321)&gt;0,ISNUMBER('Checks'!D321)),'Checks'!D321+318/100000,"")</f>
        <v/>
      </c>
      <c r="B321">
        <f>IF(AND(LEN('Checks'!A321)&gt;0,ISNUMBER('Checks'!D321)),MAX($B$3:B320)+1,"")</f>
        <v/>
      </c>
      <c r="E321">
        <f>IFERROR(MATCH(318,$B$4:$B$503,0),"")</f>
        <v/>
      </c>
    </row>
    <row r="322">
      <c r="A322">
        <f>IF(AND(LEN('Checks'!A322)&gt;0,ISNUMBER('Checks'!D322)),'Checks'!D322+319/100000,"")</f>
        <v/>
      </c>
      <c r="B322">
        <f>IF(AND(LEN('Checks'!A322)&gt;0,ISNUMBER('Checks'!D322)),MAX($B$3:B321)+1,"")</f>
        <v/>
      </c>
      <c r="E322">
        <f>IFERROR(MATCH(319,$B$4:$B$503,0),"")</f>
        <v/>
      </c>
    </row>
    <row r="323">
      <c r="A323">
        <f>IF(AND(LEN('Checks'!A323)&gt;0,ISNUMBER('Checks'!D323)),'Checks'!D323+320/100000,"")</f>
        <v/>
      </c>
      <c r="B323">
        <f>IF(AND(LEN('Checks'!A323)&gt;0,ISNUMBER('Checks'!D323)),MAX($B$3:B322)+1,"")</f>
        <v/>
      </c>
      <c r="E323">
        <f>IFERROR(MATCH(320,$B$4:$B$503,0),"")</f>
        <v/>
      </c>
    </row>
    <row r="324">
      <c r="A324">
        <f>IF(AND(LEN('Checks'!A324)&gt;0,ISNUMBER('Checks'!D324)),'Checks'!D324+321/100000,"")</f>
        <v/>
      </c>
      <c r="B324">
        <f>IF(AND(LEN('Checks'!A324)&gt;0,ISNUMBER('Checks'!D324)),MAX($B$3:B323)+1,"")</f>
        <v/>
      </c>
      <c r="E324">
        <f>IFERROR(MATCH(321,$B$4:$B$503,0),"")</f>
        <v/>
      </c>
    </row>
    <row r="325">
      <c r="A325">
        <f>IF(AND(LEN('Checks'!A325)&gt;0,ISNUMBER('Checks'!D325)),'Checks'!D325+322/100000,"")</f>
        <v/>
      </c>
      <c r="B325">
        <f>IF(AND(LEN('Checks'!A325)&gt;0,ISNUMBER('Checks'!D325)),MAX($B$3:B324)+1,"")</f>
        <v/>
      </c>
      <c r="E325">
        <f>IFERROR(MATCH(322,$B$4:$B$503,0),"")</f>
        <v/>
      </c>
    </row>
    <row r="326">
      <c r="A326">
        <f>IF(AND(LEN('Checks'!A326)&gt;0,ISNUMBER('Checks'!D326)),'Checks'!D326+323/100000,"")</f>
        <v/>
      </c>
      <c r="B326">
        <f>IF(AND(LEN('Checks'!A326)&gt;0,ISNUMBER('Checks'!D326)),MAX($B$3:B325)+1,"")</f>
        <v/>
      </c>
      <c r="E326">
        <f>IFERROR(MATCH(323,$B$4:$B$503,0),"")</f>
        <v/>
      </c>
    </row>
    <row r="327">
      <c r="A327">
        <f>IF(AND(LEN('Checks'!A327)&gt;0,ISNUMBER('Checks'!D327)),'Checks'!D327+324/100000,"")</f>
        <v/>
      </c>
      <c r="B327">
        <f>IF(AND(LEN('Checks'!A327)&gt;0,ISNUMBER('Checks'!D327)),MAX($B$3:B326)+1,"")</f>
        <v/>
      </c>
      <c r="E327">
        <f>IFERROR(MATCH(324,$B$4:$B$503,0),"")</f>
        <v/>
      </c>
    </row>
    <row r="328">
      <c r="A328">
        <f>IF(AND(LEN('Checks'!A328)&gt;0,ISNUMBER('Checks'!D328)),'Checks'!D328+325/100000,"")</f>
        <v/>
      </c>
      <c r="B328">
        <f>IF(AND(LEN('Checks'!A328)&gt;0,ISNUMBER('Checks'!D328)),MAX($B$3:B327)+1,"")</f>
        <v/>
      </c>
      <c r="E328">
        <f>IFERROR(MATCH(325,$B$4:$B$503,0),"")</f>
        <v/>
      </c>
    </row>
    <row r="329">
      <c r="A329">
        <f>IF(AND(LEN('Checks'!A329)&gt;0,ISNUMBER('Checks'!D329)),'Checks'!D329+326/100000,"")</f>
        <v/>
      </c>
      <c r="B329">
        <f>IF(AND(LEN('Checks'!A329)&gt;0,ISNUMBER('Checks'!D329)),MAX($B$3:B328)+1,"")</f>
        <v/>
      </c>
      <c r="E329">
        <f>IFERROR(MATCH(326,$B$4:$B$503,0),"")</f>
        <v/>
      </c>
    </row>
    <row r="330">
      <c r="A330">
        <f>IF(AND(LEN('Checks'!A330)&gt;0,ISNUMBER('Checks'!D330)),'Checks'!D330+327/100000,"")</f>
        <v/>
      </c>
      <c r="B330">
        <f>IF(AND(LEN('Checks'!A330)&gt;0,ISNUMBER('Checks'!D330)),MAX($B$3:B329)+1,"")</f>
        <v/>
      </c>
      <c r="E330">
        <f>IFERROR(MATCH(327,$B$4:$B$503,0),"")</f>
        <v/>
      </c>
    </row>
    <row r="331">
      <c r="A331">
        <f>IF(AND(LEN('Checks'!A331)&gt;0,ISNUMBER('Checks'!D331)),'Checks'!D331+328/100000,"")</f>
        <v/>
      </c>
      <c r="B331">
        <f>IF(AND(LEN('Checks'!A331)&gt;0,ISNUMBER('Checks'!D331)),MAX($B$3:B330)+1,"")</f>
        <v/>
      </c>
      <c r="E331">
        <f>IFERROR(MATCH(328,$B$4:$B$503,0),"")</f>
        <v/>
      </c>
    </row>
    <row r="332">
      <c r="A332">
        <f>IF(AND(LEN('Checks'!A332)&gt;0,ISNUMBER('Checks'!D332)),'Checks'!D332+329/100000,"")</f>
        <v/>
      </c>
      <c r="B332">
        <f>IF(AND(LEN('Checks'!A332)&gt;0,ISNUMBER('Checks'!D332)),MAX($B$3:B331)+1,"")</f>
        <v/>
      </c>
      <c r="E332">
        <f>IFERROR(MATCH(329,$B$4:$B$503,0),"")</f>
        <v/>
      </c>
    </row>
    <row r="333">
      <c r="A333">
        <f>IF(AND(LEN('Checks'!A333)&gt;0,ISNUMBER('Checks'!D333)),'Checks'!D333+330/100000,"")</f>
        <v/>
      </c>
      <c r="B333">
        <f>IF(AND(LEN('Checks'!A333)&gt;0,ISNUMBER('Checks'!D333)),MAX($B$3:B332)+1,"")</f>
        <v/>
      </c>
      <c r="E333">
        <f>IFERROR(MATCH(330,$B$4:$B$503,0),"")</f>
        <v/>
      </c>
    </row>
    <row r="334">
      <c r="A334">
        <f>IF(AND(LEN('Checks'!A334)&gt;0,ISNUMBER('Checks'!D334)),'Checks'!D334+331/100000,"")</f>
        <v/>
      </c>
      <c r="B334">
        <f>IF(AND(LEN('Checks'!A334)&gt;0,ISNUMBER('Checks'!D334)),MAX($B$3:B333)+1,"")</f>
        <v/>
      </c>
      <c r="E334">
        <f>IFERROR(MATCH(331,$B$4:$B$503,0),"")</f>
        <v/>
      </c>
    </row>
    <row r="335">
      <c r="A335">
        <f>IF(AND(LEN('Checks'!A335)&gt;0,ISNUMBER('Checks'!D335)),'Checks'!D335+332/100000,"")</f>
        <v/>
      </c>
      <c r="B335">
        <f>IF(AND(LEN('Checks'!A335)&gt;0,ISNUMBER('Checks'!D335)),MAX($B$3:B334)+1,"")</f>
        <v/>
      </c>
      <c r="E335">
        <f>IFERROR(MATCH(332,$B$4:$B$503,0),"")</f>
        <v/>
      </c>
    </row>
    <row r="336">
      <c r="A336">
        <f>IF(AND(LEN('Checks'!A336)&gt;0,ISNUMBER('Checks'!D336)),'Checks'!D336+333/100000,"")</f>
        <v/>
      </c>
      <c r="B336">
        <f>IF(AND(LEN('Checks'!A336)&gt;0,ISNUMBER('Checks'!D336)),MAX($B$3:B335)+1,"")</f>
        <v/>
      </c>
      <c r="E336">
        <f>IFERROR(MATCH(333,$B$4:$B$503,0),"")</f>
        <v/>
      </c>
    </row>
    <row r="337">
      <c r="A337">
        <f>IF(AND(LEN('Checks'!A337)&gt;0,ISNUMBER('Checks'!D337)),'Checks'!D337+334/100000,"")</f>
        <v/>
      </c>
      <c r="B337">
        <f>IF(AND(LEN('Checks'!A337)&gt;0,ISNUMBER('Checks'!D337)),MAX($B$3:B336)+1,"")</f>
        <v/>
      </c>
      <c r="E337">
        <f>IFERROR(MATCH(334,$B$4:$B$503,0),"")</f>
        <v/>
      </c>
    </row>
    <row r="338">
      <c r="A338">
        <f>IF(AND(LEN('Checks'!A338)&gt;0,ISNUMBER('Checks'!D338)),'Checks'!D338+335/100000,"")</f>
        <v/>
      </c>
      <c r="B338">
        <f>IF(AND(LEN('Checks'!A338)&gt;0,ISNUMBER('Checks'!D338)),MAX($B$3:B337)+1,"")</f>
        <v/>
      </c>
      <c r="E338">
        <f>IFERROR(MATCH(335,$B$4:$B$503,0),"")</f>
        <v/>
      </c>
    </row>
    <row r="339">
      <c r="A339">
        <f>IF(AND(LEN('Checks'!A339)&gt;0,ISNUMBER('Checks'!D339)),'Checks'!D339+336/100000,"")</f>
        <v/>
      </c>
      <c r="B339">
        <f>IF(AND(LEN('Checks'!A339)&gt;0,ISNUMBER('Checks'!D339)),MAX($B$3:B338)+1,"")</f>
        <v/>
      </c>
      <c r="E339">
        <f>IFERROR(MATCH(336,$B$4:$B$503,0),"")</f>
        <v/>
      </c>
    </row>
    <row r="340">
      <c r="A340">
        <f>IF(AND(LEN('Checks'!A340)&gt;0,ISNUMBER('Checks'!D340)),'Checks'!D340+337/100000,"")</f>
        <v/>
      </c>
      <c r="B340">
        <f>IF(AND(LEN('Checks'!A340)&gt;0,ISNUMBER('Checks'!D340)),MAX($B$3:B339)+1,"")</f>
        <v/>
      </c>
      <c r="E340">
        <f>IFERROR(MATCH(337,$B$4:$B$503,0),"")</f>
        <v/>
      </c>
    </row>
    <row r="341">
      <c r="A341">
        <f>IF(AND(LEN('Checks'!A341)&gt;0,ISNUMBER('Checks'!D341)),'Checks'!D341+338/100000,"")</f>
        <v/>
      </c>
      <c r="B341">
        <f>IF(AND(LEN('Checks'!A341)&gt;0,ISNUMBER('Checks'!D341)),MAX($B$3:B340)+1,"")</f>
        <v/>
      </c>
      <c r="E341">
        <f>IFERROR(MATCH(338,$B$4:$B$503,0),"")</f>
        <v/>
      </c>
    </row>
    <row r="342">
      <c r="A342">
        <f>IF(AND(LEN('Checks'!A342)&gt;0,ISNUMBER('Checks'!D342)),'Checks'!D342+339/100000,"")</f>
        <v/>
      </c>
      <c r="B342">
        <f>IF(AND(LEN('Checks'!A342)&gt;0,ISNUMBER('Checks'!D342)),MAX($B$3:B341)+1,"")</f>
        <v/>
      </c>
      <c r="E342">
        <f>IFERROR(MATCH(339,$B$4:$B$503,0),"")</f>
        <v/>
      </c>
    </row>
    <row r="343">
      <c r="A343">
        <f>IF(AND(LEN('Checks'!A343)&gt;0,ISNUMBER('Checks'!D343)),'Checks'!D343+340/100000,"")</f>
        <v/>
      </c>
      <c r="B343">
        <f>IF(AND(LEN('Checks'!A343)&gt;0,ISNUMBER('Checks'!D343)),MAX($B$3:B342)+1,"")</f>
        <v/>
      </c>
      <c r="E343">
        <f>IFERROR(MATCH(340,$B$4:$B$503,0),"")</f>
        <v/>
      </c>
    </row>
    <row r="344">
      <c r="A344">
        <f>IF(AND(LEN('Checks'!A344)&gt;0,ISNUMBER('Checks'!D344)),'Checks'!D344+341/100000,"")</f>
        <v/>
      </c>
      <c r="B344">
        <f>IF(AND(LEN('Checks'!A344)&gt;0,ISNUMBER('Checks'!D344)),MAX($B$3:B343)+1,"")</f>
        <v/>
      </c>
      <c r="E344">
        <f>IFERROR(MATCH(341,$B$4:$B$503,0),"")</f>
        <v/>
      </c>
    </row>
    <row r="345">
      <c r="A345">
        <f>IF(AND(LEN('Checks'!A345)&gt;0,ISNUMBER('Checks'!D345)),'Checks'!D345+342/100000,"")</f>
        <v/>
      </c>
      <c r="B345">
        <f>IF(AND(LEN('Checks'!A345)&gt;0,ISNUMBER('Checks'!D345)),MAX($B$3:B344)+1,"")</f>
        <v/>
      </c>
      <c r="E345">
        <f>IFERROR(MATCH(342,$B$4:$B$503,0),"")</f>
        <v/>
      </c>
    </row>
    <row r="346">
      <c r="A346">
        <f>IF(AND(LEN('Checks'!A346)&gt;0,ISNUMBER('Checks'!D346)),'Checks'!D346+343/100000,"")</f>
        <v/>
      </c>
      <c r="B346">
        <f>IF(AND(LEN('Checks'!A346)&gt;0,ISNUMBER('Checks'!D346)),MAX($B$3:B345)+1,"")</f>
        <v/>
      </c>
      <c r="E346">
        <f>IFERROR(MATCH(343,$B$4:$B$503,0),"")</f>
        <v/>
      </c>
    </row>
    <row r="347">
      <c r="A347">
        <f>IF(AND(LEN('Checks'!A347)&gt;0,ISNUMBER('Checks'!D347)),'Checks'!D347+344/100000,"")</f>
        <v/>
      </c>
      <c r="B347">
        <f>IF(AND(LEN('Checks'!A347)&gt;0,ISNUMBER('Checks'!D347)),MAX($B$3:B346)+1,"")</f>
        <v/>
      </c>
      <c r="E347">
        <f>IFERROR(MATCH(344,$B$4:$B$503,0),"")</f>
        <v/>
      </c>
    </row>
    <row r="348">
      <c r="A348">
        <f>IF(AND(LEN('Checks'!A348)&gt;0,ISNUMBER('Checks'!D348)),'Checks'!D348+345/100000,"")</f>
        <v/>
      </c>
      <c r="B348">
        <f>IF(AND(LEN('Checks'!A348)&gt;0,ISNUMBER('Checks'!D348)),MAX($B$3:B347)+1,"")</f>
        <v/>
      </c>
      <c r="E348">
        <f>IFERROR(MATCH(345,$B$4:$B$503,0),"")</f>
        <v/>
      </c>
    </row>
    <row r="349">
      <c r="A349">
        <f>IF(AND(LEN('Checks'!A349)&gt;0,ISNUMBER('Checks'!D349)),'Checks'!D349+346/100000,"")</f>
        <v/>
      </c>
      <c r="B349">
        <f>IF(AND(LEN('Checks'!A349)&gt;0,ISNUMBER('Checks'!D349)),MAX($B$3:B348)+1,"")</f>
        <v/>
      </c>
      <c r="E349">
        <f>IFERROR(MATCH(346,$B$4:$B$503,0),"")</f>
        <v/>
      </c>
    </row>
    <row r="350">
      <c r="A350">
        <f>IF(AND(LEN('Checks'!A350)&gt;0,ISNUMBER('Checks'!D350)),'Checks'!D350+347/100000,"")</f>
        <v/>
      </c>
      <c r="B350">
        <f>IF(AND(LEN('Checks'!A350)&gt;0,ISNUMBER('Checks'!D350)),MAX($B$3:B349)+1,"")</f>
        <v/>
      </c>
      <c r="E350">
        <f>IFERROR(MATCH(347,$B$4:$B$503,0),"")</f>
        <v/>
      </c>
    </row>
    <row r="351">
      <c r="A351">
        <f>IF(AND(LEN('Checks'!A351)&gt;0,ISNUMBER('Checks'!D351)),'Checks'!D351+348/100000,"")</f>
        <v/>
      </c>
      <c r="B351">
        <f>IF(AND(LEN('Checks'!A351)&gt;0,ISNUMBER('Checks'!D351)),MAX($B$3:B350)+1,"")</f>
        <v/>
      </c>
      <c r="E351">
        <f>IFERROR(MATCH(348,$B$4:$B$503,0),"")</f>
        <v/>
      </c>
    </row>
    <row r="352">
      <c r="A352">
        <f>IF(AND(LEN('Checks'!A352)&gt;0,ISNUMBER('Checks'!D352)),'Checks'!D352+349/100000,"")</f>
        <v/>
      </c>
      <c r="B352">
        <f>IF(AND(LEN('Checks'!A352)&gt;0,ISNUMBER('Checks'!D352)),MAX($B$3:B351)+1,"")</f>
        <v/>
      </c>
      <c r="E352">
        <f>IFERROR(MATCH(349,$B$4:$B$503,0),"")</f>
        <v/>
      </c>
    </row>
    <row r="353">
      <c r="A353">
        <f>IF(AND(LEN('Checks'!A353)&gt;0,ISNUMBER('Checks'!D353)),'Checks'!D353+350/100000,"")</f>
        <v/>
      </c>
      <c r="B353">
        <f>IF(AND(LEN('Checks'!A353)&gt;0,ISNUMBER('Checks'!D353)),MAX($B$3:B352)+1,"")</f>
        <v/>
      </c>
      <c r="E353">
        <f>IFERROR(MATCH(350,$B$4:$B$503,0),"")</f>
        <v/>
      </c>
    </row>
    <row r="354">
      <c r="A354">
        <f>IF(AND(LEN('Checks'!A354)&gt;0,ISNUMBER('Checks'!D354)),'Checks'!D354+351/100000,"")</f>
        <v/>
      </c>
      <c r="B354">
        <f>IF(AND(LEN('Checks'!A354)&gt;0,ISNUMBER('Checks'!D354)),MAX($B$3:B353)+1,"")</f>
        <v/>
      </c>
      <c r="E354">
        <f>IFERROR(MATCH(351,$B$4:$B$503,0),"")</f>
        <v/>
      </c>
    </row>
    <row r="355">
      <c r="A355">
        <f>IF(AND(LEN('Checks'!A355)&gt;0,ISNUMBER('Checks'!D355)),'Checks'!D355+352/100000,"")</f>
        <v/>
      </c>
      <c r="B355">
        <f>IF(AND(LEN('Checks'!A355)&gt;0,ISNUMBER('Checks'!D355)),MAX($B$3:B354)+1,"")</f>
        <v/>
      </c>
      <c r="E355">
        <f>IFERROR(MATCH(352,$B$4:$B$503,0),"")</f>
        <v/>
      </c>
    </row>
    <row r="356">
      <c r="A356">
        <f>IF(AND(LEN('Checks'!A356)&gt;0,ISNUMBER('Checks'!D356)),'Checks'!D356+353/100000,"")</f>
        <v/>
      </c>
      <c r="B356">
        <f>IF(AND(LEN('Checks'!A356)&gt;0,ISNUMBER('Checks'!D356)),MAX($B$3:B355)+1,"")</f>
        <v/>
      </c>
      <c r="E356">
        <f>IFERROR(MATCH(353,$B$4:$B$503,0),"")</f>
        <v/>
      </c>
    </row>
    <row r="357">
      <c r="A357">
        <f>IF(AND(LEN('Checks'!A357)&gt;0,ISNUMBER('Checks'!D357)),'Checks'!D357+354/100000,"")</f>
        <v/>
      </c>
      <c r="B357">
        <f>IF(AND(LEN('Checks'!A357)&gt;0,ISNUMBER('Checks'!D357)),MAX($B$3:B356)+1,"")</f>
        <v/>
      </c>
      <c r="E357">
        <f>IFERROR(MATCH(354,$B$4:$B$503,0),"")</f>
        <v/>
      </c>
    </row>
    <row r="358">
      <c r="A358">
        <f>IF(AND(LEN('Checks'!A358)&gt;0,ISNUMBER('Checks'!D358)),'Checks'!D358+355/100000,"")</f>
        <v/>
      </c>
      <c r="B358">
        <f>IF(AND(LEN('Checks'!A358)&gt;0,ISNUMBER('Checks'!D358)),MAX($B$3:B357)+1,"")</f>
        <v/>
      </c>
      <c r="E358">
        <f>IFERROR(MATCH(355,$B$4:$B$503,0),"")</f>
        <v/>
      </c>
    </row>
    <row r="359">
      <c r="A359">
        <f>IF(AND(LEN('Checks'!A359)&gt;0,ISNUMBER('Checks'!D359)),'Checks'!D359+356/100000,"")</f>
        <v/>
      </c>
      <c r="B359">
        <f>IF(AND(LEN('Checks'!A359)&gt;0,ISNUMBER('Checks'!D359)),MAX($B$3:B358)+1,"")</f>
        <v/>
      </c>
      <c r="E359">
        <f>IFERROR(MATCH(356,$B$4:$B$503,0),"")</f>
        <v/>
      </c>
    </row>
    <row r="360">
      <c r="A360">
        <f>IF(AND(LEN('Checks'!A360)&gt;0,ISNUMBER('Checks'!D360)),'Checks'!D360+357/100000,"")</f>
        <v/>
      </c>
      <c r="B360">
        <f>IF(AND(LEN('Checks'!A360)&gt;0,ISNUMBER('Checks'!D360)),MAX($B$3:B359)+1,"")</f>
        <v/>
      </c>
      <c r="E360">
        <f>IFERROR(MATCH(357,$B$4:$B$503,0),"")</f>
        <v/>
      </c>
    </row>
    <row r="361">
      <c r="A361">
        <f>IF(AND(LEN('Checks'!A361)&gt;0,ISNUMBER('Checks'!D361)),'Checks'!D361+358/100000,"")</f>
        <v/>
      </c>
      <c r="B361">
        <f>IF(AND(LEN('Checks'!A361)&gt;0,ISNUMBER('Checks'!D361)),MAX($B$3:B360)+1,"")</f>
        <v/>
      </c>
      <c r="E361">
        <f>IFERROR(MATCH(358,$B$4:$B$503,0),"")</f>
        <v/>
      </c>
    </row>
    <row r="362">
      <c r="A362">
        <f>IF(AND(LEN('Checks'!A362)&gt;0,ISNUMBER('Checks'!D362)),'Checks'!D362+359/100000,"")</f>
        <v/>
      </c>
      <c r="B362">
        <f>IF(AND(LEN('Checks'!A362)&gt;0,ISNUMBER('Checks'!D362)),MAX($B$3:B361)+1,"")</f>
        <v/>
      </c>
      <c r="E362">
        <f>IFERROR(MATCH(359,$B$4:$B$503,0),"")</f>
        <v/>
      </c>
    </row>
    <row r="363">
      <c r="A363">
        <f>IF(AND(LEN('Checks'!A363)&gt;0,ISNUMBER('Checks'!D363)),'Checks'!D363+360/100000,"")</f>
        <v/>
      </c>
      <c r="B363">
        <f>IF(AND(LEN('Checks'!A363)&gt;0,ISNUMBER('Checks'!D363)),MAX($B$3:B362)+1,"")</f>
        <v/>
      </c>
      <c r="E363">
        <f>IFERROR(MATCH(360,$B$4:$B$503,0),"")</f>
        <v/>
      </c>
    </row>
    <row r="364">
      <c r="A364">
        <f>IF(AND(LEN('Checks'!A364)&gt;0,ISNUMBER('Checks'!D364)),'Checks'!D364+361/100000,"")</f>
        <v/>
      </c>
      <c r="B364">
        <f>IF(AND(LEN('Checks'!A364)&gt;0,ISNUMBER('Checks'!D364)),MAX($B$3:B363)+1,"")</f>
        <v/>
      </c>
      <c r="E364">
        <f>IFERROR(MATCH(361,$B$4:$B$503,0),"")</f>
        <v/>
      </c>
    </row>
    <row r="365">
      <c r="A365">
        <f>IF(AND(LEN('Checks'!A365)&gt;0,ISNUMBER('Checks'!D365)),'Checks'!D365+362/100000,"")</f>
        <v/>
      </c>
      <c r="B365">
        <f>IF(AND(LEN('Checks'!A365)&gt;0,ISNUMBER('Checks'!D365)),MAX($B$3:B364)+1,"")</f>
        <v/>
      </c>
      <c r="E365">
        <f>IFERROR(MATCH(362,$B$4:$B$503,0),"")</f>
        <v/>
      </c>
    </row>
    <row r="366">
      <c r="A366">
        <f>IF(AND(LEN('Checks'!A366)&gt;0,ISNUMBER('Checks'!D366)),'Checks'!D366+363/100000,"")</f>
        <v/>
      </c>
      <c r="B366">
        <f>IF(AND(LEN('Checks'!A366)&gt;0,ISNUMBER('Checks'!D366)),MAX($B$3:B365)+1,"")</f>
        <v/>
      </c>
      <c r="E366">
        <f>IFERROR(MATCH(363,$B$4:$B$503,0),"")</f>
        <v/>
      </c>
    </row>
    <row r="367">
      <c r="A367">
        <f>IF(AND(LEN('Checks'!A367)&gt;0,ISNUMBER('Checks'!D367)),'Checks'!D367+364/100000,"")</f>
        <v/>
      </c>
      <c r="B367">
        <f>IF(AND(LEN('Checks'!A367)&gt;0,ISNUMBER('Checks'!D367)),MAX($B$3:B366)+1,"")</f>
        <v/>
      </c>
      <c r="E367">
        <f>IFERROR(MATCH(364,$B$4:$B$503,0),"")</f>
        <v/>
      </c>
    </row>
    <row r="368">
      <c r="A368">
        <f>IF(AND(LEN('Checks'!A368)&gt;0,ISNUMBER('Checks'!D368)),'Checks'!D368+365/100000,"")</f>
        <v/>
      </c>
      <c r="B368">
        <f>IF(AND(LEN('Checks'!A368)&gt;0,ISNUMBER('Checks'!D368)),MAX($B$3:B367)+1,"")</f>
        <v/>
      </c>
      <c r="E368">
        <f>IFERROR(MATCH(365,$B$4:$B$503,0),"")</f>
        <v/>
      </c>
    </row>
    <row r="369">
      <c r="A369">
        <f>IF(AND(LEN('Checks'!A369)&gt;0,ISNUMBER('Checks'!D369)),'Checks'!D369+366/100000,"")</f>
        <v/>
      </c>
      <c r="B369">
        <f>IF(AND(LEN('Checks'!A369)&gt;0,ISNUMBER('Checks'!D369)),MAX($B$3:B368)+1,"")</f>
        <v/>
      </c>
      <c r="E369">
        <f>IFERROR(MATCH(366,$B$4:$B$503,0),"")</f>
        <v/>
      </c>
    </row>
    <row r="370">
      <c r="A370">
        <f>IF(AND(LEN('Checks'!A370)&gt;0,ISNUMBER('Checks'!D370)),'Checks'!D370+367/100000,"")</f>
        <v/>
      </c>
      <c r="B370">
        <f>IF(AND(LEN('Checks'!A370)&gt;0,ISNUMBER('Checks'!D370)),MAX($B$3:B369)+1,"")</f>
        <v/>
      </c>
      <c r="E370">
        <f>IFERROR(MATCH(367,$B$4:$B$503,0),"")</f>
        <v/>
      </c>
    </row>
    <row r="371">
      <c r="A371">
        <f>IF(AND(LEN('Checks'!A371)&gt;0,ISNUMBER('Checks'!D371)),'Checks'!D371+368/100000,"")</f>
        <v/>
      </c>
      <c r="B371">
        <f>IF(AND(LEN('Checks'!A371)&gt;0,ISNUMBER('Checks'!D371)),MAX($B$3:B370)+1,"")</f>
        <v/>
      </c>
      <c r="E371">
        <f>IFERROR(MATCH(368,$B$4:$B$503,0),"")</f>
        <v/>
      </c>
    </row>
    <row r="372">
      <c r="A372">
        <f>IF(AND(LEN('Checks'!A372)&gt;0,ISNUMBER('Checks'!D372)),'Checks'!D372+369/100000,"")</f>
        <v/>
      </c>
      <c r="B372">
        <f>IF(AND(LEN('Checks'!A372)&gt;0,ISNUMBER('Checks'!D372)),MAX($B$3:B371)+1,"")</f>
        <v/>
      </c>
      <c r="E372">
        <f>IFERROR(MATCH(369,$B$4:$B$503,0),"")</f>
        <v/>
      </c>
    </row>
    <row r="373">
      <c r="A373">
        <f>IF(AND(LEN('Checks'!A373)&gt;0,ISNUMBER('Checks'!D373)),'Checks'!D373+370/100000,"")</f>
        <v/>
      </c>
      <c r="B373">
        <f>IF(AND(LEN('Checks'!A373)&gt;0,ISNUMBER('Checks'!D373)),MAX($B$3:B372)+1,"")</f>
        <v/>
      </c>
      <c r="E373">
        <f>IFERROR(MATCH(370,$B$4:$B$503,0),"")</f>
        <v/>
      </c>
    </row>
    <row r="374">
      <c r="A374">
        <f>IF(AND(LEN('Checks'!A374)&gt;0,ISNUMBER('Checks'!D374)),'Checks'!D374+371/100000,"")</f>
        <v/>
      </c>
      <c r="B374">
        <f>IF(AND(LEN('Checks'!A374)&gt;0,ISNUMBER('Checks'!D374)),MAX($B$3:B373)+1,"")</f>
        <v/>
      </c>
      <c r="E374">
        <f>IFERROR(MATCH(371,$B$4:$B$503,0),"")</f>
        <v/>
      </c>
    </row>
    <row r="375">
      <c r="A375">
        <f>IF(AND(LEN('Checks'!A375)&gt;0,ISNUMBER('Checks'!D375)),'Checks'!D375+372/100000,"")</f>
        <v/>
      </c>
      <c r="B375">
        <f>IF(AND(LEN('Checks'!A375)&gt;0,ISNUMBER('Checks'!D375)),MAX($B$3:B374)+1,"")</f>
        <v/>
      </c>
      <c r="E375">
        <f>IFERROR(MATCH(372,$B$4:$B$503,0),"")</f>
        <v/>
      </c>
    </row>
    <row r="376">
      <c r="A376">
        <f>IF(AND(LEN('Checks'!A376)&gt;0,ISNUMBER('Checks'!D376)),'Checks'!D376+373/100000,"")</f>
        <v/>
      </c>
      <c r="B376">
        <f>IF(AND(LEN('Checks'!A376)&gt;0,ISNUMBER('Checks'!D376)),MAX($B$3:B375)+1,"")</f>
        <v/>
      </c>
      <c r="E376">
        <f>IFERROR(MATCH(373,$B$4:$B$503,0),"")</f>
        <v/>
      </c>
    </row>
    <row r="377">
      <c r="A377">
        <f>IF(AND(LEN('Checks'!A377)&gt;0,ISNUMBER('Checks'!D377)),'Checks'!D377+374/100000,"")</f>
        <v/>
      </c>
      <c r="B377">
        <f>IF(AND(LEN('Checks'!A377)&gt;0,ISNUMBER('Checks'!D377)),MAX($B$3:B376)+1,"")</f>
        <v/>
      </c>
      <c r="E377">
        <f>IFERROR(MATCH(374,$B$4:$B$503,0),"")</f>
        <v/>
      </c>
    </row>
    <row r="378">
      <c r="A378">
        <f>IF(AND(LEN('Checks'!A378)&gt;0,ISNUMBER('Checks'!D378)),'Checks'!D378+375/100000,"")</f>
        <v/>
      </c>
      <c r="B378">
        <f>IF(AND(LEN('Checks'!A378)&gt;0,ISNUMBER('Checks'!D378)),MAX($B$3:B377)+1,"")</f>
        <v/>
      </c>
      <c r="E378">
        <f>IFERROR(MATCH(375,$B$4:$B$503,0),"")</f>
        <v/>
      </c>
    </row>
    <row r="379">
      <c r="A379">
        <f>IF(AND(LEN('Checks'!A379)&gt;0,ISNUMBER('Checks'!D379)),'Checks'!D379+376/100000,"")</f>
        <v/>
      </c>
      <c r="B379">
        <f>IF(AND(LEN('Checks'!A379)&gt;0,ISNUMBER('Checks'!D379)),MAX($B$3:B378)+1,"")</f>
        <v/>
      </c>
      <c r="E379">
        <f>IFERROR(MATCH(376,$B$4:$B$503,0),"")</f>
        <v/>
      </c>
    </row>
    <row r="380">
      <c r="A380">
        <f>IF(AND(LEN('Checks'!A380)&gt;0,ISNUMBER('Checks'!D380)),'Checks'!D380+377/100000,"")</f>
        <v/>
      </c>
      <c r="B380">
        <f>IF(AND(LEN('Checks'!A380)&gt;0,ISNUMBER('Checks'!D380)),MAX($B$3:B379)+1,"")</f>
        <v/>
      </c>
      <c r="E380">
        <f>IFERROR(MATCH(377,$B$4:$B$503,0),"")</f>
        <v/>
      </c>
    </row>
    <row r="381">
      <c r="A381">
        <f>IF(AND(LEN('Checks'!A381)&gt;0,ISNUMBER('Checks'!D381)),'Checks'!D381+378/100000,"")</f>
        <v/>
      </c>
      <c r="B381">
        <f>IF(AND(LEN('Checks'!A381)&gt;0,ISNUMBER('Checks'!D381)),MAX($B$3:B380)+1,"")</f>
        <v/>
      </c>
      <c r="E381">
        <f>IFERROR(MATCH(378,$B$4:$B$503,0),"")</f>
        <v/>
      </c>
    </row>
    <row r="382">
      <c r="A382">
        <f>IF(AND(LEN('Checks'!A382)&gt;0,ISNUMBER('Checks'!D382)),'Checks'!D382+379/100000,"")</f>
        <v/>
      </c>
      <c r="B382">
        <f>IF(AND(LEN('Checks'!A382)&gt;0,ISNUMBER('Checks'!D382)),MAX($B$3:B381)+1,"")</f>
        <v/>
      </c>
      <c r="E382">
        <f>IFERROR(MATCH(379,$B$4:$B$503,0),"")</f>
        <v/>
      </c>
    </row>
    <row r="383">
      <c r="A383">
        <f>IF(AND(LEN('Checks'!A383)&gt;0,ISNUMBER('Checks'!D383)),'Checks'!D383+380/100000,"")</f>
        <v/>
      </c>
      <c r="B383">
        <f>IF(AND(LEN('Checks'!A383)&gt;0,ISNUMBER('Checks'!D383)),MAX($B$3:B382)+1,"")</f>
        <v/>
      </c>
      <c r="E383">
        <f>IFERROR(MATCH(380,$B$4:$B$503,0),"")</f>
        <v/>
      </c>
    </row>
    <row r="384">
      <c r="A384">
        <f>IF(AND(LEN('Checks'!A384)&gt;0,ISNUMBER('Checks'!D384)),'Checks'!D384+381/100000,"")</f>
        <v/>
      </c>
      <c r="B384">
        <f>IF(AND(LEN('Checks'!A384)&gt;0,ISNUMBER('Checks'!D384)),MAX($B$3:B383)+1,"")</f>
        <v/>
      </c>
      <c r="E384">
        <f>IFERROR(MATCH(381,$B$4:$B$503,0),"")</f>
        <v/>
      </c>
    </row>
    <row r="385">
      <c r="A385">
        <f>IF(AND(LEN('Checks'!A385)&gt;0,ISNUMBER('Checks'!D385)),'Checks'!D385+382/100000,"")</f>
        <v/>
      </c>
      <c r="B385">
        <f>IF(AND(LEN('Checks'!A385)&gt;0,ISNUMBER('Checks'!D385)),MAX($B$3:B384)+1,"")</f>
        <v/>
      </c>
      <c r="E385">
        <f>IFERROR(MATCH(382,$B$4:$B$503,0),"")</f>
        <v/>
      </c>
    </row>
    <row r="386">
      <c r="A386">
        <f>IF(AND(LEN('Checks'!A386)&gt;0,ISNUMBER('Checks'!D386)),'Checks'!D386+383/100000,"")</f>
        <v/>
      </c>
      <c r="B386">
        <f>IF(AND(LEN('Checks'!A386)&gt;0,ISNUMBER('Checks'!D386)),MAX($B$3:B385)+1,"")</f>
        <v/>
      </c>
      <c r="E386">
        <f>IFERROR(MATCH(383,$B$4:$B$503,0),"")</f>
        <v/>
      </c>
    </row>
    <row r="387">
      <c r="A387">
        <f>IF(AND(LEN('Checks'!A387)&gt;0,ISNUMBER('Checks'!D387)),'Checks'!D387+384/100000,"")</f>
        <v/>
      </c>
      <c r="B387">
        <f>IF(AND(LEN('Checks'!A387)&gt;0,ISNUMBER('Checks'!D387)),MAX($B$3:B386)+1,"")</f>
        <v/>
      </c>
      <c r="E387">
        <f>IFERROR(MATCH(384,$B$4:$B$503,0),"")</f>
        <v/>
      </c>
    </row>
    <row r="388">
      <c r="A388">
        <f>IF(AND(LEN('Checks'!A388)&gt;0,ISNUMBER('Checks'!D388)),'Checks'!D388+385/100000,"")</f>
        <v/>
      </c>
      <c r="B388">
        <f>IF(AND(LEN('Checks'!A388)&gt;0,ISNUMBER('Checks'!D388)),MAX($B$3:B387)+1,"")</f>
        <v/>
      </c>
      <c r="E388">
        <f>IFERROR(MATCH(385,$B$4:$B$503,0),"")</f>
        <v/>
      </c>
    </row>
    <row r="389">
      <c r="A389">
        <f>IF(AND(LEN('Checks'!A389)&gt;0,ISNUMBER('Checks'!D389)),'Checks'!D389+386/100000,"")</f>
        <v/>
      </c>
      <c r="B389">
        <f>IF(AND(LEN('Checks'!A389)&gt;0,ISNUMBER('Checks'!D389)),MAX($B$3:B388)+1,"")</f>
        <v/>
      </c>
      <c r="E389">
        <f>IFERROR(MATCH(386,$B$4:$B$503,0),"")</f>
        <v/>
      </c>
    </row>
    <row r="390">
      <c r="A390">
        <f>IF(AND(LEN('Checks'!A390)&gt;0,ISNUMBER('Checks'!D390)),'Checks'!D390+387/100000,"")</f>
        <v/>
      </c>
      <c r="B390">
        <f>IF(AND(LEN('Checks'!A390)&gt;0,ISNUMBER('Checks'!D390)),MAX($B$3:B389)+1,"")</f>
        <v/>
      </c>
      <c r="E390">
        <f>IFERROR(MATCH(387,$B$4:$B$503,0),"")</f>
        <v/>
      </c>
    </row>
    <row r="391">
      <c r="A391">
        <f>IF(AND(LEN('Checks'!A391)&gt;0,ISNUMBER('Checks'!D391)),'Checks'!D391+388/100000,"")</f>
        <v/>
      </c>
      <c r="B391">
        <f>IF(AND(LEN('Checks'!A391)&gt;0,ISNUMBER('Checks'!D391)),MAX($B$3:B390)+1,"")</f>
        <v/>
      </c>
      <c r="E391">
        <f>IFERROR(MATCH(388,$B$4:$B$503,0),"")</f>
        <v/>
      </c>
    </row>
    <row r="392">
      <c r="A392">
        <f>IF(AND(LEN('Checks'!A392)&gt;0,ISNUMBER('Checks'!D392)),'Checks'!D392+389/100000,"")</f>
        <v/>
      </c>
      <c r="B392">
        <f>IF(AND(LEN('Checks'!A392)&gt;0,ISNUMBER('Checks'!D392)),MAX($B$3:B391)+1,"")</f>
        <v/>
      </c>
      <c r="E392">
        <f>IFERROR(MATCH(389,$B$4:$B$503,0),"")</f>
        <v/>
      </c>
    </row>
    <row r="393">
      <c r="A393">
        <f>IF(AND(LEN('Checks'!A393)&gt;0,ISNUMBER('Checks'!D393)),'Checks'!D393+390/100000,"")</f>
        <v/>
      </c>
      <c r="B393">
        <f>IF(AND(LEN('Checks'!A393)&gt;0,ISNUMBER('Checks'!D393)),MAX($B$3:B392)+1,"")</f>
        <v/>
      </c>
      <c r="E393">
        <f>IFERROR(MATCH(390,$B$4:$B$503,0),"")</f>
        <v/>
      </c>
    </row>
    <row r="394">
      <c r="A394">
        <f>IF(AND(LEN('Checks'!A394)&gt;0,ISNUMBER('Checks'!D394)),'Checks'!D394+391/100000,"")</f>
        <v/>
      </c>
      <c r="B394">
        <f>IF(AND(LEN('Checks'!A394)&gt;0,ISNUMBER('Checks'!D394)),MAX($B$3:B393)+1,"")</f>
        <v/>
      </c>
      <c r="E394">
        <f>IFERROR(MATCH(391,$B$4:$B$503,0),"")</f>
        <v/>
      </c>
    </row>
    <row r="395">
      <c r="A395">
        <f>IF(AND(LEN('Checks'!A395)&gt;0,ISNUMBER('Checks'!D395)),'Checks'!D395+392/100000,"")</f>
        <v/>
      </c>
      <c r="B395">
        <f>IF(AND(LEN('Checks'!A395)&gt;0,ISNUMBER('Checks'!D395)),MAX($B$3:B394)+1,"")</f>
        <v/>
      </c>
      <c r="E395">
        <f>IFERROR(MATCH(392,$B$4:$B$503,0),"")</f>
        <v/>
      </c>
    </row>
    <row r="396">
      <c r="A396">
        <f>IF(AND(LEN('Checks'!A396)&gt;0,ISNUMBER('Checks'!D396)),'Checks'!D396+393/100000,"")</f>
        <v/>
      </c>
      <c r="B396">
        <f>IF(AND(LEN('Checks'!A396)&gt;0,ISNUMBER('Checks'!D396)),MAX($B$3:B395)+1,"")</f>
        <v/>
      </c>
      <c r="E396">
        <f>IFERROR(MATCH(393,$B$4:$B$503,0),"")</f>
        <v/>
      </c>
    </row>
    <row r="397">
      <c r="A397">
        <f>IF(AND(LEN('Checks'!A397)&gt;0,ISNUMBER('Checks'!D397)),'Checks'!D397+394/100000,"")</f>
        <v/>
      </c>
      <c r="B397">
        <f>IF(AND(LEN('Checks'!A397)&gt;0,ISNUMBER('Checks'!D397)),MAX($B$3:B396)+1,"")</f>
        <v/>
      </c>
      <c r="E397">
        <f>IFERROR(MATCH(394,$B$4:$B$503,0),"")</f>
        <v/>
      </c>
    </row>
    <row r="398">
      <c r="A398">
        <f>IF(AND(LEN('Checks'!A398)&gt;0,ISNUMBER('Checks'!D398)),'Checks'!D398+395/100000,"")</f>
        <v/>
      </c>
      <c r="B398">
        <f>IF(AND(LEN('Checks'!A398)&gt;0,ISNUMBER('Checks'!D398)),MAX($B$3:B397)+1,"")</f>
        <v/>
      </c>
      <c r="E398">
        <f>IFERROR(MATCH(395,$B$4:$B$503,0),"")</f>
        <v/>
      </c>
    </row>
    <row r="399">
      <c r="A399">
        <f>IF(AND(LEN('Checks'!A399)&gt;0,ISNUMBER('Checks'!D399)),'Checks'!D399+396/100000,"")</f>
        <v/>
      </c>
      <c r="B399">
        <f>IF(AND(LEN('Checks'!A399)&gt;0,ISNUMBER('Checks'!D399)),MAX($B$3:B398)+1,"")</f>
        <v/>
      </c>
      <c r="E399">
        <f>IFERROR(MATCH(396,$B$4:$B$503,0),"")</f>
        <v/>
      </c>
    </row>
    <row r="400">
      <c r="A400">
        <f>IF(AND(LEN('Checks'!A400)&gt;0,ISNUMBER('Checks'!D400)),'Checks'!D400+397/100000,"")</f>
        <v/>
      </c>
      <c r="B400">
        <f>IF(AND(LEN('Checks'!A400)&gt;0,ISNUMBER('Checks'!D400)),MAX($B$3:B399)+1,"")</f>
        <v/>
      </c>
      <c r="E400">
        <f>IFERROR(MATCH(397,$B$4:$B$503,0),"")</f>
        <v/>
      </c>
    </row>
    <row r="401">
      <c r="A401">
        <f>IF(AND(LEN('Checks'!A401)&gt;0,ISNUMBER('Checks'!D401)),'Checks'!D401+398/100000,"")</f>
        <v/>
      </c>
      <c r="B401">
        <f>IF(AND(LEN('Checks'!A401)&gt;0,ISNUMBER('Checks'!D401)),MAX($B$3:B400)+1,"")</f>
        <v/>
      </c>
      <c r="E401">
        <f>IFERROR(MATCH(398,$B$4:$B$503,0),"")</f>
        <v/>
      </c>
    </row>
    <row r="402">
      <c r="A402">
        <f>IF(AND(LEN('Checks'!A402)&gt;0,ISNUMBER('Checks'!D402)),'Checks'!D402+399/100000,"")</f>
        <v/>
      </c>
      <c r="B402">
        <f>IF(AND(LEN('Checks'!A402)&gt;0,ISNUMBER('Checks'!D402)),MAX($B$3:B401)+1,"")</f>
        <v/>
      </c>
      <c r="E402">
        <f>IFERROR(MATCH(399,$B$4:$B$503,0),"")</f>
        <v/>
      </c>
    </row>
    <row r="403">
      <c r="A403">
        <f>IF(AND(LEN('Checks'!A403)&gt;0,ISNUMBER('Checks'!D403)),'Checks'!D403+400/100000,"")</f>
        <v/>
      </c>
      <c r="B403">
        <f>IF(AND(LEN('Checks'!A403)&gt;0,ISNUMBER('Checks'!D403)),MAX($B$3:B402)+1,"")</f>
        <v/>
      </c>
      <c r="E403">
        <f>IFERROR(MATCH(400,$B$4:$B$503,0),"")</f>
        <v/>
      </c>
    </row>
    <row r="404">
      <c r="A404">
        <f>IF(AND(LEN('Checks'!A404)&gt;0,ISNUMBER('Checks'!D404)),'Checks'!D404+401/100000,"")</f>
        <v/>
      </c>
      <c r="B404">
        <f>IF(AND(LEN('Checks'!A404)&gt;0,ISNUMBER('Checks'!D404)),MAX($B$3:B403)+1,"")</f>
        <v/>
      </c>
      <c r="E404">
        <f>IFERROR(MATCH(401,$B$4:$B$503,0),"")</f>
        <v/>
      </c>
    </row>
    <row r="405">
      <c r="A405">
        <f>IF(AND(LEN('Checks'!A405)&gt;0,ISNUMBER('Checks'!D405)),'Checks'!D405+402/100000,"")</f>
        <v/>
      </c>
      <c r="B405">
        <f>IF(AND(LEN('Checks'!A405)&gt;0,ISNUMBER('Checks'!D405)),MAX($B$3:B404)+1,"")</f>
        <v/>
      </c>
      <c r="E405">
        <f>IFERROR(MATCH(402,$B$4:$B$503,0),"")</f>
        <v/>
      </c>
    </row>
    <row r="406">
      <c r="A406">
        <f>IF(AND(LEN('Checks'!A406)&gt;0,ISNUMBER('Checks'!D406)),'Checks'!D406+403/100000,"")</f>
        <v/>
      </c>
      <c r="B406">
        <f>IF(AND(LEN('Checks'!A406)&gt;0,ISNUMBER('Checks'!D406)),MAX($B$3:B405)+1,"")</f>
        <v/>
      </c>
      <c r="E406">
        <f>IFERROR(MATCH(403,$B$4:$B$503,0),"")</f>
        <v/>
      </c>
    </row>
    <row r="407">
      <c r="A407">
        <f>IF(AND(LEN('Checks'!A407)&gt;0,ISNUMBER('Checks'!D407)),'Checks'!D407+404/100000,"")</f>
        <v/>
      </c>
      <c r="B407">
        <f>IF(AND(LEN('Checks'!A407)&gt;0,ISNUMBER('Checks'!D407)),MAX($B$3:B406)+1,"")</f>
        <v/>
      </c>
      <c r="E407">
        <f>IFERROR(MATCH(404,$B$4:$B$503,0),"")</f>
        <v/>
      </c>
    </row>
    <row r="408">
      <c r="A408">
        <f>IF(AND(LEN('Checks'!A408)&gt;0,ISNUMBER('Checks'!D408)),'Checks'!D408+405/100000,"")</f>
        <v/>
      </c>
      <c r="B408">
        <f>IF(AND(LEN('Checks'!A408)&gt;0,ISNUMBER('Checks'!D408)),MAX($B$3:B407)+1,"")</f>
        <v/>
      </c>
      <c r="E408">
        <f>IFERROR(MATCH(405,$B$4:$B$503,0),"")</f>
        <v/>
      </c>
    </row>
    <row r="409">
      <c r="A409">
        <f>IF(AND(LEN('Checks'!A409)&gt;0,ISNUMBER('Checks'!D409)),'Checks'!D409+406/100000,"")</f>
        <v/>
      </c>
      <c r="B409">
        <f>IF(AND(LEN('Checks'!A409)&gt;0,ISNUMBER('Checks'!D409)),MAX($B$3:B408)+1,"")</f>
        <v/>
      </c>
      <c r="E409">
        <f>IFERROR(MATCH(406,$B$4:$B$503,0),"")</f>
        <v/>
      </c>
    </row>
    <row r="410">
      <c r="A410">
        <f>IF(AND(LEN('Checks'!A410)&gt;0,ISNUMBER('Checks'!D410)),'Checks'!D410+407/100000,"")</f>
        <v/>
      </c>
      <c r="B410">
        <f>IF(AND(LEN('Checks'!A410)&gt;0,ISNUMBER('Checks'!D410)),MAX($B$3:B409)+1,"")</f>
        <v/>
      </c>
      <c r="E410">
        <f>IFERROR(MATCH(407,$B$4:$B$503,0),"")</f>
        <v/>
      </c>
    </row>
    <row r="411">
      <c r="A411">
        <f>IF(AND(LEN('Checks'!A411)&gt;0,ISNUMBER('Checks'!D411)),'Checks'!D411+408/100000,"")</f>
        <v/>
      </c>
      <c r="B411">
        <f>IF(AND(LEN('Checks'!A411)&gt;0,ISNUMBER('Checks'!D411)),MAX($B$3:B410)+1,"")</f>
        <v/>
      </c>
      <c r="E411">
        <f>IFERROR(MATCH(408,$B$4:$B$503,0),"")</f>
        <v/>
      </c>
    </row>
    <row r="412">
      <c r="A412">
        <f>IF(AND(LEN('Checks'!A412)&gt;0,ISNUMBER('Checks'!D412)),'Checks'!D412+409/100000,"")</f>
        <v/>
      </c>
      <c r="B412">
        <f>IF(AND(LEN('Checks'!A412)&gt;0,ISNUMBER('Checks'!D412)),MAX($B$3:B411)+1,"")</f>
        <v/>
      </c>
      <c r="E412">
        <f>IFERROR(MATCH(409,$B$4:$B$503,0),"")</f>
        <v/>
      </c>
    </row>
    <row r="413">
      <c r="A413">
        <f>IF(AND(LEN('Checks'!A413)&gt;0,ISNUMBER('Checks'!D413)),'Checks'!D413+410/100000,"")</f>
        <v/>
      </c>
      <c r="B413">
        <f>IF(AND(LEN('Checks'!A413)&gt;0,ISNUMBER('Checks'!D413)),MAX($B$3:B412)+1,"")</f>
        <v/>
      </c>
      <c r="E413">
        <f>IFERROR(MATCH(410,$B$4:$B$503,0),"")</f>
        <v/>
      </c>
    </row>
    <row r="414">
      <c r="A414">
        <f>IF(AND(LEN('Checks'!A414)&gt;0,ISNUMBER('Checks'!D414)),'Checks'!D414+411/100000,"")</f>
        <v/>
      </c>
      <c r="B414">
        <f>IF(AND(LEN('Checks'!A414)&gt;0,ISNUMBER('Checks'!D414)),MAX($B$3:B413)+1,"")</f>
        <v/>
      </c>
      <c r="E414">
        <f>IFERROR(MATCH(411,$B$4:$B$503,0),"")</f>
        <v/>
      </c>
    </row>
    <row r="415">
      <c r="A415">
        <f>IF(AND(LEN('Checks'!A415)&gt;0,ISNUMBER('Checks'!D415)),'Checks'!D415+412/100000,"")</f>
        <v/>
      </c>
      <c r="B415">
        <f>IF(AND(LEN('Checks'!A415)&gt;0,ISNUMBER('Checks'!D415)),MAX($B$3:B414)+1,"")</f>
        <v/>
      </c>
      <c r="E415">
        <f>IFERROR(MATCH(412,$B$4:$B$503,0),"")</f>
        <v/>
      </c>
    </row>
    <row r="416">
      <c r="A416">
        <f>IF(AND(LEN('Checks'!A416)&gt;0,ISNUMBER('Checks'!D416)),'Checks'!D416+413/100000,"")</f>
        <v/>
      </c>
      <c r="B416">
        <f>IF(AND(LEN('Checks'!A416)&gt;0,ISNUMBER('Checks'!D416)),MAX($B$3:B415)+1,"")</f>
        <v/>
      </c>
      <c r="E416">
        <f>IFERROR(MATCH(413,$B$4:$B$503,0),"")</f>
        <v/>
      </c>
    </row>
    <row r="417">
      <c r="A417">
        <f>IF(AND(LEN('Checks'!A417)&gt;0,ISNUMBER('Checks'!D417)),'Checks'!D417+414/100000,"")</f>
        <v/>
      </c>
      <c r="B417">
        <f>IF(AND(LEN('Checks'!A417)&gt;0,ISNUMBER('Checks'!D417)),MAX($B$3:B416)+1,"")</f>
        <v/>
      </c>
      <c r="E417">
        <f>IFERROR(MATCH(414,$B$4:$B$503,0),"")</f>
        <v/>
      </c>
    </row>
    <row r="418">
      <c r="A418">
        <f>IF(AND(LEN('Checks'!A418)&gt;0,ISNUMBER('Checks'!D418)),'Checks'!D418+415/100000,"")</f>
        <v/>
      </c>
      <c r="B418">
        <f>IF(AND(LEN('Checks'!A418)&gt;0,ISNUMBER('Checks'!D418)),MAX($B$3:B417)+1,"")</f>
        <v/>
      </c>
      <c r="E418">
        <f>IFERROR(MATCH(415,$B$4:$B$503,0),"")</f>
        <v/>
      </c>
    </row>
    <row r="419">
      <c r="A419">
        <f>IF(AND(LEN('Checks'!A419)&gt;0,ISNUMBER('Checks'!D419)),'Checks'!D419+416/100000,"")</f>
        <v/>
      </c>
      <c r="B419">
        <f>IF(AND(LEN('Checks'!A419)&gt;0,ISNUMBER('Checks'!D419)),MAX($B$3:B418)+1,"")</f>
        <v/>
      </c>
      <c r="E419">
        <f>IFERROR(MATCH(416,$B$4:$B$503,0),"")</f>
        <v/>
      </c>
    </row>
    <row r="420">
      <c r="A420">
        <f>IF(AND(LEN('Checks'!A420)&gt;0,ISNUMBER('Checks'!D420)),'Checks'!D420+417/100000,"")</f>
        <v/>
      </c>
      <c r="B420">
        <f>IF(AND(LEN('Checks'!A420)&gt;0,ISNUMBER('Checks'!D420)),MAX($B$3:B419)+1,"")</f>
        <v/>
      </c>
      <c r="E420">
        <f>IFERROR(MATCH(417,$B$4:$B$503,0),"")</f>
        <v/>
      </c>
    </row>
    <row r="421">
      <c r="A421">
        <f>IF(AND(LEN('Checks'!A421)&gt;0,ISNUMBER('Checks'!D421)),'Checks'!D421+418/100000,"")</f>
        <v/>
      </c>
      <c r="B421">
        <f>IF(AND(LEN('Checks'!A421)&gt;0,ISNUMBER('Checks'!D421)),MAX($B$3:B420)+1,"")</f>
        <v/>
      </c>
      <c r="E421">
        <f>IFERROR(MATCH(418,$B$4:$B$503,0),"")</f>
        <v/>
      </c>
    </row>
    <row r="422">
      <c r="A422">
        <f>IF(AND(LEN('Checks'!A422)&gt;0,ISNUMBER('Checks'!D422)),'Checks'!D422+419/100000,"")</f>
        <v/>
      </c>
      <c r="B422">
        <f>IF(AND(LEN('Checks'!A422)&gt;0,ISNUMBER('Checks'!D422)),MAX($B$3:B421)+1,"")</f>
        <v/>
      </c>
      <c r="E422">
        <f>IFERROR(MATCH(419,$B$4:$B$503,0),"")</f>
        <v/>
      </c>
    </row>
    <row r="423">
      <c r="A423">
        <f>IF(AND(LEN('Checks'!A423)&gt;0,ISNUMBER('Checks'!D423)),'Checks'!D423+420/100000,"")</f>
        <v/>
      </c>
      <c r="B423">
        <f>IF(AND(LEN('Checks'!A423)&gt;0,ISNUMBER('Checks'!D423)),MAX($B$3:B422)+1,"")</f>
        <v/>
      </c>
      <c r="E423">
        <f>IFERROR(MATCH(420,$B$4:$B$503,0),"")</f>
        <v/>
      </c>
    </row>
    <row r="424">
      <c r="A424">
        <f>IF(AND(LEN('Checks'!A424)&gt;0,ISNUMBER('Checks'!D424)),'Checks'!D424+421/100000,"")</f>
        <v/>
      </c>
      <c r="B424">
        <f>IF(AND(LEN('Checks'!A424)&gt;0,ISNUMBER('Checks'!D424)),MAX($B$3:B423)+1,"")</f>
        <v/>
      </c>
      <c r="E424">
        <f>IFERROR(MATCH(421,$B$4:$B$503,0),"")</f>
        <v/>
      </c>
    </row>
    <row r="425">
      <c r="A425">
        <f>IF(AND(LEN('Checks'!A425)&gt;0,ISNUMBER('Checks'!D425)),'Checks'!D425+422/100000,"")</f>
        <v/>
      </c>
      <c r="B425">
        <f>IF(AND(LEN('Checks'!A425)&gt;0,ISNUMBER('Checks'!D425)),MAX($B$3:B424)+1,"")</f>
        <v/>
      </c>
      <c r="E425">
        <f>IFERROR(MATCH(422,$B$4:$B$503,0),"")</f>
        <v/>
      </c>
    </row>
    <row r="426">
      <c r="A426">
        <f>IF(AND(LEN('Checks'!A426)&gt;0,ISNUMBER('Checks'!D426)),'Checks'!D426+423/100000,"")</f>
        <v/>
      </c>
      <c r="B426">
        <f>IF(AND(LEN('Checks'!A426)&gt;0,ISNUMBER('Checks'!D426)),MAX($B$3:B425)+1,"")</f>
        <v/>
      </c>
      <c r="E426">
        <f>IFERROR(MATCH(423,$B$4:$B$503,0),"")</f>
        <v/>
      </c>
    </row>
    <row r="427">
      <c r="A427">
        <f>IF(AND(LEN('Checks'!A427)&gt;0,ISNUMBER('Checks'!D427)),'Checks'!D427+424/100000,"")</f>
        <v/>
      </c>
      <c r="B427">
        <f>IF(AND(LEN('Checks'!A427)&gt;0,ISNUMBER('Checks'!D427)),MAX($B$3:B426)+1,"")</f>
        <v/>
      </c>
      <c r="E427">
        <f>IFERROR(MATCH(424,$B$4:$B$503,0),"")</f>
        <v/>
      </c>
    </row>
    <row r="428">
      <c r="A428">
        <f>IF(AND(LEN('Checks'!A428)&gt;0,ISNUMBER('Checks'!D428)),'Checks'!D428+425/100000,"")</f>
        <v/>
      </c>
      <c r="B428">
        <f>IF(AND(LEN('Checks'!A428)&gt;0,ISNUMBER('Checks'!D428)),MAX($B$3:B427)+1,"")</f>
        <v/>
      </c>
      <c r="E428">
        <f>IFERROR(MATCH(425,$B$4:$B$503,0),"")</f>
        <v/>
      </c>
    </row>
    <row r="429">
      <c r="A429">
        <f>IF(AND(LEN('Checks'!A429)&gt;0,ISNUMBER('Checks'!D429)),'Checks'!D429+426/100000,"")</f>
        <v/>
      </c>
      <c r="B429">
        <f>IF(AND(LEN('Checks'!A429)&gt;0,ISNUMBER('Checks'!D429)),MAX($B$3:B428)+1,"")</f>
        <v/>
      </c>
      <c r="E429">
        <f>IFERROR(MATCH(426,$B$4:$B$503,0),"")</f>
        <v/>
      </c>
    </row>
    <row r="430">
      <c r="A430">
        <f>IF(AND(LEN('Checks'!A430)&gt;0,ISNUMBER('Checks'!D430)),'Checks'!D430+427/100000,"")</f>
        <v/>
      </c>
      <c r="B430">
        <f>IF(AND(LEN('Checks'!A430)&gt;0,ISNUMBER('Checks'!D430)),MAX($B$3:B429)+1,"")</f>
        <v/>
      </c>
      <c r="E430">
        <f>IFERROR(MATCH(427,$B$4:$B$503,0),"")</f>
        <v/>
      </c>
    </row>
    <row r="431">
      <c r="A431">
        <f>IF(AND(LEN('Checks'!A431)&gt;0,ISNUMBER('Checks'!D431)),'Checks'!D431+428/100000,"")</f>
        <v/>
      </c>
      <c r="B431">
        <f>IF(AND(LEN('Checks'!A431)&gt;0,ISNUMBER('Checks'!D431)),MAX($B$3:B430)+1,"")</f>
        <v/>
      </c>
      <c r="E431">
        <f>IFERROR(MATCH(428,$B$4:$B$503,0),"")</f>
        <v/>
      </c>
    </row>
    <row r="432">
      <c r="A432">
        <f>IF(AND(LEN('Checks'!A432)&gt;0,ISNUMBER('Checks'!D432)),'Checks'!D432+429/100000,"")</f>
        <v/>
      </c>
      <c r="B432">
        <f>IF(AND(LEN('Checks'!A432)&gt;0,ISNUMBER('Checks'!D432)),MAX($B$3:B431)+1,"")</f>
        <v/>
      </c>
      <c r="E432">
        <f>IFERROR(MATCH(429,$B$4:$B$503,0),"")</f>
        <v/>
      </c>
    </row>
    <row r="433">
      <c r="A433">
        <f>IF(AND(LEN('Checks'!A433)&gt;0,ISNUMBER('Checks'!D433)),'Checks'!D433+430/100000,"")</f>
        <v/>
      </c>
      <c r="B433">
        <f>IF(AND(LEN('Checks'!A433)&gt;0,ISNUMBER('Checks'!D433)),MAX($B$3:B432)+1,"")</f>
        <v/>
      </c>
      <c r="E433">
        <f>IFERROR(MATCH(430,$B$4:$B$503,0),"")</f>
        <v/>
      </c>
    </row>
    <row r="434">
      <c r="A434">
        <f>IF(AND(LEN('Checks'!A434)&gt;0,ISNUMBER('Checks'!D434)),'Checks'!D434+431/100000,"")</f>
        <v/>
      </c>
      <c r="B434">
        <f>IF(AND(LEN('Checks'!A434)&gt;0,ISNUMBER('Checks'!D434)),MAX($B$3:B433)+1,"")</f>
        <v/>
      </c>
      <c r="E434">
        <f>IFERROR(MATCH(431,$B$4:$B$503,0),"")</f>
        <v/>
      </c>
    </row>
    <row r="435">
      <c r="A435">
        <f>IF(AND(LEN('Checks'!A435)&gt;0,ISNUMBER('Checks'!D435)),'Checks'!D435+432/100000,"")</f>
        <v/>
      </c>
      <c r="B435">
        <f>IF(AND(LEN('Checks'!A435)&gt;0,ISNUMBER('Checks'!D435)),MAX($B$3:B434)+1,"")</f>
        <v/>
      </c>
      <c r="E435">
        <f>IFERROR(MATCH(432,$B$4:$B$503,0),"")</f>
        <v/>
      </c>
    </row>
    <row r="436">
      <c r="A436">
        <f>IF(AND(LEN('Checks'!A436)&gt;0,ISNUMBER('Checks'!D436)),'Checks'!D436+433/100000,"")</f>
        <v/>
      </c>
      <c r="B436">
        <f>IF(AND(LEN('Checks'!A436)&gt;0,ISNUMBER('Checks'!D436)),MAX($B$3:B435)+1,"")</f>
        <v/>
      </c>
      <c r="E436">
        <f>IFERROR(MATCH(433,$B$4:$B$503,0),"")</f>
        <v/>
      </c>
    </row>
    <row r="437">
      <c r="A437">
        <f>IF(AND(LEN('Checks'!A437)&gt;0,ISNUMBER('Checks'!D437)),'Checks'!D437+434/100000,"")</f>
        <v/>
      </c>
      <c r="B437">
        <f>IF(AND(LEN('Checks'!A437)&gt;0,ISNUMBER('Checks'!D437)),MAX($B$3:B436)+1,"")</f>
        <v/>
      </c>
      <c r="E437">
        <f>IFERROR(MATCH(434,$B$4:$B$503,0),"")</f>
        <v/>
      </c>
    </row>
    <row r="438">
      <c r="A438">
        <f>IF(AND(LEN('Checks'!A438)&gt;0,ISNUMBER('Checks'!D438)),'Checks'!D438+435/100000,"")</f>
        <v/>
      </c>
      <c r="B438">
        <f>IF(AND(LEN('Checks'!A438)&gt;0,ISNUMBER('Checks'!D438)),MAX($B$3:B437)+1,"")</f>
        <v/>
      </c>
      <c r="E438">
        <f>IFERROR(MATCH(435,$B$4:$B$503,0),"")</f>
        <v/>
      </c>
    </row>
    <row r="439">
      <c r="A439">
        <f>IF(AND(LEN('Checks'!A439)&gt;0,ISNUMBER('Checks'!D439)),'Checks'!D439+436/100000,"")</f>
        <v/>
      </c>
      <c r="B439">
        <f>IF(AND(LEN('Checks'!A439)&gt;0,ISNUMBER('Checks'!D439)),MAX($B$3:B438)+1,"")</f>
        <v/>
      </c>
      <c r="E439">
        <f>IFERROR(MATCH(436,$B$4:$B$503,0),"")</f>
        <v/>
      </c>
    </row>
    <row r="440">
      <c r="A440">
        <f>IF(AND(LEN('Checks'!A440)&gt;0,ISNUMBER('Checks'!D440)),'Checks'!D440+437/100000,"")</f>
        <v/>
      </c>
      <c r="B440">
        <f>IF(AND(LEN('Checks'!A440)&gt;0,ISNUMBER('Checks'!D440)),MAX($B$3:B439)+1,"")</f>
        <v/>
      </c>
      <c r="E440">
        <f>IFERROR(MATCH(437,$B$4:$B$503,0),"")</f>
        <v/>
      </c>
    </row>
    <row r="441">
      <c r="A441">
        <f>IF(AND(LEN('Checks'!A441)&gt;0,ISNUMBER('Checks'!D441)),'Checks'!D441+438/100000,"")</f>
        <v/>
      </c>
      <c r="B441">
        <f>IF(AND(LEN('Checks'!A441)&gt;0,ISNUMBER('Checks'!D441)),MAX($B$3:B440)+1,"")</f>
        <v/>
      </c>
      <c r="E441">
        <f>IFERROR(MATCH(438,$B$4:$B$503,0),"")</f>
        <v/>
      </c>
    </row>
    <row r="442">
      <c r="A442">
        <f>IF(AND(LEN('Checks'!A442)&gt;0,ISNUMBER('Checks'!D442)),'Checks'!D442+439/100000,"")</f>
        <v/>
      </c>
      <c r="B442">
        <f>IF(AND(LEN('Checks'!A442)&gt;0,ISNUMBER('Checks'!D442)),MAX($B$3:B441)+1,"")</f>
        <v/>
      </c>
      <c r="E442">
        <f>IFERROR(MATCH(439,$B$4:$B$503,0),"")</f>
        <v/>
      </c>
    </row>
    <row r="443">
      <c r="A443">
        <f>IF(AND(LEN('Checks'!A443)&gt;0,ISNUMBER('Checks'!D443)),'Checks'!D443+440/100000,"")</f>
        <v/>
      </c>
      <c r="B443">
        <f>IF(AND(LEN('Checks'!A443)&gt;0,ISNUMBER('Checks'!D443)),MAX($B$3:B442)+1,"")</f>
        <v/>
      </c>
      <c r="E443">
        <f>IFERROR(MATCH(440,$B$4:$B$503,0),"")</f>
        <v/>
      </c>
    </row>
    <row r="444">
      <c r="A444">
        <f>IF(AND(LEN('Checks'!A444)&gt;0,ISNUMBER('Checks'!D444)),'Checks'!D444+441/100000,"")</f>
        <v/>
      </c>
      <c r="B444">
        <f>IF(AND(LEN('Checks'!A444)&gt;0,ISNUMBER('Checks'!D444)),MAX($B$3:B443)+1,"")</f>
        <v/>
      </c>
      <c r="E444">
        <f>IFERROR(MATCH(441,$B$4:$B$503,0),"")</f>
        <v/>
      </c>
    </row>
    <row r="445">
      <c r="A445">
        <f>IF(AND(LEN('Checks'!A445)&gt;0,ISNUMBER('Checks'!D445)),'Checks'!D445+442/100000,"")</f>
        <v/>
      </c>
      <c r="B445">
        <f>IF(AND(LEN('Checks'!A445)&gt;0,ISNUMBER('Checks'!D445)),MAX($B$3:B444)+1,"")</f>
        <v/>
      </c>
      <c r="E445">
        <f>IFERROR(MATCH(442,$B$4:$B$503,0),"")</f>
        <v/>
      </c>
    </row>
    <row r="446">
      <c r="A446">
        <f>IF(AND(LEN('Checks'!A446)&gt;0,ISNUMBER('Checks'!D446)),'Checks'!D446+443/100000,"")</f>
        <v/>
      </c>
      <c r="B446">
        <f>IF(AND(LEN('Checks'!A446)&gt;0,ISNUMBER('Checks'!D446)),MAX($B$3:B445)+1,"")</f>
        <v/>
      </c>
      <c r="E446">
        <f>IFERROR(MATCH(443,$B$4:$B$503,0),"")</f>
        <v/>
      </c>
    </row>
    <row r="447">
      <c r="A447">
        <f>IF(AND(LEN('Checks'!A447)&gt;0,ISNUMBER('Checks'!D447)),'Checks'!D447+444/100000,"")</f>
        <v/>
      </c>
      <c r="B447">
        <f>IF(AND(LEN('Checks'!A447)&gt;0,ISNUMBER('Checks'!D447)),MAX($B$3:B446)+1,"")</f>
        <v/>
      </c>
      <c r="E447">
        <f>IFERROR(MATCH(444,$B$4:$B$503,0),"")</f>
        <v/>
      </c>
    </row>
    <row r="448">
      <c r="A448">
        <f>IF(AND(LEN('Checks'!A448)&gt;0,ISNUMBER('Checks'!D448)),'Checks'!D448+445/100000,"")</f>
        <v/>
      </c>
      <c r="B448">
        <f>IF(AND(LEN('Checks'!A448)&gt;0,ISNUMBER('Checks'!D448)),MAX($B$3:B447)+1,"")</f>
        <v/>
      </c>
      <c r="E448">
        <f>IFERROR(MATCH(445,$B$4:$B$503,0),"")</f>
        <v/>
      </c>
    </row>
    <row r="449">
      <c r="A449">
        <f>IF(AND(LEN('Checks'!A449)&gt;0,ISNUMBER('Checks'!D449)),'Checks'!D449+446/100000,"")</f>
        <v/>
      </c>
      <c r="B449">
        <f>IF(AND(LEN('Checks'!A449)&gt;0,ISNUMBER('Checks'!D449)),MAX($B$3:B448)+1,"")</f>
        <v/>
      </c>
      <c r="E449">
        <f>IFERROR(MATCH(446,$B$4:$B$503,0),"")</f>
        <v/>
      </c>
    </row>
    <row r="450">
      <c r="A450">
        <f>IF(AND(LEN('Checks'!A450)&gt;0,ISNUMBER('Checks'!D450)),'Checks'!D450+447/100000,"")</f>
        <v/>
      </c>
      <c r="B450">
        <f>IF(AND(LEN('Checks'!A450)&gt;0,ISNUMBER('Checks'!D450)),MAX($B$3:B449)+1,"")</f>
        <v/>
      </c>
      <c r="E450">
        <f>IFERROR(MATCH(447,$B$4:$B$503,0),"")</f>
        <v/>
      </c>
    </row>
    <row r="451">
      <c r="A451">
        <f>IF(AND(LEN('Checks'!A451)&gt;0,ISNUMBER('Checks'!D451)),'Checks'!D451+448/100000,"")</f>
        <v/>
      </c>
      <c r="B451">
        <f>IF(AND(LEN('Checks'!A451)&gt;0,ISNUMBER('Checks'!D451)),MAX($B$3:B450)+1,"")</f>
        <v/>
      </c>
      <c r="E451">
        <f>IFERROR(MATCH(448,$B$4:$B$503,0),"")</f>
        <v/>
      </c>
    </row>
    <row r="452">
      <c r="A452">
        <f>IF(AND(LEN('Checks'!A452)&gt;0,ISNUMBER('Checks'!D452)),'Checks'!D452+449/100000,"")</f>
        <v/>
      </c>
      <c r="B452">
        <f>IF(AND(LEN('Checks'!A452)&gt;0,ISNUMBER('Checks'!D452)),MAX($B$3:B451)+1,"")</f>
        <v/>
      </c>
      <c r="E452">
        <f>IFERROR(MATCH(449,$B$4:$B$503,0),"")</f>
        <v/>
      </c>
    </row>
    <row r="453">
      <c r="A453">
        <f>IF(AND(LEN('Checks'!A453)&gt;0,ISNUMBER('Checks'!D453)),'Checks'!D453+450/100000,"")</f>
        <v/>
      </c>
      <c r="B453">
        <f>IF(AND(LEN('Checks'!A453)&gt;0,ISNUMBER('Checks'!D453)),MAX($B$3:B452)+1,"")</f>
        <v/>
      </c>
      <c r="E453">
        <f>IFERROR(MATCH(450,$B$4:$B$503,0),"")</f>
        <v/>
      </c>
    </row>
    <row r="454">
      <c r="A454">
        <f>IF(AND(LEN('Checks'!A454)&gt;0,ISNUMBER('Checks'!D454)),'Checks'!D454+451/100000,"")</f>
        <v/>
      </c>
      <c r="B454">
        <f>IF(AND(LEN('Checks'!A454)&gt;0,ISNUMBER('Checks'!D454)),MAX($B$3:B453)+1,"")</f>
        <v/>
      </c>
      <c r="E454">
        <f>IFERROR(MATCH(451,$B$4:$B$503,0),"")</f>
        <v/>
      </c>
    </row>
    <row r="455">
      <c r="A455">
        <f>IF(AND(LEN('Checks'!A455)&gt;0,ISNUMBER('Checks'!D455)),'Checks'!D455+452/100000,"")</f>
        <v/>
      </c>
      <c r="B455">
        <f>IF(AND(LEN('Checks'!A455)&gt;0,ISNUMBER('Checks'!D455)),MAX($B$3:B454)+1,"")</f>
        <v/>
      </c>
      <c r="E455">
        <f>IFERROR(MATCH(452,$B$4:$B$503,0),"")</f>
        <v/>
      </c>
    </row>
    <row r="456">
      <c r="A456">
        <f>IF(AND(LEN('Checks'!A456)&gt;0,ISNUMBER('Checks'!D456)),'Checks'!D456+453/100000,"")</f>
        <v/>
      </c>
      <c r="B456">
        <f>IF(AND(LEN('Checks'!A456)&gt;0,ISNUMBER('Checks'!D456)),MAX($B$3:B455)+1,"")</f>
        <v/>
      </c>
      <c r="E456">
        <f>IFERROR(MATCH(453,$B$4:$B$503,0),"")</f>
        <v/>
      </c>
    </row>
    <row r="457">
      <c r="A457">
        <f>IF(AND(LEN('Checks'!A457)&gt;0,ISNUMBER('Checks'!D457)),'Checks'!D457+454/100000,"")</f>
        <v/>
      </c>
      <c r="B457">
        <f>IF(AND(LEN('Checks'!A457)&gt;0,ISNUMBER('Checks'!D457)),MAX($B$3:B456)+1,"")</f>
        <v/>
      </c>
      <c r="E457">
        <f>IFERROR(MATCH(454,$B$4:$B$503,0),"")</f>
        <v/>
      </c>
    </row>
    <row r="458">
      <c r="A458">
        <f>IF(AND(LEN('Checks'!A458)&gt;0,ISNUMBER('Checks'!D458)),'Checks'!D458+455/100000,"")</f>
        <v/>
      </c>
      <c r="B458">
        <f>IF(AND(LEN('Checks'!A458)&gt;0,ISNUMBER('Checks'!D458)),MAX($B$3:B457)+1,"")</f>
        <v/>
      </c>
      <c r="E458">
        <f>IFERROR(MATCH(455,$B$4:$B$503,0),"")</f>
        <v/>
      </c>
    </row>
    <row r="459">
      <c r="A459">
        <f>IF(AND(LEN('Checks'!A459)&gt;0,ISNUMBER('Checks'!D459)),'Checks'!D459+456/100000,"")</f>
        <v/>
      </c>
      <c r="B459">
        <f>IF(AND(LEN('Checks'!A459)&gt;0,ISNUMBER('Checks'!D459)),MAX($B$3:B458)+1,"")</f>
        <v/>
      </c>
      <c r="E459">
        <f>IFERROR(MATCH(456,$B$4:$B$503,0),"")</f>
        <v/>
      </c>
    </row>
    <row r="460">
      <c r="A460">
        <f>IF(AND(LEN('Checks'!A460)&gt;0,ISNUMBER('Checks'!D460)),'Checks'!D460+457/100000,"")</f>
        <v/>
      </c>
      <c r="B460">
        <f>IF(AND(LEN('Checks'!A460)&gt;0,ISNUMBER('Checks'!D460)),MAX($B$3:B459)+1,"")</f>
        <v/>
      </c>
      <c r="E460">
        <f>IFERROR(MATCH(457,$B$4:$B$503,0),"")</f>
        <v/>
      </c>
    </row>
    <row r="461">
      <c r="A461">
        <f>IF(AND(LEN('Checks'!A461)&gt;0,ISNUMBER('Checks'!D461)),'Checks'!D461+458/100000,"")</f>
        <v/>
      </c>
      <c r="B461">
        <f>IF(AND(LEN('Checks'!A461)&gt;0,ISNUMBER('Checks'!D461)),MAX($B$3:B460)+1,"")</f>
        <v/>
      </c>
      <c r="E461">
        <f>IFERROR(MATCH(458,$B$4:$B$503,0),"")</f>
        <v/>
      </c>
    </row>
    <row r="462">
      <c r="A462">
        <f>IF(AND(LEN('Checks'!A462)&gt;0,ISNUMBER('Checks'!D462)),'Checks'!D462+459/100000,"")</f>
        <v/>
      </c>
      <c r="B462">
        <f>IF(AND(LEN('Checks'!A462)&gt;0,ISNUMBER('Checks'!D462)),MAX($B$3:B461)+1,"")</f>
        <v/>
      </c>
      <c r="E462">
        <f>IFERROR(MATCH(459,$B$4:$B$503,0),"")</f>
        <v/>
      </c>
    </row>
    <row r="463">
      <c r="A463">
        <f>IF(AND(LEN('Checks'!A463)&gt;0,ISNUMBER('Checks'!D463)),'Checks'!D463+460/100000,"")</f>
        <v/>
      </c>
      <c r="B463">
        <f>IF(AND(LEN('Checks'!A463)&gt;0,ISNUMBER('Checks'!D463)),MAX($B$3:B462)+1,"")</f>
        <v/>
      </c>
      <c r="E463">
        <f>IFERROR(MATCH(460,$B$4:$B$503,0),"")</f>
        <v/>
      </c>
    </row>
    <row r="464">
      <c r="A464">
        <f>IF(AND(LEN('Checks'!A464)&gt;0,ISNUMBER('Checks'!D464)),'Checks'!D464+461/100000,"")</f>
        <v/>
      </c>
      <c r="B464">
        <f>IF(AND(LEN('Checks'!A464)&gt;0,ISNUMBER('Checks'!D464)),MAX($B$3:B463)+1,"")</f>
        <v/>
      </c>
      <c r="E464">
        <f>IFERROR(MATCH(461,$B$4:$B$503,0),"")</f>
        <v/>
      </c>
    </row>
    <row r="465">
      <c r="A465">
        <f>IF(AND(LEN('Checks'!A465)&gt;0,ISNUMBER('Checks'!D465)),'Checks'!D465+462/100000,"")</f>
        <v/>
      </c>
      <c r="B465">
        <f>IF(AND(LEN('Checks'!A465)&gt;0,ISNUMBER('Checks'!D465)),MAX($B$3:B464)+1,"")</f>
        <v/>
      </c>
      <c r="E465">
        <f>IFERROR(MATCH(462,$B$4:$B$503,0),"")</f>
        <v/>
      </c>
    </row>
    <row r="466">
      <c r="A466">
        <f>IF(AND(LEN('Checks'!A466)&gt;0,ISNUMBER('Checks'!D466)),'Checks'!D466+463/100000,"")</f>
        <v/>
      </c>
      <c r="B466">
        <f>IF(AND(LEN('Checks'!A466)&gt;0,ISNUMBER('Checks'!D466)),MAX($B$3:B465)+1,"")</f>
        <v/>
      </c>
      <c r="E466">
        <f>IFERROR(MATCH(463,$B$4:$B$503,0),"")</f>
        <v/>
      </c>
    </row>
    <row r="467">
      <c r="A467">
        <f>IF(AND(LEN('Checks'!A467)&gt;0,ISNUMBER('Checks'!D467)),'Checks'!D467+464/100000,"")</f>
        <v/>
      </c>
      <c r="B467">
        <f>IF(AND(LEN('Checks'!A467)&gt;0,ISNUMBER('Checks'!D467)),MAX($B$3:B466)+1,"")</f>
        <v/>
      </c>
      <c r="E467">
        <f>IFERROR(MATCH(464,$B$4:$B$503,0),"")</f>
        <v/>
      </c>
    </row>
    <row r="468">
      <c r="A468">
        <f>IF(AND(LEN('Checks'!A468)&gt;0,ISNUMBER('Checks'!D468)),'Checks'!D468+465/100000,"")</f>
        <v/>
      </c>
      <c r="B468">
        <f>IF(AND(LEN('Checks'!A468)&gt;0,ISNUMBER('Checks'!D468)),MAX($B$3:B467)+1,"")</f>
        <v/>
      </c>
      <c r="E468">
        <f>IFERROR(MATCH(465,$B$4:$B$503,0),"")</f>
        <v/>
      </c>
    </row>
    <row r="469">
      <c r="A469">
        <f>IF(AND(LEN('Checks'!A469)&gt;0,ISNUMBER('Checks'!D469)),'Checks'!D469+466/100000,"")</f>
        <v/>
      </c>
      <c r="B469">
        <f>IF(AND(LEN('Checks'!A469)&gt;0,ISNUMBER('Checks'!D469)),MAX($B$3:B468)+1,"")</f>
        <v/>
      </c>
      <c r="E469">
        <f>IFERROR(MATCH(466,$B$4:$B$503,0),"")</f>
        <v/>
      </c>
    </row>
    <row r="470">
      <c r="A470">
        <f>IF(AND(LEN('Checks'!A470)&gt;0,ISNUMBER('Checks'!D470)),'Checks'!D470+467/100000,"")</f>
        <v/>
      </c>
      <c r="B470">
        <f>IF(AND(LEN('Checks'!A470)&gt;0,ISNUMBER('Checks'!D470)),MAX($B$3:B469)+1,"")</f>
        <v/>
      </c>
      <c r="E470">
        <f>IFERROR(MATCH(467,$B$4:$B$503,0),"")</f>
        <v/>
      </c>
    </row>
    <row r="471">
      <c r="A471">
        <f>IF(AND(LEN('Checks'!A471)&gt;0,ISNUMBER('Checks'!D471)),'Checks'!D471+468/100000,"")</f>
        <v/>
      </c>
      <c r="B471">
        <f>IF(AND(LEN('Checks'!A471)&gt;0,ISNUMBER('Checks'!D471)),MAX($B$3:B470)+1,"")</f>
        <v/>
      </c>
      <c r="E471">
        <f>IFERROR(MATCH(468,$B$4:$B$503,0),"")</f>
        <v/>
      </c>
    </row>
    <row r="472">
      <c r="A472">
        <f>IF(AND(LEN('Checks'!A472)&gt;0,ISNUMBER('Checks'!D472)),'Checks'!D472+469/100000,"")</f>
        <v/>
      </c>
      <c r="B472">
        <f>IF(AND(LEN('Checks'!A472)&gt;0,ISNUMBER('Checks'!D472)),MAX($B$3:B471)+1,"")</f>
        <v/>
      </c>
      <c r="E472">
        <f>IFERROR(MATCH(469,$B$4:$B$503,0),"")</f>
        <v/>
      </c>
    </row>
    <row r="473">
      <c r="A473">
        <f>IF(AND(LEN('Checks'!A473)&gt;0,ISNUMBER('Checks'!D473)),'Checks'!D473+470/100000,"")</f>
        <v/>
      </c>
      <c r="B473">
        <f>IF(AND(LEN('Checks'!A473)&gt;0,ISNUMBER('Checks'!D473)),MAX($B$3:B472)+1,"")</f>
        <v/>
      </c>
      <c r="E473">
        <f>IFERROR(MATCH(470,$B$4:$B$503,0),"")</f>
        <v/>
      </c>
    </row>
    <row r="474">
      <c r="A474">
        <f>IF(AND(LEN('Checks'!A474)&gt;0,ISNUMBER('Checks'!D474)),'Checks'!D474+471/100000,"")</f>
        <v/>
      </c>
      <c r="B474">
        <f>IF(AND(LEN('Checks'!A474)&gt;0,ISNUMBER('Checks'!D474)),MAX($B$3:B473)+1,"")</f>
        <v/>
      </c>
      <c r="E474">
        <f>IFERROR(MATCH(471,$B$4:$B$503,0),"")</f>
        <v/>
      </c>
    </row>
    <row r="475">
      <c r="A475">
        <f>IF(AND(LEN('Checks'!A475)&gt;0,ISNUMBER('Checks'!D475)),'Checks'!D475+472/100000,"")</f>
        <v/>
      </c>
      <c r="B475">
        <f>IF(AND(LEN('Checks'!A475)&gt;0,ISNUMBER('Checks'!D475)),MAX($B$3:B474)+1,"")</f>
        <v/>
      </c>
      <c r="E475">
        <f>IFERROR(MATCH(472,$B$4:$B$503,0),"")</f>
        <v/>
      </c>
    </row>
    <row r="476">
      <c r="A476">
        <f>IF(AND(LEN('Checks'!A476)&gt;0,ISNUMBER('Checks'!D476)),'Checks'!D476+473/100000,"")</f>
        <v/>
      </c>
      <c r="B476">
        <f>IF(AND(LEN('Checks'!A476)&gt;0,ISNUMBER('Checks'!D476)),MAX($B$3:B475)+1,"")</f>
        <v/>
      </c>
      <c r="E476">
        <f>IFERROR(MATCH(473,$B$4:$B$503,0),"")</f>
        <v/>
      </c>
    </row>
    <row r="477">
      <c r="A477">
        <f>IF(AND(LEN('Checks'!A477)&gt;0,ISNUMBER('Checks'!D477)),'Checks'!D477+474/100000,"")</f>
        <v/>
      </c>
      <c r="B477">
        <f>IF(AND(LEN('Checks'!A477)&gt;0,ISNUMBER('Checks'!D477)),MAX($B$3:B476)+1,"")</f>
        <v/>
      </c>
      <c r="E477">
        <f>IFERROR(MATCH(474,$B$4:$B$503,0),"")</f>
        <v/>
      </c>
    </row>
    <row r="478">
      <c r="A478">
        <f>IF(AND(LEN('Checks'!A478)&gt;0,ISNUMBER('Checks'!D478)),'Checks'!D478+475/100000,"")</f>
        <v/>
      </c>
      <c r="B478">
        <f>IF(AND(LEN('Checks'!A478)&gt;0,ISNUMBER('Checks'!D478)),MAX($B$3:B477)+1,"")</f>
        <v/>
      </c>
      <c r="E478">
        <f>IFERROR(MATCH(475,$B$4:$B$503,0),"")</f>
        <v/>
      </c>
    </row>
    <row r="479">
      <c r="A479">
        <f>IF(AND(LEN('Checks'!A479)&gt;0,ISNUMBER('Checks'!D479)),'Checks'!D479+476/100000,"")</f>
        <v/>
      </c>
      <c r="B479">
        <f>IF(AND(LEN('Checks'!A479)&gt;0,ISNUMBER('Checks'!D479)),MAX($B$3:B478)+1,"")</f>
        <v/>
      </c>
      <c r="E479">
        <f>IFERROR(MATCH(476,$B$4:$B$503,0),"")</f>
        <v/>
      </c>
    </row>
    <row r="480">
      <c r="A480">
        <f>IF(AND(LEN('Checks'!A480)&gt;0,ISNUMBER('Checks'!D480)),'Checks'!D480+477/100000,"")</f>
        <v/>
      </c>
      <c r="B480">
        <f>IF(AND(LEN('Checks'!A480)&gt;0,ISNUMBER('Checks'!D480)),MAX($B$3:B479)+1,"")</f>
        <v/>
      </c>
      <c r="E480">
        <f>IFERROR(MATCH(477,$B$4:$B$503,0),"")</f>
        <v/>
      </c>
    </row>
    <row r="481">
      <c r="A481">
        <f>IF(AND(LEN('Checks'!A481)&gt;0,ISNUMBER('Checks'!D481)),'Checks'!D481+478/100000,"")</f>
        <v/>
      </c>
      <c r="B481">
        <f>IF(AND(LEN('Checks'!A481)&gt;0,ISNUMBER('Checks'!D481)),MAX($B$3:B480)+1,"")</f>
        <v/>
      </c>
      <c r="E481">
        <f>IFERROR(MATCH(478,$B$4:$B$503,0),"")</f>
        <v/>
      </c>
    </row>
    <row r="482">
      <c r="A482">
        <f>IF(AND(LEN('Checks'!A482)&gt;0,ISNUMBER('Checks'!D482)),'Checks'!D482+479/100000,"")</f>
        <v/>
      </c>
      <c r="B482">
        <f>IF(AND(LEN('Checks'!A482)&gt;0,ISNUMBER('Checks'!D482)),MAX($B$3:B481)+1,"")</f>
        <v/>
      </c>
      <c r="E482">
        <f>IFERROR(MATCH(479,$B$4:$B$503,0),"")</f>
        <v/>
      </c>
    </row>
    <row r="483">
      <c r="A483">
        <f>IF(AND(LEN('Checks'!A483)&gt;0,ISNUMBER('Checks'!D483)),'Checks'!D483+480/100000,"")</f>
        <v/>
      </c>
      <c r="B483">
        <f>IF(AND(LEN('Checks'!A483)&gt;0,ISNUMBER('Checks'!D483)),MAX($B$3:B482)+1,"")</f>
        <v/>
      </c>
      <c r="E483">
        <f>IFERROR(MATCH(480,$B$4:$B$503,0),"")</f>
        <v/>
      </c>
    </row>
    <row r="484">
      <c r="A484">
        <f>IF(AND(LEN('Checks'!A484)&gt;0,ISNUMBER('Checks'!D484)),'Checks'!D484+481/100000,"")</f>
        <v/>
      </c>
      <c r="B484">
        <f>IF(AND(LEN('Checks'!A484)&gt;0,ISNUMBER('Checks'!D484)),MAX($B$3:B483)+1,"")</f>
        <v/>
      </c>
      <c r="E484">
        <f>IFERROR(MATCH(481,$B$4:$B$503,0),"")</f>
        <v/>
      </c>
    </row>
    <row r="485">
      <c r="A485">
        <f>IF(AND(LEN('Checks'!A485)&gt;0,ISNUMBER('Checks'!D485)),'Checks'!D485+482/100000,"")</f>
        <v/>
      </c>
      <c r="B485">
        <f>IF(AND(LEN('Checks'!A485)&gt;0,ISNUMBER('Checks'!D485)),MAX($B$3:B484)+1,"")</f>
        <v/>
      </c>
      <c r="E485">
        <f>IFERROR(MATCH(482,$B$4:$B$503,0),"")</f>
        <v/>
      </c>
    </row>
    <row r="486">
      <c r="A486">
        <f>IF(AND(LEN('Checks'!A486)&gt;0,ISNUMBER('Checks'!D486)),'Checks'!D486+483/100000,"")</f>
        <v/>
      </c>
      <c r="B486">
        <f>IF(AND(LEN('Checks'!A486)&gt;0,ISNUMBER('Checks'!D486)),MAX($B$3:B485)+1,"")</f>
        <v/>
      </c>
      <c r="E486">
        <f>IFERROR(MATCH(483,$B$4:$B$503,0),"")</f>
        <v/>
      </c>
    </row>
    <row r="487">
      <c r="A487">
        <f>IF(AND(LEN('Checks'!A487)&gt;0,ISNUMBER('Checks'!D487)),'Checks'!D487+484/100000,"")</f>
        <v/>
      </c>
      <c r="B487">
        <f>IF(AND(LEN('Checks'!A487)&gt;0,ISNUMBER('Checks'!D487)),MAX($B$3:B486)+1,"")</f>
        <v/>
      </c>
      <c r="E487">
        <f>IFERROR(MATCH(484,$B$4:$B$503,0),"")</f>
        <v/>
      </c>
    </row>
    <row r="488">
      <c r="A488">
        <f>IF(AND(LEN('Checks'!A488)&gt;0,ISNUMBER('Checks'!D488)),'Checks'!D488+485/100000,"")</f>
        <v/>
      </c>
      <c r="B488">
        <f>IF(AND(LEN('Checks'!A488)&gt;0,ISNUMBER('Checks'!D488)),MAX($B$3:B487)+1,"")</f>
        <v/>
      </c>
      <c r="E488">
        <f>IFERROR(MATCH(485,$B$4:$B$503,0),"")</f>
        <v/>
      </c>
    </row>
    <row r="489">
      <c r="A489">
        <f>IF(AND(LEN('Checks'!A489)&gt;0,ISNUMBER('Checks'!D489)),'Checks'!D489+486/100000,"")</f>
        <v/>
      </c>
      <c r="B489">
        <f>IF(AND(LEN('Checks'!A489)&gt;0,ISNUMBER('Checks'!D489)),MAX($B$3:B488)+1,"")</f>
        <v/>
      </c>
      <c r="E489">
        <f>IFERROR(MATCH(486,$B$4:$B$503,0),"")</f>
        <v/>
      </c>
    </row>
    <row r="490">
      <c r="A490">
        <f>IF(AND(LEN('Checks'!A490)&gt;0,ISNUMBER('Checks'!D490)),'Checks'!D490+487/100000,"")</f>
        <v/>
      </c>
      <c r="B490">
        <f>IF(AND(LEN('Checks'!A490)&gt;0,ISNUMBER('Checks'!D490)),MAX($B$3:B489)+1,"")</f>
        <v/>
      </c>
      <c r="E490">
        <f>IFERROR(MATCH(487,$B$4:$B$503,0),"")</f>
        <v/>
      </c>
    </row>
    <row r="491">
      <c r="A491">
        <f>IF(AND(LEN('Checks'!A491)&gt;0,ISNUMBER('Checks'!D491)),'Checks'!D491+488/100000,"")</f>
        <v/>
      </c>
      <c r="B491">
        <f>IF(AND(LEN('Checks'!A491)&gt;0,ISNUMBER('Checks'!D491)),MAX($B$3:B490)+1,"")</f>
        <v/>
      </c>
      <c r="E491">
        <f>IFERROR(MATCH(488,$B$4:$B$503,0),"")</f>
        <v/>
      </c>
    </row>
    <row r="492">
      <c r="A492">
        <f>IF(AND(LEN('Checks'!A492)&gt;0,ISNUMBER('Checks'!D492)),'Checks'!D492+489/100000,"")</f>
        <v/>
      </c>
      <c r="B492">
        <f>IF(AND(LEN('Checks'!A492)&gt;0,ISNUMBER('Checks'!D492)),MAX($B$3:B491)+1,"")</f>
        <v/>
      </c>
      <c r="E492">
        <f>IFERROR(MATCH(489,$B$4:$B$503,0),"")</f>
        <v/>
      </c>
    </row>
    <row r="493">
      <c r="A493">
        <f>IF(AND(LEN('Checks'!A493)&gt;0,ISNUMBER('Checks'!D493)),'Checks'!D493+490/100000,"")</f>
        <v/>
      </c>
      <c r="B493">
        <f>IF(AND(LEN('Checks'!A493)&gt;0,ISNUMBER('Checks'!D493)),MAX($B$3:B492)+1,"")</f>
        <v/>
      </c>
      <c r="E493">
        <f>IFERROR(MATCH(490,$B$4:$B$503,0),"")</f>
        <v/>
      </c>
    </row>
    <row r="494">
      <c r="A494">
        <f>IF(AND(LEN('Checks'!A494)&gt;0,ISNUMBER('Checks'!D494)),'Checks'!D494+491/100000,"")</f>
        <v/>
      </c>
      <c r="B494">
        <f>IF(AND(LEN('Checks'!A494)&gt;0,ISNUMBER('Checks'!D494)),MAX($B$3:B493)+1,"")</f>
        <v/>
      </c>
      <c r="E494">
        <f>IFERROR(MATCH(491,$B$4:$B$503,0),"")</f>
        <v/>
      </c>
    </row>
    <row r="495">
      <c r="A495">
        <f>IF(AND(LEN('Checks'!A495)&gt;0,ISNUMBER('Checks'!D495)),'Checks'!D495+492/100000,"")</f>
        <v/>
      </c>
      <c r="B495">
        <f>IF(AND(LEN('Checks'!A495)&gt;0,ISNUMBER('Checks'!D495)),MAX($B$3:B494)+1,"")</f>
        <v/>
      </c>
      <c r="E495">
        <f>IFERROR(MATCH(492,$B$4:$B$503,0),"")</f>
        <v/>
      </c>
    </row>
    <row r="496">
      <c r="A496">
        <f>IF(AND(LEN('Checks'!A496)&gt;0,ISNUMBER('Checks'!D496)),'Checks'!D496+493/100000,"")</f>
        <v/>
      </c>
      <c r="B496">
        <f>IF(AND(LEN('Checks'!A496)&gt;0,ISNUMBER('Checks'!D496)),MAX($B$3:B495)+1,"")</f>
        <v/>
      </c>
      <c r="E496">
        <f>IFERROR(MATCH(493,$B$4:$B$503,0),"")</f>
        <v/>
      </c>
    </row>
    <row r="497">
      <c r="A497">
        <f>IF(AND(LEN('Checks'!A497)&gt;0,ISNUMBER('Checks'!D497)),'Checks'!D497+494/100000,"")</f>
        <v/>
      </c>
      <c r="B497">
        <f>IF(AND(LEN('Checks'!A497)&gt;0,ISNUMBER('Checks'!D497)),MAX($B$3:B496)+1,"")</f>
        <v/>
      </c>
      <c r="E497">
        <f>IFERROR(MATCH(494,$B$4:$B$503,0),"")</f>
        <v/>
      </c>
    </row>
    <row r="498">
      <c r="A498">
        <f>IF(AND(LEN('Checks'!A498)&gt;0,ISNUMBER('Checks'!D498)),'Checks'!D498+495/100000,"")</f>
        <v/>
      </c>
      <c r="B498">
        <f>IF(AND(LEN('Checks'!A498)&gt;0,ISNUMBER('Checks'!D498)),MAX($B$3:B497)+1,"")</f>
        <v/>
      </c>
      <c r="E498">
        <f>IFERROR(MATCH(495,$B$4:$B$503,0),"")</f>
        <v/>
      </c>
    </row>
    <row r="499">
      <c r="A499">
        <f>IF(AND(LEN('Checks'!A499)&gt;0,ISNUMBER('Checks'!D499)),'Checks'!D499+496/100000,"")</f>
        <v/>
      </c>
      <c r="B499">
        <f>IF(AND(LEN('Checks'!A499)&gt;0,ISNUMBER('Checks'!D499)),MAX($B$3:B498)+1,"")</f>
        <v/>
      </c>
      <c r="E499">
        <f>IFERROR(MATCH(496,$B$4:$B$503,0),"")</f>
        <v/>
      </c>
    </row>
    <row r="500">
      <c r="A500">
        <f>IF(AND(LEN('Checks'!A500)&gt;0,ISNUMBER('Checks'!D500)),'Checks'!D500+497/100000,"")</f>
        <v/>
      </c>
      <c r="B500">
        <f>IF(AND(LEN('Checks'!A500)&gt;0,ISNUMBER('Checks'!D500)),MAX($B$3:B499)+1,"")</f>
        <v/>
      </c>
      <c r="E500">
        <f>IFERROR(MATCH(497,$B$4:$B$503,0),"")</f>
        <v/>
      </c>
    </row>
    <row r="501">
      <c r="A501">
        <f>IF(AND(LEN('Checks'!A501)&gt;0,ISNUMBER('Checks'!D501)),'Checks'!D501+498/100000,"")</f>
        <v/>
      </c>
      <c r="B501">
        <f>IF(AND(LEN('Checks'!A501)&gt;0,ISNUMBER('Checks'!D501)),MAX($B$3:B500)+1,"")</f>
        <v/>
      </c>
      <c r="E501">
        <f>IFERROR(MATCH(498,$B$4:$B$503,0),"")</f>
        <v/>
      </c>
    </row>
    <row r="502">
      <c r="A502">
        <f>IF(AND(LEN('Checks'!A502)&gt;0,ISNUMBER('Checks'!D502)),'Checks'!D502+499/100000,"")</f>
        <v/>
      </c>
      <c r="B502">
        <f>IF(AND(LEN('Checks'!A502)&gt;0,ISNUMBER('Checks'!D502)),MAX($B$3:B501)+1,"")</f>
        <v/>
      </c>
      <c r="E502">
        <f>IFERROR(MATCH(499,$B$4:$B$503,0),"")</f>
        <v/>
      </c>
    </row>
    <row r="503">
      <c r="A503">
        <f>IF(AND(LEN('Checks'!A503)&gt;0,ISNUMBER('Checks'!D503)),'Checks'!D503+500/100000,"")</f>
        <v/>
      </c>
      <c r="B503">
        <f>IF(AND(LEN('Checks'!A503)&gt;0,ISNUMBER('Checks'!D503)),MAX($B$3:B502)+1,"")</f>
        <v/>
      </c>
      <c r="E503">
        <f>IFERROR(MATCH(500,$B$4:$B$503,0),"")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Landlord property compliance tracker (UK) (free template)</dc:title>
  <dc:description xmlns:dc="http://purl.org/dc/elements/1.1/">Free template from expiryedge.com/templates/. September 2026 edition.</dc:description>
  <dc:subject xmlns:dc="http://purl.org/dc/elements/1.1/">Gas safety, EICR, EPC, alarms and licences for every property you let, with a book-by date for each check.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expiry tracker, renewal tracker, template, ExpiryEdge</cp:keywords>
</cp:coreProperties>
</file>